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4.xml" ContentType="application/vnd.openxmlformats-officedocument.drawing+xml"/>
  <Override PartName="/xl/worksheets/sheet1.xml" ContentType="application/vnd.openxmlformats-officedocument.spreadsheetml.worksheet+xml"/>
  <Override PartName="/xl/drawings/drawing3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Usuario.LAPTOP-FRDQ93NJ\Desktop\Orçamentos e Cronogramas - Complexo ESCOLA ESPECIAL\iii. Orçamento BLOCO 03 - PARTE A (Arena Equoterapia)\"/>
    </mc:Choice>
  </mc:AlternateContent>
  <bookViews>
    <workbookView xWindow="0" yWindow="0" windowWidth="28800" windowHeight="12330" tabRatio="626"/>
  </bookViews>
  <sheets>
    <sheet name="Orçamento" sheetId="23" r:id="rId1"/>
    <sheet name="Cronograma" sheetId="26" r:id="rId2"/>
    <sheet name="COMPOSIÇÕES " sheetId="28" r:id="rId3"/>
    <sheet name="COTAÇÕES" sheetId="30" r:id="rId4"/>
  </sheets>
  <externalReferences>
    <externalReference r:id="rId5"/>
  </externalReferences>
  <definedNames>
    <definedName name="_4.1.4" localSheetId="3">#REF!</definedName>
    <definedName name="_4.1.4" localSheetId="1">#REF!</definedName>
    <definedName name="_4.1.4">#REF!</definedName>
    <definedName name="_TOT20" localSheetId="3">[1]Indiretas!#REF!</definedName>
    <definedName name="_TOT20" localSheetId="1">[1]Indiretas!#REF!</definedName>
    <definedName name="_TOT20">[1]Indiretas!#REF!</definedName>
    <definedName name="_xlnm.Print_Area" localSheetId="2">'COMPOSIÇÕES '!$A$1:$L$117</definedName>
    <definedName name="_xlnm.Print_Area" localSheetId="3">COTAÇÕES!$A$1:$K$18</definedName>
    <definedName name="_xlnm.Print_Area" localSheetId="1">Cronograma!$B$1:$P$37</definedName>
    <definedName name="_xlnm.Print_Area" localSheetId="0">Orçamento!$B$1:$L$127</definedName>
    <definedName name="CD" localSheetId="3">#REF!</definedName>
    <definedName name="CD" localSheetId="1">#REF!</definedName>
    <definedName name="CD">#REF!</definedName>
    <definedName name="CI" localSheetId="3">#REF!</definedName>
    <definedName name="CI" localSheetId="1">#REF!</definedName>
    <definedName name="CI">#REF!</definedName>
    <definedName name="PV" localSheetId="3">#REF!</definedName>
    <definedName name="PV" localSheetId="1">#REF!</definedName>
    <definedName name="PV">#REF!</definedName>
    <definedName name="PVA" localSheetId="3">#REF!</definedName>
    <definedName name="PVA" localSheetId="1">#REF!</definedName>
    <definedName name="PVA">#REF!</definedName>
    <definedName name="STI" localSheetId="3">#REF!</definedName>
    <definedName name="STI" localSheetId="1">#REF!</definedName>
    <definedName name="STI">#REF!</definedName>
    <definedName name="_xlnm.Print_Titles" localSheetId="2">'COMPOSIÇÕES '!$1:$7</definedName>
    <definedName name="_xlnm.Print_Titles" localSheetId="3">COTAÇÕES!$1:$7</definedName>
    <definedName name="_xlnm.Print_Titles" localSheetId="1">Cronograma!$1:$9</definedName>
    <definedName name="_xlnm.Print_Titles" localSheetId="0">Orçamento!$1:$7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7" i="26" l="1"/>
  <c r="I27" i="26" l="1"/>
  <c r="K9" i="30" l="1"/>
  <c r="C12" i="26" l="1"/>
  <c r="C22" i="26" l="1"/>
  <c r="C21" i="26"/>
  <c r="C20" i="26"/>
  <c r="C19" i="26"/>
  <c r="C18" i="26"/>
  <c r="C17" i="26"/>
  <c r="C16" i="26"/>
  <c r="C15" i="26"/>
  <c r="C14" i="26"/>
  <c r="C13" i="26"/>
  <c r="C11" i="26"/>
  <c r="K109" i="23" l="1"/>
  <c r="L109" i="23" s="1"/>
  <c r="K104" i="23" l="1"/>
  <c r="L104" i="23" s="1"/>
  <c r="K108" i="23"/>
  <c r="L108" i="23" s="1"/>
  <c r="K107" i="23"/>
  <c r="L107" i="23" s="1"/>
  <c r="K83" i="23"/>
  <c r="L83" i="23" s="1"/>
  <c r="L105" i="23" l="1"/>
  <c r="G20" i="26" s="1"/>
  <c r="L110" i="23"/>
  <c r="G21" i="26" s="1"/>
  <c r="K101" i="23"/>
  <c r="L101" i="23" s="1"/>
  <c r="K84" i="23"/>
  <c r="L84" i="23" s="1"/>
  <c r="K85" i="23"/>
  <c r="L85" i="23" s="1"/>
  <c r="K77" i="23"/>
  <c r="L77" i="23" s="1"/>
  <c r="K76" i="23"/>
  <c r="L76" i="23" s="1"/>
  <c r="K45" i="23"/>
  <c r="I41" i="23"/>
  <c r="I45" i="23" s="1"/>
  <c r="K29" i="23"/>
  <c r="L29" i="23" s="1"/>
  <c r="K27" i="23"/>
  <c r="L27" i="23" s="1"/>
  <c r="J20" i="26" l="1"/>
  <c r="L20" i="26"/>
  <c r="P20" i="26"/>
  <c r="N20" i="26"/>
  <c r="J21" i="26"/>
  <c r="L21" i="26"/>
  <c r="P21" i="26"/>
  <c r="N21" i="26"/>
  <c r="L45" i="23"/>
  <c r="I16" i="28" l="1"/>
  <c r="I12" i="28"/>
  <c r="I11" i="28"/>
  <c r="I10" i="28"/>
  <c r="I9" i="28"/>
  <c r="I28" i="23"/>
  <c r="I30" i="23"/>
  <c r="I26" i="23"/>
  <c r="I31" i="23" s="1"/>
  <c r="I25" i="23"/>
  <c r="I32" i="23" s="1"/>
  <c r="K20" i="23"/>
  <c r="I22" i="23"/>
  <c r="I17" i="23"/>
  <c r="I18" i="23" s="1"/>
  <c r="L20" i="23" l="1"/>
  <c r="I44" i="23"/>
  <c r="K44" i="23"/>
  <c r="K43" i="23"/>
  <c r="I42" i="23"/>
  <c r="K42" i="23"/>
  <c r="I11" i="23"/>
  <c r="I12" i="23"/>
  <c r="I13" i="23"/>
  <c r="K107" i="28"/>
  <c r="L107" i="28" s="1"/>
  <c r="I99" i="28"/>
  <c r="K106" i="28"/>
  <c r="L106" i="28" s="1"/>
  <c r="K105" i="28"/>
  <c r="L105" i="28" s="1"/>
  <c r="K104" i="28"/>
  <c r="L104" i="28" s="1"/>
  <c r="K103" i="28"/>
  <c r="L103" i="28" s="1"/>
  <c r="K102" i="28"/>
  <c r="L102" i="28" s="1"/>
  <c r="K101" i="28"/>
  <c r="I101" i="28"/>
  <c r="K100" i="28"/>
  <c r="I100" i="28"/>
  <c r="K99" i="28"/>
  <c r="I91" i="23"/>
  <c r="I90" i="23"/>
  <c r="I89" i="23"/>
  <c r="K89" i="23"/>
  <c r="I69" i="23"/>
  <c r="I75" i="23" s="1"/>
  <c r="K75" i="23"/>
  <c r="L100" i="28" l="1"/>
  <c r="L101" i="28"/>
  <c r="L44" i="23"/>
  <c r="L42" i="23"/>
  <c r="I43" i="23"/>
  <c r="L43" i="23" s="1"/>
  <c r="L99" i="28"/>
  <c r="L89" i="23"/>
  <c r="L75" i="23"/>
  <c r="K74" i="23"/>
  <c r="L74" i="23" s="1"/>
  <c r="K73" i="23"/>
  <c r="L73" i="23" s="1"/>
  <c r="K72" i="23"/>
  <c r="L72" i="23" s="1"/>
  <c r="K71" i="23"/>
  <c r="L71" i="23" s="1"/>
  <c r="K70" i="23"/>
  <c r="L70" i="23" s="1"/>
  <c r="K69" i="23"/>
  <c r="L69" i="23" s="1"/>
  <c r="I68" i="23"/>
  <c r="K68" i="23"/>
  <c r="L108" i="28" l="1"/>
  <c r="J100" i="23" s="1"/>
  <c r="K100" i="23" s="1"/>
  <c r="L100" i="23" s="1"/>
  <c r="L68" i="23"/>
  <c r="I92" i="23" l="1"/>
  <c r="I80" i="23"/>
  <c r="I67" i="23"/>
  <c r="I66" i="23"/>
  <c r="I61" i="23"/>
  <c r="I59" i="23"/>
  <c r="I60" i="23" s="1"/>
  <c r="I57" i="23"/>
  <c r="I50" i="23"/>
  <c r="I10" i="23"/>
  <c r="K112" i="23"/>
  <c r="L112" i="23" s="1"/>
  <c r="L113" i="23" s="1"/>
  <c r="G22" i="26" s="1"/>
  <c r="L22" i="26" l="1"/>
  <c r="J22" i="26"/>
  <c r="P22" i="26"/>
  <c r="N22" i="26"/>
  <c r="I94" i="28"/>
  <c r="I93" i="28"/>
  <c r="K96" i="28"/>
  <c r="L96" i="28" s="1"/>
  <c r="K95" i="28"/>
  <c r="L95" i="28" s="1"/>
  <c r="K94" i="28"/>
  <c r="K93" i="28"/>
  <c r="I88" i="28"/>
  <c r="I87" i="28"/>
  <c r="K90" i="28"/>
  <c r="L90" i="28" s="1"/>
  <c r="K89" i="28"/>
  <c r="L89" i="28" s="1"/>
  <c r="K88" i="28"/>
  <c r="L88" i="28" s="1"/>
  <c r="K87" i="28"/>
  <c r="I81" i="28"/>
  <c r="K84" i="28"/>
  <c r="L84" i="28" s="1"/>
  <c r="K83" i="28"/>
  <c r="L83" i="28" s="1"/>
  <c r="K82" i="28"/>
  <c r="I82" i="28"/>
  <c r="K81" i="28"/>
  <c r="K78" i="28"/>
  <c r="L78" i="28" s="1"/>
  <c r="K75" i="28"/>
  <c r="I75" i="28"/>
  <c r="I76" i="28"/>
  <c r="K77" i="28"/>
  <c r="L77" i="28" s="1"/>
  <c r="K76" i="28"/>
  <c r="L75" i="28" l="1"/>
  <c r="L82" i="28"/>
  <c r="L93" i="28"/>
  <c r="L94" i="28"/>
  <c r="L76" i="28"/>
  <c r="L79" i="28" s="1"/>
  <c r="L87" i="28"/>
  <c r="L91" i="28" s="1"/>
  <c r="L81" i="28"/>
  <c r="K72" i="28"/>
  <c r="L72" i="28" s="1"/>
  <c r="K71" i="28"/>
  <c r="L71" i="28" s="1"/>
  <c r="I68" i="28"/>
  <c r="K70" i="28"/>
  <c r="L70" i="28" s="1"/>
  <c r="K69" i="28"/>
  <c r="L69" i="28" s="1"/>
  <c r="K68" i="28"/>
  <c r="K67" i="28"/>
  <c r="I67" i="28"/>
  <c r="K64" i="28"/>
  <c r="L64" i="28" s="1"/>
  <c r="L65" i="28" s="1"/>
  <c r="I61" i="28"/>
  <c r="K61" i="28"/>
  <c r="K58" i="28"/>
  <c r="I58" i="28"/>
  <c r="I53" i="28"/>
  <c r="I51" i="28"/>
  <c r="I47" i="28"/>
  <c r="I46" i="28"/>
  <c r="I45" i="28"/>
  <c r="I40" i="28"/>
  <c r="I27" i="28"/>
  <c r="I38" i="28"/>
  <c r="I34" i="28"/>
  <c r="I33" i="28"/>
  <c r="I32" i="28"/>
  <c r="I25" i="28"/>
  <c r="I21" i="28"/>
  <c r="I20" i="28"/>
  <c r="I19" i="28"/>
  <c r="K55" i="28"/>
  <c r="L55" i="28" s="1"/>
  <c r="K54" i="28"/>
  <c r="L54" i="28" s="1"/>
  <c r="K53" i="28"/>
  <c r="K52" i="28"/>
  <c r="L52" i="28" s="1"/>
  <c r="K51" i="28"/>
  <c r="K50" i="28"/>
  <c r="L50" i="28" s="1"/>
  <c r="K49" i="28"/>
  <c r="L49" i="28" s="1"/>
  <c r="K48" i="28"/>
  <c r="L48" i="28" s="1"/>
  <c r="K47" i="28"/>
  <c r="K46" i="28"/>
  <c r="K45" i="28"/>
  <c r="K42" i="28"/>
  <c r="L42" i="28" s="1"/>
  <c r="K41" i="28"/>
  <c r="L41" i="28" s="1"/>
  <c r="K40" i="28"/>
  <c r="K39" i="28"/>
  <c r="L39" i="28" s="1"/>
  <c r="K38" i="28"/>
  <c r="K37" i="28"/>
  <c r="L37" i="28" s="1"/>
  <c r="K36" i="28"/>
  <c r="L36" i="28" s="1"/>
  <c r="K35" i="28"/>
  <c r="L35" i="28" s="1"/>
  <c r="K34" i="28"/>
  <c r="K33" i="28"/>
  <c r="K32" i="28"/>
  <c r="K20" i="28"/>
  <c r="K21" i="28"/>
  <c r="K22" i="28"/>
  <c r="L22" i="28" s="1"/>
  <c r="K23" i="28"/>
  <c r="L23" i="28" s="1"/>
  <c r="K24" i="28"/>
  <c r="L24" i="28" s="1"/>
  <c r="K25" i="28"/>
  <c r="K26" i="28"/>
  <c r="L26" i="28" s="1"/>
  <c r="K27" i="28"/>
  <c r="K28" i="28"/>
  <c r="L28" i="28" s="1"/>
  <c r="K29" i="28"/>
  <c r="L29" i="28" s="1"/>
  <c r="K19" i="28"/>
  <c r="L85" i="28" l="1"/>
  <c r="L97" i="28"/>
  <c r="L47" i="28"/>
  <c r="L40" i="28"/>
  <c r="L51" i="28"/>
  <c r="L46" i="28"/>
  <c r="L38" i="28"/>
  <c r="L21" i="28"/>
  <c r="L34" i="28"/>
  <c r="L45" i="28"/>
  <c r="L61" i="28"/>
  <c r="L62" i="28" s="1"/>
  <c r="L27" i="28"/>
  <c r="L25" i="28"/>
  <c r="L19" i="28"/>
  <c r="L53" i="28"/>
  <c r="L67" i="28"/>
  <c r="L20" i="28"/>
  <c r="L32" i="28"/>
  <c r="L58" i="28"/>
  <c r="L59" i="28" s="1"/>
  <c r="L68" i="28"/>
  <c r="L33" i="28"/>
  <c r="K63" i="23"/>
  <c r="L63" i="23" s="1"/>
  <c r="K86" i="23"/>
  <c r="L86" i="23" s="1"/>
  <c r="K87" i="23"/>
  <c r="L87" i="23" s="1"/>
  <c r="K88" i="23"/>
  <c r="L88" i="23" s="1"/>
  <c r="K90" i="23"/>
  <c r="L90" i="23" s="1"/>
  <c r="K91" i="23"/>
  <c r="L91" i="23" s="1"/>
  <c r="K92" i="23"/>
  <c r="L92" i="23" s="1"/>
  <c r="K93" i="23"/>
  <c r="L93" i="23" s="1"/>
  <c r="K94" i="23"/>
  <c r="L94" i="23" s="1"/>
  <c r="K95" i="23"/>
  <c r="L95" i="23" s="1"/>
  <c r="K96" i="23"/>
  <c r="L96" i="23" s="1"/>
  <c r="L97" i="23" l="1"/>
  <c r="G18" i="26" s="1"/>
  <c r="L56" i="28"/>
  <c r="L43" i="28"/>
  <c r="L30" i="28"/>
  <c r="J99" i="23" s="1"/>
  <c r="K99" i="23" s="1"/>
  <c r="L99" i="23" s="1"/>
  <c r="L102" i="23" s="1"/>
  <c r="G19" i="26" s="1"/>
  <c r="L73" i="28"/>
  <c r="K80" i="23"/>
  <c r="L80" i="23" s="1"/>
  <c r="K50" i="23"/>
  <c r="L50" i="23" s="1"/>
  <c r="K62" i="23"/>
  <c r="L62" i="23" s="1"/>
  <c r="K67" i="23"/>
  <c r="L67" i="23" s="1"/>
  <c r="K66" i="23"/>
  <c r="L66" i="23" s="1"/>
  <c r="K61" i="23"/>
  <c r="L61" i="23" s="1"/>
  <c r="K59" i="23"/>
  <c r="L59" i="23" s="1"/>
  <c r="K58" i="23"/>
  <c r="L58" i="23" s="1"/>
  <c r="K56" i="23"/>
  <c r="L56" i="23" s="1"/>
  <c r="K60" i="23"/>
  <c r="L60" i="23" s="1"/>
  <c r="K54" i="23"/>
  <c r="L54" i="23" s="1"/>
  <c r="K55" i="23"/>
  <c r="L55" i="23" s="1"/>
  <c r="K57" i="23"/>
  <c r="L57" i="23" s="1"/>
  <c r="K49" i="23"/>
  <c r="L49" i="23" s="1"/>
  <c r="K41" i="23"/>
  <c r="L41" i="23" s="1"/>
  <c r="L46" i="23" s="1"/>
  <c r="K48" i="23"/>
  <c r="L48" i="23" s="1"/>
  <c r="K13" i="28"/>
  <c r="L13" i="28" s="1"/>
  <c r="K14" i="28"/>
  <c r="L14" i="28" s="1"/>
  <c r="K15" i="28"/>
  <c r="L15" i="28" s="1"/>
  <c r="K16" i="28"/>
  <c r="L16" i="28" s="1"/>
  <c r="K12" i="28"/>
  <c r="L12" i="28" s="1"/>
  <c r="K11" i="28"/>
  <c r="L11" i="28" s="1"/>
  <c r="K10" i="28"/>
  <c r="L10" i="28" s="1"/>
  <c r="K9" i="28"/>
  <c r="L9" i="28" s="1"/>
  <c r="N18" i="26" l="1"/>
  <c r="J18" i="26"/>
  <c r="L18" i="26"/>
  <c r="P18" i="26"/>
  <c r="P19" i="26"/>
  <c r="J19" i="26"/>
  <c r="N19" i="26"/>
  <c r="L19" i="26"/>
  <c r="L78" i="23"/>
  <c r="G16" i="26" s="1"/>
  <c r="L51" i="23"/>
  <c r="L52" i="23" s="1"/>
  <c r="G14" i="26" s="1"/>
  <c r="L81" i="23"/>
  <c r="G17" i="26" s="1"/>
  <c r="L64" i="23"/>
  <c r="G15" i="26" s="1"/>
  <c r="L17" i="28"/>
  <c r="J37" i="23" s="1"/>
  <c r="K32" i="23"/>
  <c r="L32" i="23" s="1"/>
  <c r="K31" i="23"/>
  <c r="L31" i="23" s="1"/>
  <c r="K30" i="23"/>
  <c r="L30" i="23" s="1"/>
  <c r="K28" i="23"/>
  <c r="L28" i="23" s="1"/>
  <c r="K26" i="23"/>
  <c r="L26" i="23" s="1"/>
  <c r="K25" i="23"/>
  <c r="L25" i="23" s="1"/>
  <c r="N15" i="26" l="1"/>
  <c r="J15" i="26"/>
  <c r="L15" i="26"/>
  <c r="P15" i="26"/>
  <c r="P14" i="26"/>
  <c r="L14" i="26"/>
  <c r="N14" i="26"/>
  <c r="J14" i="26"/>
  <c r="L17" i="26"/>
  <c r="P17" i="26"/>
  <c r="N17" i="26"/>
  <c r="J17" i="26"/>
  <c r="P16" i="26"/>
  <c r="L16" i="26"/>
  <c r="N16" i="26"/>
  <c r="J16" i="26"/>
  <c r="L33" i="23"/>
  <c r="K37" i="23"/>
  <c r="L37" i="23" s="1"/>
  <c r="L38" i="23" s="1"/>
  <c r="G13" i="26" s="1"/>
  <c r="K19" i="23"/>
  <c r="L19" i="23" s="1"/>
  <c r="K21" i="23"/>
  <c r="L21" i="23" s="1"/>
  <c r="K22" i="23"/>
  <c r="L22" i="23" s="1"/>
  <c r="K11" i="23"/>
  <c r="L11" i="23" s="1"/>
  <c r="K12" i="23"/>
  <c r="L12" i="23" s="1"/>
  <c r="K10" i="23"/>
  <c r="L10" i="23" s="1"/>
  <c r="K13" i="23"/>
  <c r="L13" i="23" s="1"/>
  <c r="P13" i="26" l="1"/>
  <c r="N13" i="26"/>
  <c r="L13" i="26"/>
  <c r="J13" i="26"/>
  <c r="K17" i="23"/>
  <c r="K9" i="23" l="1"/>
  <c r="L9" i="23" s="1"/>
  <c r="L14" i="23" s="1"/>
  <c r="G11" i="26" s="1"/>
  <c r="P11" i="26" l="1"/>
  <c r="N11" i="26"/>
  <c r="L11" i="26"/>
  <c r="J11" i="26"/>
  <c r="L17" i="23"/>
  <c r="K18" i="23" l="1"/>
  <c r="L18" i="23" l="1"/>
  <c r="L23" i="23" s="1"/>
  <c r="L114" i="23" l="1"/>
  <c r="K1" i="23" s="1"/>
  <c r="L34" i="23"/>
  <c r="G12" i="26" s="1"/>
  <c r="P12" i="26" l="1"/>
  <c r="O24" i="26" s="1"/>
  <c r="N12" i="26"/>
  <c r="M24" i="26" s="1"/>
  <c r="L12" i="26"/>
  <c r="K24" i="26" s="1"/>
  <c r="J12" i="26"/>
  <c r="I24" i="26" s="1"/>
  <c r="I26" i="26" s="1"/>
  <c r="G23" i="26"/>
  <c r="H12" i="26" s="1"/>
  <c r="K26" i="26" l="1"/>
  <c r="M26" i="26" s="1"/>
  <c r="O26" i="26" s="1"/>
  <c r="H21" i="26"/>
  <c r="H20" i="26"/>
  <c r="H22" i="26"/>
  <c r="O25" i="26"/>
  <c r="I25" i="26"/>
  <c r="M25" i="26"/>
  <c r="K25" i="26"/>
  <c r="H13" i="26"/>
  <c r="H16" i="26"/>
  <c r="H15" i="26"/>
  <c r="H19" i="26"/>
  <c r="H18" i="26"/>
  <c r="H11" i="26"/>
  <c r="H14" i="26"/>
  <c r="H17" i="26"/>
  <c r="H23" i="26" l="1"/>
  <c r="K27" i="26"/>
  <c r="M27" i="26" s="1"/>
</calcChain>
</file>

<file path=xl/sharedStrings.xml><?xml version="1.0" encoding="utf-8"?>
<sst xmlns="http://schemas.openxmlformats.org/spreadsheetml/2006/main" count="642" uniqueCount="352">
  <si>
    <t>1.2</t>
  </si>
  <si>
    <t>2.1</t>
  </si>
  <si>
    <t>OBRA:</t>
  </si>
  <si>
    <t>UNID.</t>
  </si>
  <si>
    <t>QUANT.</t>
  </si>
  <si>
    <t>ÁREA:</t>
  </si>
  <si>
    <t>4.1</t>
  </si>
  <si>
    <t>LOCAL:</t>
  </si>
  <si>
    <t>Item</t>
  </si>
  <si>
    <t>Descrição</t>
  </si>
  <si>
    <t>Referência SINAPI</t>
  </si>
  <si>
    <t>PREÇO COM BDI</t>
  </si>
  <si>
    <t xml:space="preserve">PREÇO TOTAL </t>
  </si>
  <si>
    <t xml:space="preserve">SUPRA ESTRUTURA </t>
  </si>
  <si>
    <t>CUSTO UNITÁRIO (sem BDI)</t>
  </si>
  <si>
    <t>7.1</t>
  </si>
  <si>
    <t>TR Construtora e Engenharia Ltda</t>
  </si>
  <si>
    <t>CREA-SC 154766-9</t>
  </si>
  <si>
    <t>DATA BASE:</t>
  </si>
  <si>
    <t>REFERÊNCIA:</t>
  </si>
  <si>
    <t>BDI:</t>
  </si>
  <si>
    <t>PLANILHA DE ORÇAMENTO - ESTIMATIVA DE PREÇO</t>
  </si>
  <si>
    <t>SINAPI (Não Desonerado)</t>
  </si>
  <si>
    <t>MÊS 01</t>
  </si>
  <si>
    <t>MÊS 02</t>
  </si>
  <si>
    <t>MÊS 03</t>
  </si>
  <si>
    <t>MÊS 04</t>
  </si>
  <si>
    <t>VALOR DOS SERVIÇOS (R$)</t>
  </si>
  <si>
    <t>PESO (%)</t>
  </si>
  <si>
    <t>TOTAL SIMPLES (R$):</t>
  </si>
  <si>
    <t>TOTAL SIMPLES (%):</t>
  </si>
  <si>
    <t>SERVIÇOS A EXECUTAR (%)</t>
  </si>
  <si>
    <t>No mês</t>
  </si>
  <si>
    <t>CRONOGRAMA FÍSICO FINANCEIRO</t>
  </si>
  <si>
    <t>TOTAL ACUMULADO (R$):</t>
  </si>
  <si>
    <t>TOTAL ACUMULADO (%):</t>
  </si>
  <si>
    <t>Responsável Técnico(a):</t>
  </si>
  <si>
    <t>_____________________________________________________</t>
  </si>
  <si>
    <t>ENG. ANDRÉIA FÁTIMA TRICHÊS</t>
  </si>
  <si>
    <t/>
  </si>
  <si>
    <t>H</t>
  </si>
  <si>
    <t>2.2</t>
  </si>
  <si>
    <t>M</t>
  </si>
  <si>
    <t>3.1</t>
  </si>
  <si>
    <t xml:space="preserve">SERVIÇOS PRELIMINARES </t>
  </si>
  <si>
    <t>3.1.1</t>
  </si>
  <si>
    <t>M³</t>
  </si>
  <si>
    <t>M²</t>
  </si>
  <si>
    <t>KG</t>
  </si>
  <si>
    <t xml:space="preserve">VEDAÇÕES </t>
  </si>
  <si>
    <t xml:space="preserve">ESQUADRIAS </t>
  </si>
  <si>
    <t>2.1.2</t>
  </si>
  <si>
    <t>2.1.3</t>
  </si>
  <si>
    <t>2.2.1</t>
  </si>
  <si>
    <t>2.2.2</t>
  </si>
  <si>
    <t>2.2.3</t>
  </si>
  <si>
    <t>2.2.4</t>
  </si>
  <si>
    <t>2.2.5</t>
  </si>
  <si>
    <t>8.1</t>
  </si>
  <si>
    <t>8.2</t>
  </si>
  <si>
    <t>2.2.6</t>
  </si>
  <si>
    <t>2.2.7</t>
  </si>
  <si>
    <t>2.2.8</t>
  </si>
  <si>
    <t>6.1</t>
  </si>
  <si>
    <t>9.1</t>
  </si>
  <si>
    <t>9.2</t>
  </si>
  <si>
    <t xml:space="preserve">FUNDAÇÕES </t>
  </si>
  <si>
    <t xml:space="preserve">VIGAS BALDRAME </t>
  </si>
  <si>
    <t>___________________________________________________________</t>
  </si>
  <si>
    <t>Proprietário:</t>
  </si>
  <si>
    <t>________________________________________________________</t>
  </si>
  <si>
    <t xml:space="preserve">SAPATAS </t>
  </si>
  <si>
    <t xml:space="preserve">Descrição da Composição </t>
  </si>
  <si>
    <t xml:space="preserve">PILARES PRÉ FABRICADOS </t>
  </si>
  <si>
    <t>CR</t>
  </si>
  <si>
    <t>1.1</t>
  </si>
  <si>
    <t>1.4</t>
  </si>
  <si>
    <t>1.5</t>
  </si>
  <si>
    <t>1.6</t>
  </si>
  <si>
    <t>1.7</t>
  </si>
  <si>
    <t>1.8</t>
  </si>
  <si>
    <t>1.9</t>
  </si>
  <si>
    <t>1.10</t>
  </si>
  <si>
    <t xml:space="preserve">FABRICAÇÃO E INSTALAÇÃO DE PILARES PRÉ MOLDADOS </t>
  </si>
  <si>
    <t xml:space="preserve">ALVENARIAS </t>
  </si>
  <si>
    <t xml:space="preserve">COBERTURA </t>
  </si>
  <si>
    <t xml:space="preserve">PISOS INTERNOS </t>
  </si>
  <si>
    <t xml:space="preserve">PINTURA </t>
  </si>
  <si>
    <t>2.1.1</t>
  </si>
  <si>
    <t>2.1.4</t>
  </si>
  <si>
    <t>2.1.5</t>
  </si>
  <si>
    <t>2.1.6</t>
  </si>
  <si>
    <t>6.2</t>
  </si>
  <si>
    <t>6.3</t>
  </si>
  <si>
    <t>4.1.1</t>
  </si>
  <si>
    <t>4.1.2</t>
  </si>
  <si>
    <t>4.1.3</t>
  </si>
  <si>
    <t>4.1.4</t>
  </si>
  <si>
    <t>4.2</t>
  </si>
  <si>
    <t>4.2.1</t>
  </si>
  <si>
    <t>4.2.2</t>
  </si>
  <si>
    <t>4.2.3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</si>
  <si>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</si>
  <si>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</si>
  <si>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</si>
  <si>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</si>
  <si>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</si>
  <si>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</si>
  <si>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</si>
  <si>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</si>
  <si>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5.1.9</t>
  </si>
  <si>
    <t xml:space="preserve">M </t>
  </si>
  <si>
    <t>PORTAS P 02</t>
  </si>
  <si>
    <t>PORTAS P 01</t>
  </si>
  <si>
    <t>PORTAS P 03</t>
  </si>
  <si>
    <t>PORTAS P 04</t>
  </si>
  <si>
    <t>PORTAS P 05</t>
  </si>
  <si>
    <t>PORTAS P 09</t>
  </si>
  <si>
    <t>PORTAS P 07</t>
  </si>
  <si>
    <t xml:space="preserve">JANELAS COM FOLHAS DE VIDRO E MARCO E VISTAS EM MADEIRA J 02 </t>
  </si>
  <si>
    <t>JANELAS COM FOLHAS DE VIDRO MAXI AR E MARCO E VISTAS EM MADEIRA J 03</t>
  </si>
  <si>
    <t>JANELAS COM VIDRO FIXO SEM ABERTURA COM MARCO E VISTAS EM MADEIRA J 04</t>
  </si>
  <si>
    <t>JANELAS COM VIDRO FIXO SEM ABERTURA COM MARCO E VISTAS EM MADEIRA J 05</t>
  </si>
  <si>
    <t>5.1.10</t>
  </si>
  <si>
    <t>387,09 M²</t>
  </si>
  <si>
    <t>PORTAS P NOVA</t>
  </si>
  <si>
    <t>6.4</t>
  </si>
  <si>
    <t>6.5</t>
  </si>
  <si>
    <t>6.6</t>
  </si>
  <si>
    <t>6.7</t>
  </si>
  <si>
    <t>6.8</t>
  </si>
  <si>
    <t>6.9</t>
  </si>
  <si>
    <t>6.10</t>
  </si>
  <si>
    <t>10.1</t>
  </si>
  <si>
    <t>4.1.5</t>
  </si>
  <si>
    <t>6.11</t>
  </si>
  <si>
    <t>6.12</t>
  </si>
  <si>
    <t>9.3</t>
  </si>
  <si>
    <t>1.3</t>
  </si>
  <si>
    <t xml:space="preserve">DINAMICA ELETRICA </t>
  </si>
  <si>
    <t>12.813.311/0001-59</t>
  </si>
  <si>
    <t>KIT PADRÃO DE ENTRADA DE ENERGIA COPEL 125 A CABO DE 50 MM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</si>
  <si>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</si>
  <si>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</si>
  <si>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</si>
  <si>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</si>
  <si>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</si>
  <si>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</si>
  <si>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</si>
  <si>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</si>
  <si>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</si>
  <si>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8.12</t>
  </si>
  <si>
    <t>8.13</t>
  </si>
  <si>
    <t>8.14</t>
  </si>
  <si>
    <t xml:space="preserve">ACESSIBILIDADE  </t>
  </si>
  <si>
    <t>11.1</t>
  </si>
  <si>
    <t>12.1</t>
  </si>
  <si>
    <t>11.2</t>
  </si>
  <si>
    <t>11.3</t>
  </si>
  <si>
    <t>ESCAVAÇÃO MANUAL PARA BLOCO DE COROAMENTO OU SAPATA (INCLUINDO ESCAVAÇÃO PARA COLOCAÇÃO DE FÔRMAS). AF_06/2017</t>
  </si>
  <si>
    <t>TRANSPORTE COM CAMINHÃO BASCULANTE DE 10 M³, EM VIA URBANA PAVIMENTADA, DMT ATÉ 30 KM (UNIDADE: TXKM). AF_07/2020</t>
  </si>
  <si>
    <t>LASTRO DE CONCRETO MAGRO, APLICADO EM BLOCOS DE COROAMENTO OU SAPATAS, ESP ESSURA DE 5 CM. AF_08/2017</t>
  </si>
  <si>
    <t xml:space="preserve">PEDRA DE MAO OU PEDRA RACHAO PARA ARRIMO/FUNDACAO </t>
  </si>
  <si>
    <t>CONCRETAGEM DE BLOCOS DE COROAMENTO E VIGAS BALDRAMES, FCK 30 MPA, COM USO DE BOMBA LANÇAMENTO, ADENSAMENTO E ACABAMENTO. AF_06/2017</t>
  </si>
  <si>
    <t>IMPERMEABILIZAÇÃO DE SUPERFÍCIE COM EMULSÃO ASFÁLTICA, 2 DEMÃOS. AF_09/2023</t>
  </si>
  <si>
    <t>CONCRETAGEM DE BLOCOS DE COROAMENTO E VIGAS BALDRAME, FCK 30 MPA, COM USO DE JERICA LANÇAMENTO, ADENSAMENTO E ACABAMENTO. AF_06/2017</t>
  </si>
  <si>
    <t>REATERRO MANUAL DE VALAS, COM COMPACTADOR DE SOLOS DE PERCUSSÃO. AF_08/2023</t>
  </si>
  <si>
    <t>COMP. 1</t>
  </si>
  <si>
    <t xml:space="preserve">ALVENARIA DE VEDAÇÃO DE BLOCOS VAZADOS DE CONCRETO DE 14X19X39 CM (ESPESSURA 14 CM) E ARGAMASSA DE ASSENTAMENTO COM PREPARO EM BETONEIRA. AF_12/2021 </t>
  </si>
  <si>
    <t>CANALETA DE CONCRETO ESTRUTURAL 14 X 19 X 39 CM, FBK 14 MPA (NBR 6136) (VIGA CINTA)</t>
  </si>
  <si>
    <t>CONCRETAGEM DE VIGAS E LAJES, FCK=25 MPA, PARA LAJES MACIÇAS OU NERVURADAS COM USO DE BOMBA - LANÇAMENTO, ADENSAMENTO E ACABAMENTO. AF_02/2022_PS (VIGA CINTA)</t>
  </si>
  <si>
    <t>IMPERMEABILIZAÇÃO DE SUPERFÍCIE COM MEMBRANA À BASE DE RESINA ACRÍLICA, 3 DEMÃOS. AF_09/2023</t>
  </si>
  <si>
    <t>TRAMA DE AÇO COMPOSTA POR TERÇAS PARA TELHADOS DE ATÉ 2 ÁGUAS PARA TELHA ONDULADA DE FIBROCIMENTO, METÁLICA, PLÁSTICA OU TERMOACÚSTICA, INCLUSO TRANSPORTE VERTICAL. AF_07/2019</t>
  </si>
  <si>
    <t>TELHAMENTO COM TELHA DE AÇO/ALUMÍNIO E = 0,5 MM, COM ATÉ 2 ÁGUAS, INCLUSO IÇAMENTO. AF_07/2019</t>
  </si>
  <si>
    <t>CONTRAVENTAMENTO COM CANTONEIRAS DE AÇO, ABAS IGUAIS, COM CONEXÕES SOLDADAS, INCLUSOS MÃO DE OBRA, TRANSPORTE E IÇAMENTO UTILIZANDO TALHA MANUAL, PARA EDIFÍCIOS DE ATÉ 2 PAVIMENTOS - FORNECIMENTO E INSTALAÇÃO. AF_01/2020_P</t>
  </si>
  <si>
    <t xml:space="preserve">TELHAMENTO COM TELHA METÁLICA TERMOACÚSTICA E = 30 MM, COM ATÉ 2 ÁGUAS, INCLUSO IÇAMENTO. AF_07/2019 </t>
  </si>
  <si>
    <t>FABRICAÇÃO E INSTALAÇÃO DE TESOURA INTEIRA EM AÇO, VÃO DE 3 M, PARA TELHA ONDULADA DE FIBROCIMENTO, METÁLICA, PLÁSTICA OU TERMOACÚSTICA, INCLUSO IÇAMENTO. AF_12/2015 (LANTERNIM)</t>
  </si>
  <si>
    <t>TELHAMENTO COM TELHA METÁLICA TERMOACÚSTICA E = 30 MM, COM ATÉ 2 ÁGUAS, INCLUSO IÇAMENTO. AF_07/2019 (LANTERNIM)</t>
  </si>
  <si>
    <t>PINTURA COM TINTA ALQUÍDICA DE FUNDO (TIPO ZARCÃO) PULVERIZADA SOBRE PERFIL METÁLICO EXECUTADO EM FÁBRICA (POR DEMÃO). AF_01/2020_PE</t>
  </si>
  <si>
    <t>ATERRO MECANIZADO, COM AREIA PARA ATERRO. AF_08/2023</t>
  </si>
  <si>
    <t>TABUA APARELHADA *2,5 X 15* CM, EM MACARANDUBA/MASSARANDUBA, ANGELIM OU EQUIVALENTE DA REGIAO (RAMPA PARA EMBARQUE NO CAVALO)</t>
  </si>
  <si>
    <t>CAIBRO APARELHADO *7,5 X 7,5* CM, EM MACARANDUBA/MASSARANDUBA, ANGELIM OU EQUIVALENTE DA REGIAO (RAMPA PARA EMBARQUE NO CAVALO)</t>
  </si>
  <si>
    <t>AJUDANTE DE CARPINTEIRO COM ENCARGOS COMPLEMENTARES (RAMPA PARA EMBARQUE NO CAVALO)</t>
  </si>
  <si>
    <t>SERRA CIRCULAR DE BANCADA COM MOTOR ELÉTRICO POTÊNCIA DE 5HP, COM COIFA PARA DISCO 10" - CHP DIURNO. AF_08/2015 (RAMPA PARA EMBARQUE NO CAVALO)</t>
  </si>
  <si>
    <t>ASSENTAMENTO DE GUIA (MEIO-FIO) EM TRECHO RETO, CONFECCIONADA EM CONCRETO PRÉ-FABRICADO, DIMENSÕES 100X15X13X20 CM (COMPRIMENTO X BASE INFERIOR X BASE SUPERIOR X ALTURA), PARA URBANIZAÇÃO INTERNA DE EMPREENDIMENTOS. AF_06/2016</t>
  </si>
  <si>
    <t>EXECUÇÃO DE PASSEIO EM PISO INTERTRAVADO, COM BLOCO RETANGULAR COR NATURAL DE 20 X 10 CM, ESPESSURA 6 CM. AF_10/2022</t>
  </si>
  <si>
    <t>PINTURA COM TINTA ALQUÍDICA DE FUNDO E ACABAMENTO (ESMALTE SINTÉTICO GRAFITE) PULVERIZADA SOBRE SUPERFÍCIES METÁLICAS (EXCETO PERFIL) EXECUTADO EM OBRA (POR DEMÃO). AF_01/2020_PE (FECHAMENTO METALICO DA ECOTERAPIA)</t>
  </si>
  <si>
    <t>COT. 01</t>
  </si>
  <si>
    <t>HASTE DE ATERRAMENTO, DIÂMETRO 5/8", COM 3 METROS - FORNECIMENTO E INSTALAÇÃO. AF_08/2023</t>
  </si>
  <si>
    <t>CORDOALHA DE COBRE NU 35 MM², NÃO ENTERRADA, COM ISOLADOR - FORNECIMENTO E INSTALAÇÃO. AF_08/2023</t>
  </si>
  <si>
    <t>QUADRO DE DISTRIBUIÇÃO DE ENERGIA EM CHAPA DE AÇO GALVANIZADO, DE EMBUTIR, COM BARRAMENTO TRIFÁSICO, PARA 24 DISJUNTORES DIN 100A - FORNECIMENTO E INSTALAÇÃO. AF_10/2020</t>
  </si>
  <si>
    <t>PERFILADO PERFURADO SIMPLES 38 X 38 MM, CHAPA 22</t>
  </si>
  <si>
    <t>CABO DE COBRE FLEXÍVEL ISOLADO, 10 MM², ANTI-CHAMA 0,6/1,0 KV, PARA CIRCUITOS TERMINAIS - FORNECIMENTO E INSTALAÇÃO. AF_03/2023</t>
  </si>
  <si>
    <t>CABO DE COBRE FLEXÍVEL ISOLADO, 2,5 MM², ANTI-CHAMA 450/750 V, PARA CIRCUITOS TERMINAIS - FORNECIMENTO E INSTALAÇÃO. AF_03/2023</t>
  </si>
  <si>
    <t>LUVA PARA ELETRODUTO, PVC, ROSCÁVEL, DN 25 MM (3/4"), PARA CIRCUITOS TERMINAIS, INSTALADA EM FORRO - FORNECIMENTO E INSTALAÇÃO. AF_03/2023</t>
  </si>
  <si>
    <t>COMP. 2</t>
  </si>
  <si>
    <t>COMP. 13</t>
  </si>
  <si>
    <t>DIVISÓRIA FIXA EM VIDRO TEMPERADO 10 MM, SEM ABERTURA. AF_01/2021_PS (VIDRO FIXO NA FACHADA DA ARENA)</t>
  </si>
  <si>
    <t xml:space="preserve">PORTA DE CORRER EM MADEIRA MACIÇA P 01 150X140 CM </t>
  </si>
  <si>
    <t>PORTÃO EM MADEIRA DE GIRO ACESSO DA ARENA PARA A CEDE 298X140</t>
  </si>
  <si>
    <t>CORRIMÃO SIMPLES, DIÂMETRO EXTERNO = 1 1/2, EM AÇO GALVANIZADO. AF_04/2019</t>
  </si>
  <si>
    <t>LUMINÁRIA DE EMERGÊNCIA, COM 30 LÂMPADAS LED DE 2 W, SEM REATOR - FORNECIMENTO E INSTALAÇÃO. AF_02/2020</t>
  </si>
  <si>
    <t>EXTINTOR DE INCÊNDIO PORTÁTIL COM CARGA DE PQS DE 4 KG, CLASSE BC - FORNECIMENTO E INSTALAÇÃO. AF_10/2020_PE</t>
  </si>
  <si>
    <t xml:space="preserve">LIMPEZA DE SUPERFÍCIE COM JATO DE ALTA PRESSÃO. AF_04/2019 </t>
  </si>
  <si>
    <t>PLACA DE SINALIZACAO DE SEGURANCA CONTRA INCENDIO, FOTOLUMINESCENTE, RETANGULAR, *20 X 40* CM, EM PVC *2* MM ANTI-CHAMAS (SIMBOLOS, CORES E PICTOGRAMAS CONFORME NBR 16820)</t>
  </si>
  <si>
    <t>00037558 INSUMO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</si>
  <si>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</si>
  <si>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</si>
  <si>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</si>
  <si>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</si>
  <si>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</si>
  <si>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</si>
  <si>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</si>
  <si>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</si>
  <si>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</si>
  <si>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</si>
  <si>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</si>
  <si>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</si>
  <si>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</si>
  <si>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</si>
  <si>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</si>
  <si>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</si>
  <si>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</si>
  <si>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</si>
  <si>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</si>
  <si>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</si>
  <si>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</si>
  <si>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</si>
  <si>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</si>
  <si>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</si>
  <si>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</si>
  <si>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</si>
  <si>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</si>
  <si>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</si>
  <si>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5.1</t>
  </si>
  <si>
    <t>9.4</t>
  </si>
  <si>
    <t>10.2</t>
  </si>
  <si>
    <t>10.3</t>
  </si>
  <si>
    <t>10.4</t>
  </si>
  <si>
    <t>11.4</t>
  </si>
  <si>
    <t>12.2</t>
  </si>
  <si>
    <t>12.3</t>
  </si>
  <si>
    <t>12.4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</si>
  <si>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</si>
  <si>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</si>
  <si>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</si>
  <si>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</si>
  <si>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</si>
  <si>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</si>
  <si>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</si>
  <si>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</si>
  <si>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</si>
  <si>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LIMPEZA FINAL</t>
  </si>
  <si>
    <t>PREFEITURA MUNICIPAL DE PIÊN/PR</t>
  </si>
  <si>
    <t>CNPJ: 76.002.666/0001-40</t>
  </si>
  <si>
    <t>387,07 M²</t>
  </si>
  <si>
    <t>PLANILHA DE COMPOSIÇÕES</t>
  </si>
  <si>
    <t>ARMAÇÃO DE ESTRUTURAS DIVERSAS DE CONCRETO ARMADO, EXCETO VIGAS, PILARES, LAJES E FUNDAÇÕES, UTILIZANDO AÇO CA-60 DE 5,0 MM - MONTAGEM. AF_06/2022</t>
  </si>
  <si>
    <t>CONCRETAGEM DE PILARES, FCK=25 MPA, COM USO DE JERICAS EM CREMALHEIRA - LANÇAMENTO, ADENSAMENTO E ACABAMENTO. AF_02/2022</t>
  </si>
  <si>
    <t xml:space="preserve">AJUDANTE DE ESTRUTURA METÁLICA COM ENCARGOS COMPLEMENTARES </t>
  </si>
  <si>
    <t>MONTADOR DE ESTRUTURA METÁLICA COM ENCARGOS COMPLEMENTARES</t>
  </si>
  <si>
    <t>GUINDASTE HIDRÁULICO AUTOPROPELIDO, COM LANÇA TELESCÓPICA 40 M, CAPACIDADE MÁXIMA 60 T, POTÊNCIA 260 KW - CHP DIURNO. AF_03/2016</t>
  </si>
  <si>
    <t>GUINDASTE HIDRÁULICO AUTOPROPELIDO, COM LANÇA TELESCÓPICA 40 M, CAPACIDADE MÁXIMA 60 T, POTÊNCIA 260 KW - CHI DIURNO. AF_03/2016</t>
  </si>
  <si>
    <t>ARMAÇÃO DE ESTRUTURAS DIVERSAS DE CONCRETO ARMADO, VIGAS, PILARES, LAJES E FUNDAÇÕES, UTILIZANDO AÇO CA-50 DE 12,5 MM - MONTAGEM. AF_06/2022</t>
  </si>
  <si>
    <t>TABUA APARELHADA *2,5 X 15* CM, EM MACARANDUBA/MASSARANDUBA, ANGELIM OU EQUIVALENTE DA REGIAO (FOLHA DA PORTA)</t>
  </si>
  <si>
    <t>PREGO DE ACO POLIDO COM CABECA 17 X 27 (2 1/2 X 11)</t>
  </si>
  <si>
    <t>CAIBRO APARELHADO *7,5 X 7,5* CM, EM MACARANDUBA/MASSARANDUBA, ANGELIM OU EQUIVALENTE DA REGIAO (FOLHA DA PORTA)</t>
  </si>
  <si>
    <t>AJUDANTE DE CARPINTEIRO COM ENCARGOS COMPLEMENTARES</t>
  </si>
  <si>
    <t>CARPINTEIRO DE FORMAS COM ENCARGOS COMPLEMENTARES</t>
  </si>
  <si>
    <t>SERRA CIRCULAR DE BANCADA COM MOTOR ELÉTRICO POTÊNCIA DE 5HP, COM COIFA PARA DISCO 10" - CHP DIURNO. AF_08/2015</t>
  </si>
  <si>
    <t>GUARNICAO / ALIZAR / VISTA LISA EM MADEIRA MACICA, PARA PORTA , E = *1* COM, L = *5* CM, CEDRINHO / ANGELIM COMERCIAL / TAURI/ CURUPIXA / PEROBA / C
UMARU OU EQUIVALENTE DA REGIAO (VISTAS)</t>
  </si>
  <si>
    <t>FECHO DE EMBUTIR TIPO UNHA 40CM. AF_12/2019 (FECHADURA)</t>
  </si>
  <si>
    <t>CANTONEIRA ACO ABAS IGUAIS (QUALQUER BITOLA), ESPESSURA ENTRE 1/8" E 1/4" (ESTRUTURA PARA PORTA DE CORRER)</t>
  </si>
  <si>
    <t>BUCHA DE NYLON SEM ABA S10, COM PARAFUSO DE 6,10 X 65 MM EM ACO ZINCADO COM ROSCA SOBERBA, CABECA CHATA E FENDA PHILLIPS (FIXAÇÃO)</t>
  </si>
  <si>
    <t>BATENTE PARA PORTA DE MADEIRA, PADRÃO MÉDIO - FORNECIMENTO E MONTAGEM. AF_12/2019 (ESTRUTURA PARA PORTA DE CORRER)</t>
  </si>
  <si>
    <t>PREGO DE ACO POLIDO COM CABECA 17 X 21 (2 X 11)</t>
  </si>
  <si>
    <t>KIT DE PORTA DE MADEIRA PARA PINTURA, SEMI-OCA (LEVE OU MÉDIA), PADRÃO MÉDIO, 90X210CM, ESPESSURA DE 3,5CM, ITENS INCLUSOS: DOBRADIÇAS, MONTAGEM E INSTALAÇÃO DO BATENTE, FECHADURA COM EXECUÇÃO DO FURO - FORNECIMENTO E INSTALAÇÃO. AF_12/2019 (P06)</t>
  </si>
  <si>
    <t>KIT DE PORTA DE MADEIRA TIPO MEXICANA, MACIÇA (PESADA OU SUPERPESADA), PADRÃO MÉDIO, 80X210CM, ESPESSURA DE 3CM, ITENS INCLUSOS: DOBRADIÇAS, MONTAGEM E INSTALAÇÃO DO BATENTE, SEM FECHADURA - FORNECIMENTO E INSTALAÇÃO. AF_12/2019</t>
  </si>
  <si>
    <t>JANELA DE ALUMÍNIO DE CORRER COM 2 FOLHAS PARA VIDROS, COM VIDROS, BATENTE, ACABAMENTO COM ACETATO OU BRILHANTE E FERRAGENS. EXCLUSIVE ALIZAR E CONTRAMARCO. FORNECIMENTO E INSTALAÇÃO. AF_12/2019</t>
  </si>
  <si>
    <t>JANELA DE ALUMÍNIO TIPO MAXIM-AR, COM VIDROS, BATENTE E FERRAGENS. EXCLUSI VE ALIZAR, ACABAMENTO E CONTRAMARCO. FORNECIMENTO E INSTALAÇÃO. AF_12/2019</t>
  </si>
  <si>
    <t>INSTALAÇÃO DE VIDRO TEMPERADO, E = 10 MM, ENCAIXADO EM PERFIL U. AF_01/2021_PS</t>
  </si>
  <si>
    <t>DOBRADIÇA EM AÇO/FERRO, 3" X 21/2", E=1,9 A 2MM, SEN ANEL, CROMADO OU ZINCADO, TAMPA BOLA, COM PARAFUSOS. AF_12/2019</t>
  </si>
  <si>
    <t>DISTRITO DE TRIGOLÂNDIA, MUNICÍPIO DE PIÊN-PR</t>
  </si>
  <si>
    <t>TOTAL DO ITEM 1 =</t>
  </si>
  <si>
    <t>TOTAL DO ITEM 2.1 =</t>
  </si>
  <si>
    <t>ARMAÇÃO DE ESTRUTURAS DIVERSAS DE CONCRETO ARMADO, EXCETO VIGAS, PILARES, LAJES E FUNDAÇÕES, UTILIZANDO AÇO CA-50 DE 8,0 MM - MONTAGEM. AF_06/2022</t>
  </si>
  <si>
    <t>LASTRO COM MATERIAL GRANULAR, APLICADO EM BLOCOS DE COROAMENTO, ESPESSURADE *10 CM*. AF_08/2017</t>
  </si>
  <si>
    <t>FABRICAÇÃO, MONTAGEM E DESMONTAGEM DE FÔRMA PARA VIGA BALDRAME, EM MADEIRA SERRADA, E=25 MM, 4 UTILIZAÇÕES. AF_06/2017</t>
  </si>
  <si>
    <t>TOTAL DO ITEM 2 =</t>
  </si>
  <si>
    <t>ARMAÇÃO DE ESTRUTURAS DIVERSAS DE CONCRETO ARMADO, EXCETO VIGAS, PILARES, LAJES E FUNDAÇÕES, UTILIZANDO AÇO CA-60 DE 5,0 MM - MONTAGEM. AF_06/2022 (VIGA CINTA)</t>
  </si>
  <si>
    <t>FECHAMENTO METÁLICO (LATERIAS E OITÕES DA ARENA)</t>
  </si>
  <si>
    <t>TOTAL DO ITEM 3 =</t>
  </si>
  <si>
    <t xml:space="preserve">TOTAL DO ITEM 4 = </t>
  </si>
  <si>
    <t xml:space="preserve">TOTAL DO ITEM 4.1 = </t>
  </si>
  <si>
    <t>TOTAL DO ITEM 4.2 =</t>
  </si>
  <si>
    <t>FABRICAÇÃO E INSTALAÇÃO DE TESOURA INTEIRA EM AÇO, VÃO DE 12 M, PARA TELHA ONDULADA DE FIBROCIMENTO, METÁLICA, PLÁSTICA OU TERMOACÚSTICA, INCLUSO IÇAMENTO. AF_12/2015</t>
  </si>
  <si>
    <t>COMPOSIÇÃO PARAMÉTRICA DE INSTALAÇÃO DE TUBOS DE PVC, SÉRIE R, PARA COLETA DE ÁGUA PLUVIAL EM VARANDA, INSTALADO EM RAMAL DE ENCAMINHAMENTO E CONDUTOR VERTICAL, COM CONEXÕES, RALOS, CORTES E FIXAÇÕES, PARA PRÉDIO. AF_05/2023</t>
  </si>
  <si>
    <t>CALHA EM CHAPA DE AÇO GALVANIZADO NÚMERO 24, DESENVOLVIMENTO DE 100 CM, INCLUSO TRANSPORTE VERTICAL. AF_07/2019</t>
  </si>
  <si>
    <t>TOTAL DO ITEM 5 =</t>
  </si>
  <si>
    <t>PISO EM CONCRETO 20 MPA PREPARO MECÂNICO, ESPESSURA 7CM. AF_09/2020 (RAMPA PARA EMBARQUE NO CAVALO)</t>
  </si>
  <si>
    <t>PREGO DE ACO POLIDO COM CABECA 17 X 21 (2 X 11) (RAMPA PARA EMBARQUE NO CAVALO)</t>
  </si>
  <si>
    <t>CARPINTEIRO DE FORMAS COM ENCARGOS COMPLEMENTARES (RAMPA PARA EMBARQUE NO CAVALO)</t>
  </si>
  <si>
    <t>PINTURA VERNIZ (INCOLOR) POLIURETÂNICO (RESINA ALQUÍDICA MODIFICADA) EM MADEIRA, 1 DEMÃO. AF_01/2021 (RAMPA PARA EMBARQUE NO CAVALO)</t>
  </si>
  <si>
    <t>TOTAL DO ITEM 6 =</t>
  </si>
  <si>
    <t>TOTAL DO ITEM 7 =</t>
  </si>
  <si>
    <t>INSTALAÇÕES ELÉTRICAS</t>
  </si>
  <si>
    <t>REFLETOR RETANGULAR FECHADO, COM LÂMPADA VAPOR METÁLICO 400 W - FORNECIMENTO E INSTALAÇÃO. AF_08/2020 (ACHAR OUTRO REFLETOR)</t>
  </si>
  <si>
    <t>CURVA 90 GRAUS PARA ELETRODUTO, PVC, ROSCÁVEL, DN 25 MM (3/4"), PARA CIRCU ITOS TERMINAIS, INSTALADA EM FORRO - FORNECIMENTO E INSTALAÇÃO. AF_03/2023</t>
  </si>
  <si>
    <t>COMPOSIÇÃO PARAMÉTRICA DE PONTO ELÉTRICO DE ILUMINAÇÃO, COM INTERRUPTOR SIMPLES, EM EDIFÍCIO RESIDENCIAL COM ELETRODUTO EMBUTIDO EM RASGOS NAS PAREDES, INCLUSO TOMADA, ELETRODUTO, CABO, RASGO E CHUMBAMENTO (SEM LUMINÁRIA ELÂMPADA). AF_11/2022 (TROCAR O ITEM)</t>
  </si>
  <si>
    <t>TOTAL DO ITEM 8 =</t>
  </si>
  <si>
    <t>TOTAL DO ITEM 9 =</t>
  </si>
  <si>
    <t>TOTAL DO ITEM 10 =</t>
  </si>
  <si>
    <t>TOTAL DO ITEM 11 =</t>
  </si>
  <si>
    <t>TOTAL DO ITEM 12 =</t>
  </si>
  <si>
    <t>TOTAL GLOBAL =</t>
  </si>
  <si>
    <t>ELETRODUTO RÍGIDO SOLDÁVEL, PVC, DN 25 MM (3/4''), APARENTE - FORNECIMENTO E INSTALAÇÃO. AF_10/2022</t>
  </si>
  <si>
    <t>DISJUNTOR MONOPOLAR TIPO DIN, CORRENTE NOMINAL DE 16A - FORNECIMENTO E INSTALAÇÃO. AF_10/2020</t>
  </si>
  <si>
    <t>DISJUNTOR MONOPOLAR TIPO DIN, CORRENTE NOMINAL DE 25A - FORNECIMENTO E INSTALAÇÃO. AF_10/2020</t>
  </si>
  <si>
    <t>PREFEITURA MUNICIPAL DE PIÊN PR</t>
  </si>
  <si>
    <t xml:space="preserve">CNPJ: 76.002.666/0001-40 </t>
  </si>
  <si>
    <t>OBRA/BLOCO:</t>
  </si>
  <si>
    <t>LOCACAO CONVENCIONAL DE OBRA, UTILIZANDO GABARITO DE TÁBUAS CORRIDAS PONTA LETADAS A CADA 2,00M - 2 UTILIZAÇÕES. AF_10/2018</t>
  </si>
  <si>
    <t>EXECUÇÃO DE SANITÁRIO E VESTIÁRIO EM CANTEIRO DE OBRA EM CHAPA DE MADEIRA COMPENSADA, NÃO INCLUSO MOBILIÁRIO. AF_02/2016</t>
  </si>
  <si>
    <t>EXECUÇÃO DE ALMOXARIFADO EM CANTEIRO DE OBRA EM CHAPA DE MADEIRA COMPENSADA, INCLUSO PRATELEIRAS. AF_02/2016</t>
  </si>
  <si>
    <t>TAPUME COM TELHA METÁLICA. AF_05/2018</t>
  </si>
  <si>
    <t>FORNECIMENTO E INSTALAÇÃO DE PLACA DE OBRA COM CHAPA GALVANIZADA E ESTRUTURA DE MADEIRA. AF_03/2022_PS</t>
  </si>
  <si>
    <t>Guatambú/SC,  26 de janeiro de 2024</t>
  </si>
  <si>
    <t>Guatambú/SC, 26 de janeiro de 2024</t>
  </si>
  <si>
    <t>VALOR (R$):</t>
  </si>
  <si>
    <t xml:space="preserve">TOTAL = </t>
  </si>
  <si>
    <t>MONTAGEM E DESMONTAGEM DE FÔRMA DE PILARES RETANGULARES E ESTRUTURAS SIMILARES, PÉ-DIREITO SIMPLES, EM CHAPA DE MADEIRA COMPENSADA RESINADA, 2 UTILIZAÇÕES. AF_09/2020</t>
  </si>
  <si>
    <t>CUSTO UNITÁRIO      (sem BDI)</t>
  </si>
  <si>
    <t>EMPRESA</t>
  </si>
  <si>
    <t>CNPJ</t>
  </si>
  <si>
    <t xml:space="preserve">UND </t>
  </si>
  <si>
    <t>Descrição da COMPOSIÇÃO</t>
  </si>
  <si>
    <t>PLANILHA DE COTAÇÕES</t>
  </si>
  <si>
    <t>INSTALAÇÕES DO SISTEMA PREVENTICO CONTRA INCÊNDIO</t>
  </si>
  <si>
    <t xml:space="preserve">TOTAL DA COMPOSIÇÃO 1 = </t>
  </si>
  <si>
    <t xml:space="preserve">TOTAL DA COMPOSIÇÃO 2 = </t>
  </si>
  <si>
    <t xml:space="preserve">TOTAL DA COMPOSIÇÃO 3 = </t>
  </si>
  <si>
    <t xml:space="preserve">TOTAL DA COMPOSIÇÃO 4 = </t>
  </si>
  <si>
    <t xml:space="preserve">TOTAL DA COMPOSIÇÃO 5 = </t>
  </si>
  <si>
    <t xml:space="preserve">TOTAL DA COMPOSIÇÃO 6 = </t>
  </si>
  <si>
    <t xml:space="preserve">TOTAL DA COMPOSIÇÃO 7 = </t>
  </si>
  <si>
    <t xml:space="preserve">TOTAL DA COMPOSIÇÃO 8 = </t>
  </si>
  <si>
    <t xml:space="preserve">TOTAL DA COMPOSIÇÃO 9 = </t>
  </si>
  <si>
    <t xml:space="preserve">TOTAL DA COMPOSIÇÃO 10 = </t>
  </si>
  <si>
    <t xml:space="preserve">TOTAL DA COMPOSIÇÃO 11 = </t>
  </si>
  <si>
    <t xml:space="preserve">TOTAL DA COMPOSIÇÃO 12 = </t>
  </si>
  <si>
    <t xml:space="preserve">TOTAL DA COMPOSIÇÃO 13 = </t>
  </si>
  <si>
    <t>COMPLEXO ESCOLA ESPECIAL / BLOCO 03 - PARTE A (ARENA EQUOTERAPIA (PICADEIRO))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</si>
</sst>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 * #,##0.00_ ;_ * \-#,##0.00_ ;_ * &quot;-&quot;??_ ;_ @_ "/>
    <numFmt numFmtId="165" formatCode="_(&quot;R$ &quot;* #,##0.00_);_(&quot;R$ &quot;* \(#,##0.00\);_(&quot;R$ &quot;* &quot;-&quot;??_);_(@_)"/>
    <numFmt numFmtId="166" formatCode="_(* #,##0.00_);_(* \(#,##0.00\);_(* &quot;-&quot;??_);_(@_)"/>
    <numFmt numFmtId="167" formatCode="_(&quot;R$&quot;* #,##0.00_);_(&quot;R$&quot;* \(#,##0.00\);_(&quot;R$&quot;* &quot;-&quot;??_);_(@_)"/>
    <numFmt numFmtId="168" formatCode="#\,##0.00"/>
    <numFmt numFmtId="169" formatCode="#\,##0."/>
    <numFmt numFmtId="170" formatCode="\$#.00"/>
    <numFmt numFmtId="171" formatCode="\$#."/>
    <numFmt numFmtId="172" formatCode="#.00"/>
    <numFmt numFmtId="173" formatCode="%#.00"/>
    <numFmt numFmtId="174" formatCode="&quot;R$&quot;\ #,##0.00"/>
  </numFmts>
  <fonts count="2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"/>
      <color indexed="8"/>
      <name val="Courier"/>
      <family val="3"/>
    </font>
    <font>
      <b/>
      <sz val="8"/>
      <name val="Times New Roman"/>
      <family val="1"/>
    </font>
    <font>
      <b/>
      <sz val="1"/>
      <color indexed="8"/>
      <name val="Courier"/>
      <family val="3"/>
    </font>
    <font>
      <b/>
      <sz val="10"/>
      <name val="Arial"/>
      <family val="2"/>
    </font>
    <font>
      <b/>
      <sz val="11"/>
      <color indexed="8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8"/>
      <color rgb="FFFF0000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sz val="12"/>
      <color rgb="FFFF0000"/>
      <name val="Calibri"/>
      <family val="2"/>
      <scheme val="minor"/>
    </font>
    <font>
      <b/>
      <sz val="11"/>
      <name val="Arial"/>
      <family val="2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10"/>
      <color theme="0"/>
      <name val="Arial"/>
      <family val="2"/>
    </font>
    <font>
      <b/>
      <sz val="16"/>
      <color theme="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18918"/>
        <bgColor indexed="64"/>
      </patternFill>
    </fill>
    <fill>
      <patternFill patternType="solid">
        <fgColor rgb="FF27447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168" fontId="7" fillId="0" borderId="0">
      <protection locked="0"/>
    </xf>
    <xf numFmtId="169" fontId="7" fillId="0" borderId="0">
      <protection locked="0"/>
    </xf>
    <xf numFmtId="170" fontId="7" fillId="0" borderId="0">
      <protection locked="0"/>
    </xf>
    <xf numFmtId="171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6" fillId="0" borderId="0"/>
    <xf numFmtId="0" fontId="4" fillId="0" borderId="0"/>
    <xf numFmtId="172" fontId="7" fillId="0" borderId="0">
      <protection locked="0"/>
    </xf>
    <xf numFmtId="172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44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6" fillId="0" borderId="0"/>
    <xf numFmtId="0" fontId="4" fillId="0" borderId="0"/>
    <xf numFmtId="173" fontId="7" fillId="0" borderId="0">
      <protection locked="0"/>
    </xf>
    <xf numFmtId="173" fontId="7" fillId="0" borderId="0">
      <protection locked="0"/>
    </xf>
    <xf numFmtId="0" fontId="8" fillId="0" borderId="1" applyNumberFormat="0" applyFont="0" applyBorder="0" applyAlignment="0"/>
    <xf numFmtId="168" fontId="7" fillId="0" borderId="0">
      <protection locked="0"/>
    </xf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9" fillId="0" borderId="0">
      <protection locked="0"/>
    </xf>
    <xf numFmtId="0" fontId="9" fillId="0" borderId="0">
      <protection locked="0"/>
    </xf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64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10" fillId="0" borderId="0" xfId="0" applyFont="1" applyAlignment="1">
      <alignment horizontal="right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167" fontId="14" fillId="0" borderId="2" xfId="13" applyNumberFormat="1" applyFont="1" applyFill="1" applyBorder="1" applyAlignment="1">
      <alignment vertical="center" wrapText="1"/>
    </xf>
    <xf numFmtId="167" fontId="14" fillId="3" borderId="2" xfId="13" applyNumberFormat="1" applyFont="1" applyFill="1" applyBorder="1" applyAlignment="1">
      <alignment vertical="center" wrapText="1"/>
    </xf>
    <xf numFmtId="0" fontId="15" fillId="0" borderId="0" xfId="0" applyFont="1" applyAlignment="1">
      <alignment vertical="center"/>
    </xf>
    <xf numFmtId="0" fontId="16" fillId="2" borderId="2" xfId="0" applyFont="1" applyFill="1" applyBorder="1" applyAlignment="1">
      <alignment horizontal="center" vertical="center"/>
    </xf>
    <xf numFmtId="0" fontId="16" fillId="0" borderId="2" xfId="0" applyFont="1" applyBorder="1" applyAlignment="1">
      <alignment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/>
    </xf>
    <xf numFmtId="167" fontId="14" fillId="6" borderId="2" xfId="13" applyNumberFormat="1" applyFont="1" applyFill="1" applyBorder="1" applyAlignment="1">
      <alignment vertical="center" wrapText="1"/>
    </xf>
    <xf numFmtId="0" fontId="16" fillId="7" borderId="2" xfId="0" applyFont="1" applyFill="1" applyBorder="1" applyAlignment="1">
      <alignment horizontal="center" vertical="center"/>
    </xf>
    <xf numFmtId="167" fontId="16" fillId="8" borderId="2" xfId="13" applyNumberFormat="1" applyFont="1" applyFill="1" applyBorder="1" applyAlignment="1">
      <alignment vertical="center" wrapText="1"/>
    </xf>
    <xf numFmtId="2" fontId="14" fillId="6" borderId="2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18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2" fontId="21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2" xfId="0" applyFont="1" applyBorder="1" applyAlignment="1">
      <alignment vertical="center"/>
    </xf>
    <xf numFmtId="0" fontId="18" fillId="0" borderId="2" xfId="0" applyFont="1" applyBorder="1" applyAlignment="1">
      <alignment horizontal="center" vertical="center"/>
    </xf>
    <xf numFmtId="174" fontId="14" fillId="6" borderId="2" xfId="0" applyNumberFormat="1" applyFont="1" applyFill="1" applyBorder="1" applyAlignment="1">
      <alignment horizontal="center" vertical="center" wrapText="1"/>
    </xf>
    <xf numFmtId="174" fontId="22" fillId="0" borderId="0" xfId="0" applyNumberFormat="1" applyFont="1" applyAlignment="1">
      <alignment horizontal="center" vertical="center"/>
    </xf>
    <xf numFmtId="174" fontId="21" fillId="0" borderId="0" xfId="0" applyNumberFormat="1" applyFont="1" applyAlignment="1">
      <alignment horizontal="center" vertical="center"/>
    </xf>
    <xf numFmtId="174" fontId="18" fillId="0" borderId="0" xfId="0" applyNumberFormat="1" applyFont="1" applyAlignment="1">
      <alignment vertical="center"/>
    </xf>
    <xf numFmtId="174" fontId="18" fillId="0" borderId="2" xfId="0" applyNumberFormat="1" applyFont="1" applyBorder="1" applyAlignment="1">
      <alignment vertical="center"/>
    </xf>
    <xf numFmtId="2" fontId="22" fillId="0" borderId="0" xfId="0" applyNumberFormat="1" applyFont="1" applyAlignment="1">
      <alignment horizontal="center" vertical="center"/>
    </xf>
    <xf numFmtId="2" fontId="18" fillId="0" borderId="0" xfId="0" applyNumberFormat="1" applyFont="1" applyAlignment="1">
      <alignment vertical="center"/>
    </xf>
    <xf numFmtId="2" fontId="18" fillId="0" borderId="2" xfId="0" applyNumberFormat="1" applyFont="1" applyBorder="1" applyAlignment="1">
      <alignment vertical="center"/>
    </xf>
    <xf numFmtId="2" fontId="14" fillId="0" borderId="2" xfId="31" applyNumberFormat="1" applyFont="1" applyFill="1" applyBorder="1" applyAlignment="1">
      <alignment horizontal="center" vertical="center"/>
    </xf>
    <xf numFmtId="174" fontId="14" fillId="0" borderId="2" xfId="13" applyNumberFormat="1" applyFont="1" applyFill="1" applyBorder="1" applyAlignment="1">
      <alignment vertical="center" wrapText="1"/>
    </xf>
    <xf numFmtId="0" fontId="14" fillId="0" borderId="3" xfId="0" applyFont="1" applyBorder="1" applyAlignment="1">
      <alignment horizontal="center" vertical="center" wrapText="1"/>
    </xf>
    <xf numFmtId="174" fontId="14" fillId="6" borderId="2" xfId="0" applyNumberFormat="1" applyFont="1" applyFill="1" applyBorder="1" applyAlignment="1">
      <alignment horizontal="right" vertical="center" wrapText="1"/>
    </xf>
    <xf numFmtId="0" fontId="14" fillId="6" borderId="3" xfId="0" applyFont="1" applyFill="1" applyBorder="1" applyAlignment="1">
      <alignment horizontal="center" vertical="center"/>
    </xf>
    <xf numFmtId="2" fontId="14" fillId="0" borderId="2" xfId="41" applyNumberFormat="1" applyFont="1" applyFill="1" applyBorder="1" applyAlignment="1">
      <alignment horizontal="center" vertical="center"/>
    </xf>
    <xf numFmtId="174" fontId="14" fillId="0" borderId="2" xfId="18" applyNumberFormat="1" applyFont="1" applyFill="1" applyBorder="1" applyAlignment="1">
      <alignment vertical="center" wrapText="1"/>
    </xf>
    <xf numFmtId="167" fontId="14" fillId="0" borderId="2" xfId="18" applyNumberFormat="1" applyFont="1" applyFill="1" applyBorder="1" applyAlignment="1">
      <alignment vertical="center" wrapText="1"/>
    </xf>
    <xf numFmtId="167" fontId="14" fillId="3" borderId="2" xfId="18" applyNumberFormat="1" applyFont="1" applyFill="1" applyBorder="1" applyAlignment="1">
      <alignment vertical="center" wrapText="1"/>
    </xf>
    <xf numFmtId="0" fontId="25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6" fillId="10" borderId="2" xfId="0" applyFont="1" applyFill="1" applyBorder="1" applyAlignment="1">
      <alignment horizontal="center" vertical="center"/>
    </xf>
    <xf numFmtId="0" fontId="16" fillId="10" borderId="2" xfId="0" applyFont="1" applyFill="1" applyBorder="1" applyAlignment="1">
      <alignment horizontal="center" vertical="center" wrapText="1"/>
    </xf>
    <xf numFmtId="2" fontId="16" fillId="10" borderId="2" xfId="0" applyNumberFormat="1" applyFont="1" applyFill="1" applyBorder="1" applyAlignment="1">
      <alignment horizontal="center" vertical="center" wrapText="1"/>
    </xf>
    <xf numFmtId="174" fontId="16" fillId="10" borderId="2" xfId="0" applyNumberFormat="1" applyFont="1" applyFill="1" applyBorder="1" applyAlignment="1">
      <alignment horizontal="center" vertical="center" wrapText="1"/>
    </xf>
    <xf numFmtId="174" fontId="16" fillId="4" borderId="5" xfId="0" applyNumberFormat="1" applyFont="1" applyFill="1" applyBorder="1" applyAlignment="1">
      <alignment horizontal="right" vertical="center" wrapText="1"/>
    </xf>
    <xf numFmtId="0" fontId="26" fillId="6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2" fontId="10" fillId="0" borderId="5" xfId="0" applyNumberFormat="1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16" fillId="12" borderId="2" xfId="0" applyFont="1" applyFill="1" applyBorder="1" applyAlignment="1">
      <alignment horizontal="center" vertical="center"/>
    </xf>
    <xf numFmtId="2" fontId="22" fillId="0" borderId="0" xfId="0" applyNumberFormat="1" applyFont="1" applyAlignment="1">
      <alignment horizontal="left" vertical="center"/>
    </xf>
    <xf numFmtId="174" fontId="22" fillId="0" borderId="0" xfId="0" applyNumberFormat="1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2" fontId="21" fillId="0" borderId="0" xfId="0" applyNumberFormat="1" applyFont="1" applyAlignment="1">
      <alignment horizontal="left" vertical="center"/>
    </xf>
    <xf numFmtId="174" fontId="21" fillId="0" borderId="0" xfId="0" applyNumberFormat="1" applyFont="1" applyAlignment="1">
      <alignment horizontal="left" vertical="center"/>
    </xf>
    <xf numFmtId="2" fontId="14" fillId="0" borderId="0" xfId="0" applyNumberFormat="1" applyFont="1" applyAlignment="1">
      <alignment horizontal="left" vertical="center"/>
    </xf>
    <xf numFmtId="174" fontId="14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44" fontId="14" fillId="9" borderId="2" xfId="0" applyNumberFormat="1" applyFont="1" applyFill="1" applyBorder="1" applyAlignment="1">
      <alignment horizontal="center" vertical="center"/>
    </xf>
    <xf numFmtId="10" fontId="14" fillId="6" borderId="2" xfId="0" applyNumberFormat="1" applyFont="1" applyFill="1" applyBorder="1" applyAlignment="1">
      <alignment horizontal="center" vertical="center"/>
    </xf>
    <xf numFmtId="9" fontId="14" fillId="0" borderId="2" xfId="0" applyNumberFormat="1" applyFont="1" applyFill="1" applyBorder="1" applyAlignment="1">
      <alignment horizontal="center" vertical="center" wrapText="1"/>
    </xf>
    <xf numFmtId="174" fontId="14" fillId="9" borderId="2" xfId="0" applyNumberFormat="1" applyFont="1" applyFill="1" applyBorder="1" applyAlignment="1">
      <alignment horizontal="center" vertical="center"/>
    </xf>
    <xf numFmtId="10" fontId="14" fillId="0" borderId="2" xfId="0" applyNumberFormat="1" applyFont="1" applyFill="1" applyBorder="1" applyAlignment="1">
      <alignment horizontal="center" vertical="center"/>
    </xf>
    <xf numFmtId="174" fontId="14" fillId="9" borderId="2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44" fontId="16" fillId="9" borderId="2" xfId="0" applyNumberFormat="1" applyFont="1" applyFill="1" applyBorder="1" applyAlignment="1">
      <alignment horizontal="center" vertical="center" wrapText="1"/>
    </xf>
    <xf numFmtId="10" fontId="16" fillId="0" borderId="2" xfId="0" applyNumberFormat="1" applyFont="1" applyBorder="1" applyAlignment="1">
      <alignment horizontal="center" vertical="center"/>
    </xf>
    <xf numFmtId="0" fontId="16" fillId="0" borderId="3" xfId="0" applyFont="1" applyBorder="1" applyAlignment="1">
      <alignment vertical="center" wrapText="1"/>
    </xf>
    <xf numFmtId="167" fontId="16" fillId="8" borderId="2" xfId="0" quotePrefix="1" applyNumberFormat="1" applyFont="1" applyFill="1" applyBorder="1" applyAlignment="1">
      <alignment vertical="center"/>
    </xf>
    <xf numFmtId="2" fontId="10" fillId="0" borderId="4" xfId="0" applyNumberFormat="1" applyFont="1" applyFill="1" applyBorder="1" applyAlignment="1">
      <alignment vertical="center" wrapText="1"/>
    </xf>
    <xf numFmtId="174" fontId="16" fillId="0" borderId="4" xfId="0" applyNumberFormat="1" applyFont="1" applyFill="1" applyBorder="1" applyAlignment="1">
      <alignment horizontal="right" vertical="center" wrapText="1"/>
    </xf>
    <xf numFmtId="0" fontId="14" fillId="0" borderId="0" xfId="0" applyFont="1" applyAlignment="1">
      <alignment horizontal="left" vertical="center"/>
    </xf>
    <xf numFmtId="0" fontId="16" fillId="8" borderId="3" xfId="0" quotePrefix="1" applyFont="1" applyFill="1" applyBorder="1" applyAlignment="1">
      <alignment horizontal="right" vertical="center"/>
    </xf>
    <xf numFmtId="0" fontId="16" fillId="8" borderId="4" xfId="0" quotePrefix="1" applyFont="1" applyFill="1" applyBorder="1" applyAlignment="1">
      <alignment horizontal="right" vertical="center"/>
    </xf>
    <xf numFmtId="0" fontId="16" fillId="8" borderId="5" xfId="0" quotePrefix="1" applyFont="1" applyFill="1" applyBorder="1" applyAlignment="1">
      <alignment horizontal="right" vertical="center"/>
    </xf>
    <xf numFmtId="0" fontId="16" fillId="12" borderId="3" xfId="0" applyFont="1" applyFill="1" applyBorder="1" applyAlignment="1">
      <alignment horizontal="left" vertical="center" wrapText="1"/>
    </xf>
    <xf numFmtId="0" fontId="16" fillId="12" borderId="4" xfId="0" applyFont="1" applyFill="1" applyBorder="1" applyAlignment="1">
      <alignment horizontal="left" vertical="center" wrapText="1"/>
    </xf>
    <xf numFmtId="0" fontId="16" fillId="12" borderId="5" xfId="0" applyFont="1" applyFill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13" borderId="3" xfId="0" applyFont="1" applyFill="1" applyBorder="1" applyAlignment="1">
      <alignment horizontal="left" vertical="center" wrapText="1"/>
    </xf>
    <xf numFmtId="0" fontId="14" fillId="13" borderId="4" xfId="0" applyFont="1" applyFill="1" applyBorder="1" applyAlignment="1">
      <alignment horizontal="left" vertical="center" wrapText="1"/>
    </xf>
    <xf numFmtId="0" fontId="14" fillId="13" borderId="5" xfId="0" applyFont="1" applyFill="1" applyBorder="1" applyAlignment="1">
      <alignment horizontal="left" vertical="center" wrapText="1"/>
    </xf>
    <xf numFmtId="0" fontId="14" fillId="6" borderId="3" xfId="0" applyFont="1" applyFill="1" applyBorder="1" applyAlignment="1">
      <alignment horizontal="left" vertical="center" wrapText="1"/>
    </xf>
    <xf numFmtId="0" fontId="14" fillId="6" borderId="4" xfId="0" applyFont="1" applyFill="1" applyBorder="1" applyAlignment="1">
      <alignment horizontal="left" vertical="center" wrapText="1"/>
    </xf>
    <xf numFmtId="0" fontId="14" fillId="6" borderId="5" xfId="0" applyFont="1" applyFill="1" applyBorder="1" applyAlignment="1">
      <alignment horizontal="left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16" fillId="10" borderId="2" xfId="0" applyFont="1" applyFill="1" applyBorder="1" applyAlignment="1">
      <alignment horizontal="left" vertical="center" wrapText="1"/>
    </xf>
    <xf numFmtId="17" fontId="16" fillId="5" borderId="2" xfId="0" applyNumberFormat="1" applyFont="1" applyFill="1" applyBorder="1" applyAlignment="1">
      <alignment horizontal="center" vertical="center" wrapText="1"/>
    </xf>
    <xf numFmtId="0" fontId="27" fillId="11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left" vertical="center"/>
    </xf>
    <xf numFmtId="0" fontId="16" fillId="2" borderId="4" xfId="0" applyFont="1" applyFill="1" applyBorder="1" applyAlignment="1">
      <alignment horizontal="left" vertical="center"/>
    </xf>
    <xf numFmtId="0" fontId="16" fillId="2" borderId="5" xfId="0" applyFont="1" applyFill="1" applyBorder="1" applyAlignment="1">
      <alignment horizontal="left" vertical="center"/>
    </xf>
    <xf numFmtId="0" fontId="14" fillId="0" borderId="2" xfId="0" applyFont="1" applyBorder="1" applyAlignment="1">
      <alignment horizontal="left" vertical="center" wrapText="1"/>
    </xf>
    <xf numFmtId="44" fontId="13" fillId="4" borderId="2" xfId="0" applyNumberFormat="1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10" fontId="16" fillId="5" borderId="2" xfId="0" applyNumberFormat="1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6" fillId="0" borderId="5" xfId="0" applyFont="1" applyBorder="1" applyAlignment="1">
      <alignment horizontal="right" vertical="center" wrapText="1"/>
    </xf>
    <xf numFmtId="10" fontId="14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left" vertical="center" wrapText="1"/>
    </xf>
    <xf numFmtId="0" fontId="16" fillId="10" borderId="2" xfId="0" applyFont="1" applyFill="1" applyBorder="1" applyAlignment="1">
      <alignment horizontal="center" vertical="center" wrapText="1"/>
    </xf>
    <xf numFmtId="0" fontId="16" fillId="10" borderId="2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 wrapText="1"/>
    </xf>
    <xf numFmtId="10" fontId="14" fillId="0" borderId="3" xfId="0" applyNumberFormat="1" applyFont="1" applyBorder="1" applyAlignment="1">
      <alignment horizontal="center" vertical="center" wrapText="1"/>
    </xf>
    <xf numFmtId="10" fontId="14" fillId="0" borderId="5" xfId="0" applyNumberFormat="1" applyFont="1" applyBorder="1" applyAlignment="1">
      <alignment horizontal="center" vertical="center" wrapText="1"/>
    </xf>
    <xf numFmtId="44" fontId="14" fillId="0" borderId="3" xfId="0" applyNumberFormat="1" applyFont="1" applyBorder="1" applyAlignment="1">
      <alignment horizontal="center" vertical="center" wrapText="1"/>
    </xf>
    <xf numFmtId="44" fontId="14" fillId="0" borderId="5" xfId="0" applyNumberFormat="1" applyFont="1" applyBorder="1" applyAlignment="1">
      <alignment horizontal="center" vertical="center" wrapText="1"/>
    </xf>
    <xf numFmtId="44" fontId="14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9" fontId="14" fillId="0" borderId="2" xfId="0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10" borderId="3" xfId="0" applyFont="1" applyFill="1" applyBorder="1" applyAlignment="1">
      <alignment horizontal="center" vertical="center" wrapText="1"/>
    </xf>
    <xf numFmtId="0" fontId="16" fillId="10" borderId="5" xfId="0" applyFont="1" applyFill="1" applyBorder="1" applyAlignment="1">
      <alignment horizontal="center" vertical="center" wrapText="1"/>
    </xf>
    <xf numFmtId="0" fontId="27" fillId="11" borderId="3" xfId="0" applyFont="1" applyFill="1" applyBorder="1" applyAlignment="1">
      <alignment horizontal="center" vertical="center" wrapText="1"/>
    </xf>
    <xf numFmtId="0" fontId="27" fillId="11" borderId="4" xfId="0" applyFont="1" applyFill="1" applyBorder="1" applyAlignment="1">
      <alignment horizontal="center" vertical="center" wrapText="1"/>
    </xf>
    <xf numFmtId="0" fontId="27" fillId="11" borderId="5" xfId="0" applyFont="1" applyFill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/>
    </xf>
    <xf numFmtId="0" fontId="16" fillId="7" borderId="3" xfId="0" applyFont="1" applyFill="1" applyBorder="1" applyAlignment="1">
      <alignment horizontal="left" vertical="center" wrapText="1"/>
    </xf>
    <xf numFmtId="0" fontId="16" fillId="7" borderId="4" xfId="0" applyFont="1" applyFill="1" applyBorder="1" applyAlignment="1">
      <alignment horizontal="left" vertical="center" wrapText="1"/>
    </xf>
    <xf numFmtId="0" fontId="16" fillId="7" borderId="5" xfId="0" applyFont="1" applyFill="1" applyBorder="1" applyAlignment="1">
      <alignment horizontal="left" vertical="center" wrapText="1"/>
    </xf>
    <xf numFmtId="0" fontId="16" fillId="7" borderId="3" xfId="0" applyFont="1" applyFill="1" applyBorder="1" applyAlignment="1">
      <alignment horizontal="left" vertical="center"/>
    </xf>
    <xf numFmtId="0" fontId="16" fillId="7" borderId="4" xfId="0" applyFont="1" applyFill="1" applyBorder="1" applyAlignment="1">
      <alignment horizontal="left" vertical="center"/>
    </xf>
    <xf numFmtId="0" fontId="16" fillId="7" borderId="5" xfId="0" applyFont="1" applyFill="1" applyBorder="1" applyAlignment="1">
      <alignment horizontal="left" vertical="center"/>
    </xf>
    <xf numFmtId="0" fontId="19" fillId="0" borderId="9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10" fontId="16" fillId="0" borderId="4" xfId="0" applyNumberFormat="1" applyFont="1" applyFill="1" applyBorder="1" applyAlignment="1">
      <alignment horizontal="center" vertical="center" wrapText="1"/>
    </xf>
    <xf numFmtId="10" fontId="16" fillId="0" borderId="5" xfId="0" applyNumberFormat="1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17" fontId="16" fillId="0" borderId="4" xfId="0" applyNumberFormat="1" applyFont="1" applyFill="1" applyBorder="1" applyAlignment="1">
      <alignment horizontal="center" vertical="center" wrapText="1"/>
    </xf>
  </cellXfs>
  <cellStyles count="42">
    <cellStyle name="Comma" xfId="1"/>
    <cellStyle name="Comma0" xfId="2"/>
    <cellStyle name="Currency" xfId="3"/>
    <cellStyle name="Currency0" xfId="4"/>
    <cellStyle name="Data" xfId="5"/>
    <cellStyle name="Date" xfId="6"/>
    <cellStyle name="Estilo 1" xfId="7"/>
    <cellStyle name="Estilo 1 2" xfId="8"/>
    <cellStyle name="Fixed" xfId="9"/>
    <cellStyle name="Fixo" xfId="10"/>
    <cellStyle name="Heading 1" xfId="11"/>
    <cellStyle name="Heading 2" xfId="12"/>
    <cellStyle name="Moeda" xfId="13" builtinId="4"/>
    <cellStyle name="Moeda 2" xfId="14"/>
    <cellStyle name="Moeda 2 2" xfId="15"/>
    <cellStyle name="Moeda 3" xfId="16"/>
    <cellStyle name="Moeda 3 2" xfId="17"/>
    <cellStyle name="Moeda 4" xfId="18"/>
    <cellStyle name="Normal" xfId="0" builtinId="0"/>
    <cellStyle name="Normal 2" xfId="19"/>
    <cellStyle name="Normal 3" xfId="20"/>
    <cellStyle name="Normal 3 3" xfId="21"/>
    <cellStyle name="Percent" xfId="22"/>
    <cellStyle name="Percentual" xfId="23"/>
    <cellStyle name="planilhas" xfId="24"/>
    <cellStyle name="Ponto" xfId="25"/>
    <cellStyle name="Porcentagem 2" xfId="26"/>
    <cellStyle name="Porcentagem 2 2" xfId="27"/>
    <cellStyle name="Porcentagem 2 2 2" xfId="28"/>
    <cellStyle name="Porcentagem 2 3" xfId="29"/>
    <cellStyle name="Porcentagem 3" xfId="30"/>
    <cellStyle name="Separador de milhares 2" xfId="32"/>
    <cellStyle name="Separador de milhares 2 2" xfId="33"/>
    <cellStyle name="Separador de milhares 2 2 2" xfId="34"/>
    <cellStyle name="Separador de milhares 2 3" xfId="35"/>
    <cellStyle name="Separador de milhares 3" xfId="36"/>
    <cellStyle name="Separador de milhares 3 2" xfId="37"/>
    <cellStyle name="Titulo1" xfId="38"/>
    <cellStyle name="Titulo2" xfId="39"/>
    <cellStyle name="Vírgula" xfId="31" builtinId="3"/>
    <cellStyle name="Vírgula 2" xfId="40"/>
    <cellStyle name="Vírgula 3" xfId="41"/>
  </cellStyles>
  <dxfs count="0"/>
  <tableStyles count="0" defaultTableStyle="TableStyleMedium9" defaultPivotStyle="PivotStyleLight16"/>
  <colors>
    <mruColors>
      <color rgb="FF274470"/>
      <color rgb="FFF18918"/>
      <color rgb="FF0075B0"/>
      <color rgb="FFFFFF66"/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85042</xdr:colOff>
      <xdr:row>0</xdr:row>
      <xdr:rowOff>80360</xdr:rowOff>
    </xdr:from>
    <xdr:to>
      <xdr:col>2</xdr:col>
      <xdr:colOff>517920</xdr:colOff>
      <xdr:row>4</xdr:row>
      <xdr:rowOff>173185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273" y="80360"/>
          <a:ext cx="1011705" cy="11923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49741</xdr:colOff>
      <xdr:row>0</xdr:row>
      <xdr:rowOff>178859</xdr:rowOff>
    </xdr:from>
    <xdr:to>
      <xdr:col>2</xdr:col>
      <xdr:colOff>547653</xdr:colOff>
      <xdr:row>4</xdr:row>
      <xdr:rowOff>254000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4" y="178859"/>
          <a:ext cx="1090579" cy="11863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33617</xdr:colOff>
      <xdr:row>0</xdr:row>
      <xdr:rowOff>81944</xdr:rowOff>
    </xdr:from>
    <xdr:to>
      <xdr:col>2</xdr:col>
      <xdr:colOff>560225</xdr:colOff>
      <xdr:row>4</xdr:row>
      <xdr:rowOff>190501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8867" y="81944"/>
          <a:ext cx="1121921" cy="120393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33617</xdr:colOff>
      <xdr:row>0</xdr:row>
      <xdr:rowOff>81944</xdr:rowOff>
    </xdr:from>
    <xdr:to>
      <xdr:col>2</xdr:col>
      <xdr:colOff>560225</xdr:colOff>
      <xdr:row>4</xdr:row>
      <xdr:rowOff>190501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8867" y="81944"/>
          <a:ext cx="1117158" cy="121345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sco-0\trabalhos\Trabalhos%20em%20Andamento\Santa%20B&#225;rbara\Petrobr&#225;s\Edise\06-%20Custo\C&#193;LCULO%20DE%20BDI%20SISC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retas"/>
      <sheetName val="CANTEIRO"/>
      <sheetName val="BDI - ANALÍTICO 1"/>
      <sheetName val="BDI - ANALÍTICO 2"/>
      <sheetName val="BDI - APRESENTAÇÃO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Z380"/>
  <sheetViews>
    <sheetView showGridLines="0" tabSelected="1" view="pageBreakPreview" zoomScale="77" zoomScaleNormal="70" zoomScaleSheetLayoutView="77" workbookViewId="0">
      <pane ySplit="7" topLeftCell="A8" activePane="bottomLeft" state="frozen"/>
      <selection pane="bottomLeft" activeCell="E3" sqref="E3:F3"/>
    </sheetView>
  </sheetViews>
  <sheetFormatPr defaultColWidth="9.140625" defaultRowHeight="15" x14ac:dyDescent="0.25"/>
  <cols>
    <col min="1" max="1" width="1.7109375" style="19" customWidth="1"/>
    <col min="2" max="2" width="8.7109375" style="27" customWidth="1"/>
    <col min="3" max="3" width="8.85546875" style="27" customWidth="1"/>
    <col min="4" max="4" width="17.7109375" style="27" customWidth="1"/>
    <col min="5" max="5" width="12.42578125" style="27" bestFit="1" customWidth="1"/>
    <col min="6" max="6" width="97.28515625" style="27" customWidth="1"/>
    <col min="7" max="7" width="14.7109375" style="28" customWidth="1"/>
    <col min="8" max="8" width="7.7109375" style="27" customWidth="1"/>
    <col min="9" max="9" width="11.85546875" style="36" customWidth="1"/>
    <col min="10" max="10" width="19.85546875" style="33" customWidth="1"/>
    <col min="11" max="11" width="18.7109375" style="27" customWidth="1"/>
    <col min="12" max="12" width="18.85546875" style="27" customWidth="1"/>
    <col min="13" max="16384" width="9.140625" style="19"/>
  </cols>
  <sheetData>
    <row r="1" spans="2:12" ht="30" customHeight="1" x14ac:dyDescent="0.25">
      <c r="B1" s="123"/>
      <c r="C1" s="123"/>
      <c r="D1" s="108" t="s">
        <v>21</v>
      </c>
      <c r="E1" s="108"/>
      <c r="F1" s="108"/>
      <c r="G1" s="108"/>
      <c r="H1" s="108"/>
      <c r="I1" s="108"/>
      <c r="J1" s="108"/>
      <c r="K1" s="113">
        <f>L114</f>
        <v>559760.74571227899</v>
      </c>
      <c r="L1" s="113"/>
    </row>
    <row r="2" spans="2:12" ht="6" customHeight="1" x14ac:dyDescent="0.25">
      <c r="B2" s="123"/>
      <c r="C2" s="123"/>
      <c r="D2" s="118"/>
      <c r="E2" s="119"/>
      <c r="F2" s="119"/>
      <c r="G2" s="119"/>
      <c r="H2" s="119"/>
      <c r="I2" s="119"/>
      <c r="J2" s="120"/>
      <c r="K2" s="120"/>
      <c r="L2" s="121"/>
    </row>
    <row r="3" spans="2:12" ht="25.5" customHeight="1" x14ac:dyDescent="0.25">
      <c r="B3" s="123"/>
      <c r="C3" s="123"/>
      <c r="D3" s="10" t="s">
        <v>320</v>
      </c>
      <c r="E3" s="124" t="s">
        <v>351</v>
      </c>
      <c r="F3" s="125"/>
      <c r="G3" s="59">
        <v>1.2273000000000001</v>
      </c>
      <c r="H3" s="60"/>
      <c r="I3" s="61"/>
      <c r="J3" s="58" t="s">
        <v>20</v>
      </c>
      <c r="K3" s="122">
        <v>0.2273</v>
      </c>
      <c r="L3" s="122"/>
    </row>
    <row r="4" spans="2:12" ht="25.5" customHeight="1" x14ac:dyDescent="0.25">
      <c r="B4" s="123"/>
      <c r="C4" s="123"/>
      <c r="D4" s="10" t="s">
        <v>7</v>
      </c>
      <c r="E4" s="112" t="s">
        <v>282</v>
      </c>
      <c r="F4" s="96"/>
      <c r="G4" s="62"/>
      <c r="H4" s="60"/>
      <c r="I4" s="61"/>
      <c r="J4" s="58" t="s">
        <v>19</v>
      </c>
      <c r="K4" s="105" t="s">
        <v>22</v>
      </c>
      <c r="L4" s="105"/>
    </row>
    <row r="5" spans="2:12" ht="25.5" customHeight="1" x14ac:dyDescent="0.25">
      <c r="B5" s="123"/>
      <c r="C5" s="123"/>
      <c r="D5" s="10" t="s">
        <v>5</v>
      </c>
      <c r="E5" s="112" t="s">
        <v>255</v>
      </c>
      <c r="F5" s="96"/>
      <c r="G5" s="62"/>
      <c r="H5" s="63"/>
      <c r="I5" s="61"/>
      <c r="J5" s="58" t="s">
        <v>18</v>
      </c>
      <c r="K5" s="107">
        <v>45310</v>
      </c>
      <c r="L5" s="105"/>
    </row>
    <row r="6" spans="2:12" ht="10.5" customHeight="1" x14ac:dyDescent="0.25">
      <c r="B6" s="114"/>
      <c r="C6" s="115"/>
      <c r="D6" s="115"/>
      <c r="E6" s="116"/>
      <c r="F6" s="116"/>
      <c r="G6" s="116"/>
      <c r="H6" s="116"/>
      <c r="I6" s="116"/>
      <c r="J6" s="115"/>
      <c r="K6" s="115"/>
      <c r="L6" s="117"/>
    </row>
    <row r="7" spans="2:12" s="20" customFormat="1" ht="45.75" customHeight="1" x14ac:dyDescent="0.25">
      <c r="B7" s="54" t="s">
        <v>8</v>
      </c>
      <c r="C7" s="106" t="s">
        <v>9</v>
      </c>
      <c r="D7" s="106"/>
      <c r="E7" s="106"/>
      <c r="F7" s="106"/>
      <c r="G7" s="55" t="s">
        <v>10</v>
      </c>
      <c r="H7" s="55" t="s">
        <v>3</v>
      </c>
      <c r="I7" s="56" t="s">
        <v>4</v>
      </c>
      <c r="J7" s="57" t="s">
        <v>14</v>
      </c>
      <c r="K7" s="55" t="s">
        <v>11</v>
      </c>
      <c r="L7" s="55" t="s">
        <v>12</v>
      </c>
    </row>
    <row r="8" spans="2:12" s="20" customFormat="1" ht="33" customHeight="1" x14ac:dyDescent="0.25">
      <c r="B8" s="64">
        <v>1</v>
      </c>
      <c r="C8" s="93" t="s">
        <v>44</v>
      </c>
      <c r="D8" s="94"/>
      <c r="E8" s="94"/>
      <c r="F8" s="94"/>
      <c r="G8" s="94"/>
      <c r="H8" s="94"/>
      <c r="I8" s="94"/>
      <c r="J8" s="94"/>
      <c r="K8" s="94"/>
      <c r="L8" s="95"/>
    </row>
    <row r="9" spans="2:12" s="20" customFormat="1" ht="32.25" customHeight="1" x14ac:dyDescent="0.25">
      <c r="B9" s="12" t="s">
        <v>75</v>
      </c>
      <c r="C9" s="102" t="s">
        <v>325</v>
      </c>
      <c r="D9" s="103"/>
      <c r="E9" s="103"/>
      <c r="F9" s="104"/>
      <c r="G9" s="11">
        <v>103689</v>
      </c>
      <c r="H9" s="11" t="s">
        <v>47</v>
      </c>
      <c r="I9" s="16">
        <v>2</v>
      </c>
      <c r="J9" s="29">
        <v>316.94</v>
      </c>
      <c r="K9" s="13">
        <f t="shared" ref="K9:K13" si="0">J9*$G$3</f>
        <v>388.98046199999999</v>
      </c>
      <c r="L9" s="7">
        <f t="shared" ref="L9:L13" si="1">I9*K9</f>
        <v>777.96092399999998</v>
      </c>
    </row>
    <row r="10" spans="2:12" s="20" customFormat="1" ht="32.25" customHeight="1" x14ac:dyDescent="0.25">
      <c r="B10" s="12" t="s">
        <v>0</v>
      </c>
      <c r="C10" s="102" t="s">
        <v>324</v>
      </c>
      <c r="D10" s="103"/>
      <c r="E10" s="103"/>
      <c r="F10" s="104"/>
      <c r="G10" s="11">
        <v>98459</v>
      </c>
      <c r="H10" s="11" t="s">
        <v>47</v>
      </c>
      <c r="I10" s="16">
        <f>(200*2)</f>
        <v>400</v>
      </c>
      <c r="J10" s="29">
        <v>123.86</v>
      </c>
      <c r="K10" s="13">
        <f t="shared" si="0"/>
        <v>152.01337800000002</v>
      </c>
      <c r="L10" s="7">
        <f t="shared" si="1"/>
        <v>60805.351200000005</v>
      </c>
    </row>
    <row r="11" spans="2:12" s="20" customFormat="1" ht="39" customHeight="1" x14ac:dyDescent="0.25">
      <c r="B11" s="12" t="s">
        <v>138</v>
      </c>
      <c r="C11" s="102" t="s">
        <v>323</v>
      </c>
      <c r="D11" s="103"/>
      <c r="E11" s="103"/>
      <c r="F11" s="104"/>
      <c r="G11" s="11">
        <v>93208</v>
      </c>
      <c r="H11" s="11" t="s">
        <v>47</v>
      </c>
      <c r="I11" s="16">
        <f>2.2*3</f>
        <v>6.6000000000000005</v>
      </c>
      <c r="J11" s="29">
        <v>1035.24</v>
      </c>
      <c r="K11" s="13">
        <f t="shared" si="0"/>
        <v>1270.5500520000001</v>
      </c>
      <c r="L11" s="7">
        <f t="shared" si="1"/>
        <v>8385.6303432000004</v>
      </c>
    </row>
    <row r="12" spans="2:12" s="20" customFormat="1" ht="39" customHeight="1" x14ac:dyDescent="0.25">
      <c r="B12" s="12" t="s">
        <v>76</v>
      </c>
      <c r="C12" s="102" t="s">
        <v>322</v>
      </c>
      <c r="D12" s="103"/>
      <c r="E12" s="103"/>
      <c r="F12" s="104"/>
      <c r="G12" s="11">
        <v>93212</v>
      </c>
      <c r="H12" s="11" t="s">
        <v>47</v>
      </c>
      <c r="I12" s="16">
        <f>1.5*3</f>
        <v>4.5</v>
      </c>
      <c r="J12" s="29">
        <v>1121.1600000000001</v>
      </c>
      <c r="K12" s="13">
        <f t="shared" si="0"/>
        <v>1375.9996680000002</v>
      </c>
      <c r="L12" s="7">
        <f t="shared" si="1"/>
        <v>6191.9985060000008</v>
      </c>
    </row>
    <row r="13" spans="2:12" s="20" customFormat="1" ht="39" customHeight="1" x14ac:dyDescent="0.25">
      <c r="B13" s="12" t="s">
        <v>77</v>
      </c>
      <c r="C13" s="102" t="s">
        <v>321</v>
      </c>
      <c r="D13" s="103"/>
      <c r="E13" s="103"/>
      <c r="F13" s="104"/>
      <c r="G13" s="11">
        <v>99059</v>
      </c>
      <c r="H13" s="11" t="s">
        <v>47</v>
      </c>
      <c r="I13" s="16">
        <f>25.3+25.3+15.3+15.3</f>
        <v>81.2</v>
      </c>
      <c r="J13" s="29">
        <v>66.42</v>
      </c>
      <c r="K13" s="13">
        <f t="shared" si="0"/>
        <v>81.517266000000006</v>
      </c>
      <c r="L13" s="7">
        <f t="shared" si="1"/>
        <v>6619.2019992000005</v>
      </c>
    </row>
    <row r="14" spans="2:12" s="20" customFormat="1" ht="33" customHeight="1" x14ac:dyDescent="0.25">
      <c r="B14" s="90" t="s">
        <v>283</v>
      </c>
      <c r="C14" s="91"/>
      <c r="D14" s="91"/>
      <c r="E14" s="91"/>
      <c r="F14" s="91"/>
      <c r="G14" s="91"/>
      <c r="H14" s="91"/>
      <c r="I14" s="91"/>
      <c r="J14" s="91"/>
      <c r="K14" s="92"/>
      <c r="L14" s="15">
        <f>SUM(L9:L13)</f>
        <v>82780.142972400005</v>
      </c>
    </row>
    <row r="15" spans="2:12" s="20" customFormat="1" ht="33" customHeight="1" x14ac:dyDescent="0.25">
      <c r="B15" s="64">
        <v>2</v>
      </c>
      <c r="C15" s="93" t="s">
        <v>66</v>
      </c>
      <c r="D15" s="94"/>
      <c r="E15" s="94"/>
      <c r="F15" s="94"/>
      <c r="G15" s="94"/>
      <c r="H15" s="94"/>
      <c r="I15" s="94"/>
      <c r="J15" s="94"/>
      <c r="K15" s="94"/>
      <c r="L15" s="95"/>
    </row>
    <row r="16" spans="2:12" s="21" customFormat="1" ht="33" customHeight="1" x14ac:dyDescent="0.25">
      <c r="B16" s="9" t="s">
        <v>1</v>
      </c>
      <c r="C16" s="109" t="s">
        <v>71</v>
      </c>
      <c r="D16" s="110"/>
      <c r="E16" s="110"/>
      <c r="F16" s="110"/>
      <c r="G16" s="110"/>
      <c r="H16" s="110"/>
      <c r="I16" s="110"/>
      <c r="J16" s="110"/>
      <c r="K16" s="110"/>
      <c r="L16" s="111"/>
    </row>
    <row r="17" spans="2:12" s="20" customFormat="1" ht="39" customHeight="1" x14ac:dyDescent="0.25">
      <c r="B17" s="12" t="s">
        <v>88</v>
      </c>
      <c r="C17" s="102" t="s">
        <v>159</v>
      </c>
      <c r="D17" s="103"/>
      <c r="E17" s="103"/>
      <c r="F17" s="104"/>
      <c r="G17" s="11">
        <v>96523</v>
      </c>
      <c r="H17" s="11" t="s">
        <v>46</v>
      </c>
      <c r="I17" s="16">
        <f>1.92*18</f>
        <v>34.56</v>
      </c>
      <c r="J17" s="29">
        <v>121.41</v>
      </c>
      <c r="K17" s="13">
        <f>J17*$G$3</f>
        <v>149.00649300000001</v>
      </c>
      <c r="L17" s="7">
        <f>I17*K17</f>
        <v>5149.6643980800009</v>
      </c>
    </row>
    <row r="18" spans="2:12" s="20" customFormat="1" ht="39" customHeight="1" x14ac:dyDescent="0.25">
      <c r="B18" s="12" t="s">
        <v>51</v>
      </c>
      <c r="C18" s="102" t="s">
        <v>160</v>
      </c>
      <c r="D18" s="103"/>
      <c r="E18" s="103"/>
      <c r="F18" s="104"/>
      <c r="G18" s="11">
        <v>95878</v>
      </c>
      <c r="H18" s="11" t="s">
        <v>46</v>
      </c>
      <c r="I18" s="16">
        <f>I17</f>
        <v>34.56</v>
      </c>
      <c r="J18" s="29">
        <v>1.7</v>
      </c>
      <c r="K18" s="13">
        <f>J18*$G$3</f>
        <v>2.0864099999999999</v>
      </c>
      <c r="L18" s="7">
        <f>I18*K18</f>
        <v>72.106329599999995</v>
      </c>
    </row>
    <row r="19" spans="2:12" s="20" customFormat="1" ht="32.25" customHeight="1" x14ac:dyDescent="0.25">
      <c r="B19" s="12" t="s">
        <v>52</v>
      </c>
      <c r="C19" s="102" t="s">
        <v>161</v>
      </c>
      <c r="D19" s="103"/>
      <c r="E19" s="103"/>
      <c r="F19" s="104"/>
      <c r="G19" s="11">
        <v>96619</v>
      </c>
      <c r="H19" s="11" t="s">
        <v>47</v>
      </c>
      <c r="I19" s="16">
        <v>1.1519999999999999</v>
      </c>
      <c r="J19" s="29">
        <v>34.56</v>
      </c>
      <c r="K19" s="13">
        <f t="shared" ref="K19:K22" si="2">J19*$G$3</f>
        <v>42.415488000000003</v>
      </c>
      <c r="L19" s="7">
        <f t="shared" ref="L19:L22" si="3">I19*K19</f>
        <v>48.862642176000001</v>
      </c>
    </row>
    <row r="20" spans="2:12" s="20" customFormat="1" ht="32.25" customHeight="1" x14ac:dyDescent="0.25">
      <c r="B20" s="12" t="s">
        <v>89</v>
      </c>
      <c r="C20" s="102" t="s">
        <v>162</v>
      </c>
      <c r="D20" s="103"/>
      <c r="E20" s="103"/>
      <c r="F20" s="104"/>
      <c r="G20" s="11">
        <v>4730</v>
      </c>
      <c r="H20" s="11" t="s">
        <v>46</v>
      </c>
      <c r="I20" s="16">
        <v>8</v>
      </c>
      <c r="J20" s="29">
        <v>61.72</v>
      </c>
      <c r="K20" s="13">
        <f t="shared" si="2"/>
        <v>75.748956000000007</v>
      </c>
      <c r="L20" s="7">
        <f t="shared" si="3"/>
        <v>605.99164800000005</v>
      </c>
    </row>
    <row r="21" spans="2:12" s="20" customFormat="1" ht="39" customHeight="1" x14ac:dyDescent="0.25">
      <c r="B21" s="12" t="s">
        <v>90</v>
      </c>
      <c r="C21" s="102" t="s">
        <v>163</v>
      </c>
      <c r="D21" s="103"/>
      <c r="E21" s="103"/>
      <c r="F21" s="104"/>
      <c r="G21" s="11">
        <v>96557</v>
      </c>
      <c r="H21" s="11" t="s">
        <v>46</v>
      </c>
      <c r="I21" s="16">
        <v>6</v>
      </c>
      <c r="J21" s="29">
        <v>593.11</v>
      </c>
      <c r="K21" s="13">
        <f t="shared" si="2"/>
        <v>727.923903</v>
      </c>
      <c r="L21" s="7">
        <f t="shared" si="3"/>
        <v>4367.5434180000002</v>
      </c>
    </row>
    <row r="22" spans="2:12" s="20" customFormat="1" ht="32.25" customHeight="1" x14ac:dyDescent="0.25">
      <c r="B22" s="12" t="s">
        <v>91</v>
      </c>
      <c r="C22" s="102" t="s">
        <v>164</v>
      </c>
      <c r="D22" s="103"/>
      <c r="E22" s="103"/>
      <c r="F22" s="104"/>
      <c r="G22" s="11">
        <v>98557</v>
      </c>
      <c r="H22" s="11" t="s">
        <v>47</v>
      </c>
      <c r="I22" s="16">
        <f>0.8*0.8*18</f>
        <v>11.520000000000003</v>
      </c>
      <c r="J22" s="29">
        <v>43.79</v>
      </c>
      <c r="K22" s="13">
        <f t="shared" si="2"/>
        <v>53.743467000000003</v>
      </c>
      <c r="L22" s="7">
        <f t="shared" si="3"/>
        <v>619.12473984000019</v>
      </c>
    </row>
    <row r="23" spans="2:12" s="20" customFormat="1" ht="33.75" customHeight="1" x14ac:dyDescent="0.25">
      <c r="B23" s="90" t="s">
        <v>284</v>
      </c>
      <c r="C23" s="91"/>
      <c r="D23" s="91"/>
      <c r="E23" s="91"/>
      <c r="F23" s="91"/>
      <c r="G23" s="91"/>
      <c r="H23" s="91"/>
      <c r="I23" s="91"/>
      <c r="J23" s="91"/>
      <c r="K23" s="92"/>
      <c r="L23" s="15">
        <f>SUM(L17:L22)</f>
        <v>10863.293175696002</v>
      </c>
    </row>
    <row r="24" spans="2:12" s="21" customFormat="1" ht="33" customHeight="1" x14ac:dyDescent="0.25">
      <c r="B24" s="9" t="s">
        <v>41</v>
      </c>
      <c r="C24" s="109" t="s">
        <v>67</v>
      </c>
      <c r="D24" s="110"/>
      <c r="E24" s="110"/>
      <c r="F24" s="110"/>
      <c r="G24" s="110"/>
      <c r="H24" s="110"/>
      <c r="I24" s="110"/>
      <c r="J24" s="110"/>
      <c r="K24" s="110"/>
      <c r="L24" s="111"/>
    </row>
    <row r="25" spans="2:12" s="20" customFormat="1" ht="39" customHeight="1" x14ac:dyDescent="0.25">
      <c r="B25" s="12" t="s">
        <v>53</v>
      </c>
      <c r="C25" s="102" t="s">
        <v>159</v>
      </c>
      <c r="D25" s="103"/>
      <c r="E25" s="103"/>
      <c r="F25" s="104"/>
      <c r="G25" s="11">
        <v>96523</v>
      </c>
      <c r="H25" s="11" t="s">
        <v>46</v>
      </c>
      <c r="I25" s="16">
        <f>(15.3+15.3+25.3+25.3)*0.25*0.3</f>
        <v>6.09</v>
      </c>
      <c r="J25" s="29">
        <v>121.41</v>
      </c>
      <c r="K25" s="13">
        <f>J25*$G$3</f>
        <v>149.00649300000001</v>
      </c>
      <c r="L25" s="7">
        <f>I25*K25</f>
        <v>907.44954237000002</v>
      </c>
    </row>
    <row r="26" spans="2:12" s="20" customFormat="1" ht="39" customHeight="1" x14ac:dyDescent="0.25">
      <c r="B26" s="12" t="s">
        <v>54</v>
      </c>
      <c r="C26" s="102" t="s">
        <v>287</v>
      </c>
      <c r="D26" s="103"/>
      <c r="E26" s="103"/>
      <c r="F26" s="104"/>
      <c r="G26" s="11">
        <v>96536</v>
      </c>
      <c r="H26" s="11" t="s">
        <v>47</v>
      </c>
      <c r="I26" s="16">
        <f>(15.3+15.3+25.3+25.3)*0.6</f>
        <v>48.72</v>
      </c>
      <c r="J26" s="29">
        <v>90.79</v>
      </c>
      <c r="K26" s="13">
        <f t="shared" ref="K26:K32" si="4">J26*$G$3</f>
        <v>111.42656700000002</v>
      </c>
      <c r="L26" s="7">
        <f t="shared" ref="L26:L32" si="5">I26*K26</f>
        <v>5428.7023442400005</v>
      </c>
    </row>
    <row r="27" spans="2:12" s="20" customFormat="1" ht="34.5" customHeight="1" x14ac:dyDescent="0.25">
      <c r="B27" s="12" t="s">
        <v>55</v>
      </c>
      <c r="C27" s="96" t="s">
        <v>286</v>
      </c>
      <c r="D27" s="97"/>
      <c r="E27" s="97"/>
      <c r="F27" s="98"/>
      <c r="G27" s="39">
        <v>96623</v>
      </c>
      <c r="H27" s="4" t="s">
        <v>46</v>
      </c>
      <c r="I27" s="42">
        <v>0.56999999999999995</v>
      </c>
      <c r="J27" s="43">
        <v>201.15</v>
      </c>
      <c r="K27" s="44">
        <f t="shared" si="4"/>
        <v>246.87139500000001</v>
      </c>
      <c r="L27" s="45">
        <f t="shared" si="5"/>
        <v>140.71669514999999</v>
      </c>
    </row>
    <row r="28" spans="2:12" s="20" customFormat="1" ht="39" customHeight="1" x14ac:dyDescent="0.25">
      <c r="B28" s="12" t="s">
        <v>56</v>
      </c>
      <c r="C28" s="102" t="s">
        <v>257</v>
      </c>
      <c r="D28" s="103"/>
      <c r="E28" s="103"/>
      <c r="F28" s="104"/>
      <c r="G28" s="11">
        <v>92915</v>
      </c>
      <c r="H28" s="11" t="s">
        <v>48</v>
      </c>
      <c r="I28" s="16">
        <f>((30.6+50.6)/0.1)*0.86*0.22</f>
        <v>153.63039999999998</v>
      </c>
      <c r="J28" s="29">
        <v>17.97</v>
      </c>
      <c r="K28" s="13">
        <f t="shared" si="4"/>
        <v>22.054580999999999</v>
      </c>
      <c r="L28" s="7">
        <f t="shared" si="5"/>
        <v>3388.2541008623994</v>
      </c>
    </row>
    <row r="29" spans="2:12" s="20" customFormat="1" ht="39" customHeight="1" x14ac:dyDescent="0.25">
      <c r="B29" s="12" t="s">
        <v>57</v>
      </c>
      <c r="C29" s="102" t="s">
        <v>285</v>
      </c>
      <c r="D29" s="103"/>
      <c r="E29" s="103"/>
      <c r="F29" s="104"/>
      <c r="G29" s="11">
        <v>92917</v>
      </c>
      <c r="H29" s="11" t="s">
        <v>48</v>
      </c>
      <c r="I29" s="16">
        <v>200.4</v>
      </c>
      <c r="J29" s="29">
        <v>13.84</v>
      </c>
      <c r="K29" s="13">
        <f t="shared" si="4"/>
        <v>16.985832000000002</v>
      </c>
      <c r="L29" s="7">
        <f t="shared" si="5"/>
        <v>3403.9607328000006</v>
      </c>
    </row>
    <row r="30" spans="2:12" s="20" customFormat="1" ht="39" customHeight="1" x14ac:dyDescent="0.25">
      <c r="B30" s="12" t="s">
        <v>60</v>
      </c>
      <c r="C30" s="102" t="s">
        <v>165</v>
      </c>
      <c r="D30" s="103"/>
      <c r="E30" s="103"/>
      <c r="F30" s="104"/>
      <c r="G30" s="11">
        <v>96555</v>
      </c>
      <c r="H30" s="11" t="s">
        <v>46</v>
      </c>
      <c r="I30" s="16">
        <f>81.2*0.14*0.3</f>
        <v>3.4104000000000005</v>
      </c>
      <c r="J30" s="29">
        <v>698.55</v>
      </c>
      <c r="K30" s="13">
        <f t="shared" si="4"/>
        <v>857.33041500000002</v>
      </c>
      <c r="L30" s="7">
        <f t="shared" si="5"/>
        <v>2923.8396473160005</v>
      </c>
    </row>
    <row r="31" spans="2:12" s="20" customFormat="1" ht="34.5" customHeight="1" x14ac:dyDescent="0.25">
      <c r="B31" s="12" t="s">
        <v>61</v>
      </c>
      <c r="C31" s="96" t="s">
        <v>164</v>
      </c>
      <c r="D31" s="97"/>
      <c r="E31" s="97"/>
      <c r="F31" s="98"/>
      <c r="G31" s="39">
        <v>98557</v>
      </c>
      <c r="H31" s="4" t="s">
        <v>47</v>
      </c>
      <c r="I31" s="37">
        <f>I26</f>
        <v>48.72</v>
      </c>
      <c r="J31" s="38">
        <v>43.79</v>
      </c>
      <c r="K31" s="6">
        <f t="shared" si="4"/>
        <v>53.743467000000003</v>
      </c>
      <c r="L31" s="7">
        <f t="shared" si="5"/>
        <v>2618.3817122400001</v>
      </c>
    </row>
    <row r="32" spans="2:12" s="20" customFormat="1" ht="34.5" customHeight="1" x14ac:dyDescent="0.25">
      <c r="B32" s="12" t="s">
        <v>62</v>
      </c>
      <c r="C32" s="96" t="s">
        <v>166</v>
      </c>
      <c r="D32" s="97"/>
      <c r="E32" s="97"/>
      <c r="F32" s="98"/>
      <c r="G32" s="39">
        <v>93382</v>
      </c>
      <c r="H32" s="4" t="s">
        <v>46</v>
      </c>
      <c r="I32" s="37">
        <f>I25/2</f>
        <v>3.0449999999999999</v>
      </c>
      <c r="J32" s="38">
        <v>30.86</v>
      </c>
      <c r="K32" s="6">
        <f t="shared" si="4"/>
        <v>37.874478000000003</v>
      </c>
      <c r="L32" s="7">
        <f t="shared" si="5"/>
        <v>115.32778551000001</v>
      </c>
    </row>
    <row r="33" spans="2:12" s="20" customFormat="1" ht="33" customHeight="1" x14ac:dyDescent="0.25">
      <c r="B33" s="90" t="s">
        <v>284</v>
      </c>
      <c r="C33" s="91"/>
      <c r="D33" s="91"/>
      <c r="E33" s="91"/>
      <c r="F33" s="91"/>
      <c r="G33" s="91"/>
      <c r="H33" s="91"/>
      <c r="I33" s="91"/>
      <c r="J33" s="91"/>
      <c r="K33" s="92"/>
      <c r="L33" s="15">
        <f>SUM(L25:L32)</f>
        <v>18926.6325604884</v>
      </c>
    </row>
    <row r="34" spans="2:12" s="20" customFormat="1" ht="33" customHeight="1" x14ac:dyDescent="0.25">
      <c r="B34" s="90" t="s">
        <v>288</v>
      </c>
      <c r="C34" s="91"/>
      <c r="D34" s="91"/>
      <c r="E34" s="91"/>
      <c r="F34" s="91"/>
      <c r="G34" s="91"/>
      <c r="H34" s="91"/>
      <c r="I34" s="91"/>
      <c r="J34" s="91"/>
      <c r="K34" s="92"/>
      <c r="L34" s="15">
        <f>L33+L23</f>
        <v>29789.925736184403</v>
      </c>
    </row>
    <row r="35" spans="2:12" s="20" customFormat="1" ht="33" customHeight="1" x14ac:dyDescent="0.25">
      <c r="B35" s="64">
        <v>3</v>
      </c>
      <c r="C35" s="93" t="s">
        <v>13</v>
      </c>
      <c r="D35" s="94"/>
      <c r="E35" s="94"/>
      <c r="F35" s="94"/>
      <c r="G35" s="94"/>
      <c r="H35" s="94"/>
      <c r="I35" s="94"/>
      <c r="J35" s="94"/>
      <c r="K35" s="94"/>
      <c r="L35" s="95"/>
    </row>
    <row r="36" spans="2:12" s="21" customFormat="1" ht="33" customHeight="1" x14ac:dyDescent="0.25">
      <c r="B36" s="9" t="s">
        <v>43</v>
      </c>
      <c r="C36" s="109" t="s">
        <v>73</v>
      </c>
      <c r="D36" s="110"/>
      <c r="E36" s="110"/>
      <c r="F36" s="110"/>
      <c r="G36" s="110"/>
      <c r="H36" s="110"/>
      <c r="I36" s="110"/>
      <c r="J36" s="110"/>
      <c r="K36" s="110"/>
      <c r="L36" s="111"/>
    </row>
    <row r="37" spans="2:12" s="20" customFormat="1" ht="34.5" customHeight="1" x14ac:dyDescent="0.25">
      <c r="B37" s="12" t="s">
        <v>45</v>
      </c>
      <c r="C37" s="96" t="s">
        <v>83</v>
      </c>
      <c r="D37" s="97"/>
      <c r="E37" s="97"/>
      <c r="F37" s="98"/>
      <c r="G37" s="39" t="s">
        <v>167</v>
      </c>
      <c r="H37" s="4" t="s">
        <v>3</v>
      </c>
      <c r="I37" s="37">
        <v>1</v>
      </c>
      <c r="J37" s="38">
        <f>'COMPOSIÇÕES '!L17</f>
        <v>61835.118615029991</v>
      </c>
      <c r="K37" s="6">
        <f>J37</f>
        <v>61835.118615029991</v>
      </c>
      <c r="L37" s="7">
        <f t="shared" ref="L37" si="6">I37*K37</f>
        <v>61835.118615029991</v>
      </c>
    </row>
    <row r="38" spans="2:12" s="20" customFormat="1" ht="33" customHeight="1" x14ac:dyDescent="0.25">
      <c r="B38" s="90" t="s">
        <v>291</v>
      </c>
      <c r="C38" s="91"/>
      <c r="D38" s="91"/>
      <c r="E38" s="91"/>
      <c r="F38" s="91"/>
      <c r="G38" s="91"/>
      <c r="H38" s="91"/>
      <c r="I38" s="91"/>
      <c r="J38" s="91"/>
      <c r="K38" s="92"/>
      <c r="L38" s="15">
        <f>SUM(L37)</f>
        <v>61835.118615029991</v>
      </c>
    </row>
    <row r="39" spans="2:12" s="20" customFormat="1" ht="33" customHeight="1" x14ac:dyDescent="0.25">
      <c r="B39" s="64">
        <v>4</v>
      </c>
      <c r="C39" s="93" t="s">
        <v>49</v>
      </c>
      <c r="D39" s="94"/>
      <c r="E39" s="94"/>
      <c r="F39" s="94"/>
      <c r="G39" s="94"/>
      <c r="H39" s="94"/>
      <c r="I39" s="94"/>
      <c r="J39" s="94"/>
      <c r="K39" s="94"/>
      <c r="L39" s="95"/>
    </row>
    <row r="40" spans="2:12" s="21" customFormat="1" ht="33" customHeight="1" x14ac:dyDescent="0.25">
      <c r="B40" s="9" t="s">
        <v>6</v>
      </c>
      <c r="C40" s="109" t="s">
        <v>84</v>
      </c>
      <c r="D40" s="110"/>
      <c r="E40" s="110"/>
      <c r="F40" s="110"/>
      <c r="G40" s="110"/>
      <c r="H40" s="110"/>
      <c r="I40" s="110"/>
      <c r="J40" s="110"/>
      <c r="K40" s="110"/>
      <c r="L40" s="111"/>
    </row>
    <row r="41" spans="2:12" s="20" customFormat="1" ht="39" customHeight="1" x14ac:dyDescent="0.25">
      <c r="B41" s="12" t="s">
        <v>94</v>
      </c>
      <c r="C41" s="102" t="s">
        <v>168</v>
      </c>
      <c r="D41" s="103"/>
      <c r="E41" s="103"/>
      <c r="F41" s="104"/>
      <c r="G41" s="11">
        <v>103318</v>
      </c>
      <c r="H41" s="11" t="s">
        <v>47</v>
      </c>
      <c r="I41" s="16">
        <f>(81.2*1.6)-24.43</f>
        <v>105.49000000000001</v>
      </c>
      <c r="J41" s="29">
        <v>97.25</v>
      </c>
      <c r="K41" s="13">
        <f t="shared" ref="K41" si="7">J41*$G$3</f>
        <v>119.35492500000001</v>
      </c>
      <c r="L41" s="7">
        <f t="shared" ref="L41" si="8">I41*K41</f>
        <v>12590.751038250002</v>
      </c>
    </row>
    <row r="42" spans="2:12" s="20" customFormat="1" ht="34.5" customHeight="1" x14ac:dyDescent="0.25">
      <c r="B42" s="12" t="s">
        <v>95</v>
      </c>
      <c r="C42" s="96" t="s">
        <v>169</v>
      </c>
      <c r="D42" s="97"/>
      <c r="E42" s="97"/>
      <c r="F42" s="98"/>
      <c r="G42" s="39">
        <v>38600</v>
      </c>
      <c r="H42" s="4" t="s">
        <v>3</v>
      </c>
      <c r="I42" s="37">
        <f>(15.3+15.3+25.3+25.3)/0.4</f>
        <v>203</v>
      </c>
      <c r="J42" s="38">
        <v>4.97</v>
      </c>
      <c r="K42" s="6">
        <f t="shared" ref="K42:K45" si="9">J42*$G$3</f>
        <v>6.0996810000000004</v>
      </c>
      <c r="L42" s="7">
        <f t="shared" ref="L42:L45" si="10">I42*K42</f>
        <v>1238.2352430000001</v>
      </c>
    </row>
    <row r="43" spans="2:12" s="20" customFormat="1" ht="39" customHeight="1" x14ac:dyDescent="0.25">
      <c r="B43" s="12" t="s">
        <v>96</v>
      </c>
      <c r="C43" s="102" t="s">
        <v>289</v>
      </c>
      <c r="D43" s="103"/>
      <c r="E43" s="103"/>
      <c r="F43" s="104"/>
      <c r="G43" s="11">
        <v>92915</v>
      </c>
      <c r="H43" s="11" t="s">
        <v>48</v>
      </c>
      <c r="I43" s="16">
        <f>I44*80</f>
        <v>97.44</v>
      </c>
      <c r="J43" s="29">
        <v>17.97</v>
      </c>
      <c r="K43" s="13">
        <f t="shared" si="9"/>
        <v>22.054580999999999</v>
      </c>
      <c r="L43" s="7">
        <f t="shared" si="10"/>
        <v>2148.9983726399996</v>
      </c>
    </row>
    <row r="44" spans="2:12" s="20" customFormat="1" ht="39" customHeight="1" x14ac:dyDescent="0.25">
      <c r="B44" s="12" t="s">
        <v>97</v>
      </c>
      <c r="C44" s="102" t="s">
        <v>170</v>
      </c>
      <c r="D44" s="103"/>
      <c r="E44" s="103"/>
      <c r="F44" s="104"/>
      <c r="G44" s="11">
        <v>103675</v>
      </c>
      <c r="H44" s="11" t="s">
        <v>46</v>
      </c>
      <c r="I44" s="16">
        <f>(15.3+15.3+25.3+25.3)*0.15*0.1</f>
        <v>1.218</v>
      </c>
      <c r="J44" s="29">
        <v>579.27</v>
      </c>
      <c r="K44" s="13">
        <f t="shared" si="9"/>
        <v>710.93807100000004</v>
      </c>
      <c r="L44" s="7">
        <f t="shared" si="10"/>
        <v>865.92257047800001</v>
      </c>
    </row>
    <row r="45" spans="2:12" s="20" customFormat="1" ht="34.5" customHeight="1" x14ac:dyDescent="0.25">
      <c r="B45" s="12" t="s">
        <v>134</v>
      </c>
      <c r="C45" s="96" t="s">
        <v>171</v>
      </c>
      <c r="D45" s="97"/>
      <c r="E45" s="97"/>
      <c r="F45" s="98"/>
      <c r="G45" s="39">
        <v>98554</v>
      </c>
      <c r="H45" s="4" t="s">
        <v>47</v>
      </c>
      <c r="I45" s="37">
        <f>I41</f>
        <v>105.49000000000001</v>
      </c>
      <c r="J45" s="38">
        <v>52.56</v>
      </c>
      <c r="K45" s="6">
        <f t="shared" si="9"/>
        <v>64.506888000000004</v>
      </c>
      <c r="L45" s="7">
        <f t="shared" si="10"/>
        <v>6804.8316151200006</v>
      </c>
    </row>
    <row r="46" spans="2:12" s="20" customFormat="1" ht="33" customHeight="1" x14ac:dyDescent="0.25">
      <c r="B46" s="90" t="s">
        <v>293</v>
      </c>
      <c r="C46" s="91"/>
      <c r="D46" s="91"/>
      <c r="E46" s="91"/>
      <c r="F46" s="91"/>
      <c r="G46" s="91"/>
      <c r="H46" s="91"/>
      <c r="I46" s="91"/>
      <c r="J46" s="91"/>
      <c r="K46" s="92"/>
      <c r="L46" s="15">
        <f>SUM(L41:L45)</f>
        <v>23648.738839488004</v>
      </c>
    </row>
    <row r="47" spans="2:12" s="21" customFormat="1" ht="33" customHeight="1" x14ac:dyDescent="0.25">
      <c r="B47" s="9" t="s">
        <v>98</v>
      </c>
      <c r="C47" s="109" t="s">
        <v>290</v>
      </c>
      <c r="D47" s="110"/>
      <c r="E47" s="110"/>
      <c r="F47" s="110"/>
      <c r="G47" s="110"/>
      <c r="H47" s="110"/>
      <c r="I47" s="110"/>
      <c r="J47" s="110"/>
      <c r="K47" s="110"/>
      <c r="L47" s="111"/>
    </row>
    <row r="48" spans="2:12" s="20" customFormat="1" ht="39" customHeight="1" x14ac:dyDescent="0.25">
      <c r="B48" s="12" t="s">
        <v>99</v>
      </c>
      <c r="C48" s="102" t="s">
        <v>172</v>
      </c>
      <c r="D48" s="103"/>
      <c r="E48" s="103"/>
      <c r="F48" s="104"/>
      <c r="G48" s="11">
        <v>92580</v>
      </c>
      <c r="H48" s="11" t="s">
        <v>47</v>
      </c>
      <c r="I48" s="16">
        <v>359.14</v>
      </c>
      <c r="J48" s="29">
        <v>45.25</v>
      </c>
      <c r="K48" s="13">
        <f t="shared" ref="K48:K50" si="11">J48*$G$3</f>
        <v>55.535325</v>
      </c>
      <c r="L48" s="7">
        <f t="shared" ref="L48:L50" si="12">I48*K48</f>
        <v>19944.956620500001</v>
      </c>
    </row>
    <row r="49" spans="2:12" s="20" customFormat="1" ht="34.5" customHeight="1" x14ac:dyDescent="0.25">
      <c r="B49" s="12" t="s">
        <v>100</v>
      </c>
      <c r="C49" s="96" t="s">
        <v>173</v>
      </c>
      <c r="D49" s="97"/>
      <c r="E49" s="97"/>
      <c r="F49" s="98"/>
      <c r="G49" s="39">
        <v>94213</v>
      </c>
      <c r="H49" s="4" t="s">
        <v>47</v>
      </c>
      <c r="I49" s="37">
        <v>359.14</v>
      </c>
      <c r="J49" s="38">
        <v>66.84</v>
      </c>
      <c r="K49" s="6">
        <f t="shared" si="11"/>
        <v>82.03273200000001</v>
      </c>
      <c r="L49" s="7">
        <f t="shared" si="12"/>
        <v>29461.235370480001</v>
      </c>
    </row>
    <row r="50" spans="2:12" s="20" customFormat="1" ht="39" customHeight="1" x14ac:dyDescent="0.25">
      <c r="B50" s="12" t="s">
        <v>101</v>
      </c>
      <c r="C50" s="102" t="s">
        <v>178</v>
      </c>
      <c r="D50" s="103"/>
      <c r="E50" s="103"/>
      <c r="F50" s="104"/>
      <c r="G50" s="11">
        <v>100719</v>
      </c>
      <c r="H50" s="11" t="s">
        <v>47</v>
      </c>
      <c r="I50" s="16">
        <f>359.14*1.5*(0.1+0.05)</f>
        <v>80.806500000000014</v>
      </c>
      <c r="J50" s="29">
        <v>15.13</v>
      </c>
      <c r="K50" s="13">
        <f t="shared" si="11"/>
        <v>18.569049000000003</v>
      </c>
      <c r="L50" s="7">
        <f t="shared" si="12"/>
        <v>1500.4998580185006</v>
      </c>
    </row>
    <row r="51" spans="2:12" s="20" customFormat="1" ht="33" customHeight="1" x14ac:dyDescent="0.25">
      <c r="B51" s="90" t="s">
        <v>294</v>
      </c>
      <c r="C51" s="91"/>
      <c r="D51" s="91"/>
      <c r="E51" s="91"/>
      <c r="F51" s="91"/>
      <c r="G51" s="91"/>
      <c r="H51" s="91"/>
      <c r="I51" s="91"/>
      <c r="J51" s="91"/>
      <c r="K51" s="92"/>
      <c r="L51" s="15">
        <f>SUM(L48:L50)</f>
        <v>50906.691848998504</v>
      </c>
    </row>
    <row r="52" spans="2:12" s="20" customFormat="1" ht="33" customHeight="1" x14ac:dyDescent="0.25">
      <c r="B52" s="90" t="s">
        <v>292</v>
      </c>
      <c r="C52" s="91"/>
      <c r="D52" s="91"/>
      <c r="E52" s="91"/>
      <c r="F52" s="91"/>
      <c r="G52" s="91"/>
      <c r="H52" s="91"/>
      <c r="I52" s="91"/>
      <c r="J52" s="91"/>
      <c r="K52" s="92"/>
      <c r="L52" s="15">
        <f>L51+L46</f>
        <v>74555.430688486507</v>
      </c>
    </row>
    <row r="53" spans="2:12" s="20" customFormat="1" ht="33" customHeight="1" x14ac:dyDescent="0.25">
      <c r="B53" s="64">
        <v>5</v>
      </c>
      <c r="C53" s="93" t="s">
        <v>85</v>
      </c>
      <c r="D53" s="94"/>
      <c r="E53" s="94"/>
      <c r="F53" s="94"/>
      <c r="G53" s="94"/>
      <c r="H53" s="94"/>
      <c r="I53" s="94"/>
      <c r="J53" s="94"/>
      <c r="K53" s="94"/>
      <c r="L53" s="95"/>
    </row>
    <row r="54" spans="2:12" s="20" customFormat="1" ht="39" customHeight="1" x14ac:dyDescent="0.25">
      <c r="B54" s="12" t="s">
        <v>102</v>
      </c>
      <c r="C54" s="102" t="s">
        <v>295</v>
      </c>
      <c r="D54" s="103"/>
      <c r="E54" s="103"/>
      <c r="F54" s="104"/>
      <c r="G54" s="11">
        <v>92620</v>
      </c>
      <c r="H54" s="11" t="s">
        <v>3</v>
      </c>
      <c r="I54" s="16">
        <v>11</v>
      </c>
      <c r="J54" s="29">
        <v>1957.74</v>
      </c>
      <c r="K54" s="13">
        <f t="shared" ref="K54:K59" si="13">J54*$G$3</f>
        <v>2402.7343020000003</v>
      </c>
      <c r="L54" s="7">
        <f t="shared" ref="L54:L63" si="14">I54*K54</f>
        <v>26430.077322000005</v>
      </c>
    </row>
    <row r="55" spans="2:12" s="20" customFormat="1" ht="54" customHeight="1" x14ac:dyDescent="0.25">
      <c r="B55" s="12" t="s">
        <v>103</v>
      </c>
      <c r="C55" s="102" t="s">
        <v>174</v>
      </c>
      <c r="D55" s="103"/>
      <c r="E55" s="103"/>
      <c r="F55" s="104"/>
      <c r="G55" s="11">
        <v>100768</v>
      </c>
      <c r="H55" s="11" t="s">
        <v>48</v>
      </c>
      <c r="I55" s="16">
        <v>64.97</v>
      </c>
      <c r="J55" s="29">
        <v>15.75</v>
      </c>
      <c r="K55" s="13">
        <f t="shared" si="13"/>
        <v>19.329975000000001</v>
      </c>
      <c r="L55" s="7">
        <f t="shared" si="14"/>
        <v>1255.86847575</v>
      </c>
    </row>
    <row r="56" spans="2:12" s="20" customFormat="1" ht="39" customHeight="1" x14ac:dyDescent="0.25">
      <c r="B56" s="12" t="s">
        <v>104</v>
      </c>
      <c r="C56" s="102" t="s">
        <v>172</v>
      </c>
      <c r="D56" s="103"/>
      <c r="E56" s="103"/>
      <c r="F56" s="104"/>
      <c r="G56" s="11">
        <v>92580</v>
      </c>
      <c r="H56" s="11" t="s">
        <v>47</v>
      </c>
      <c r="I56" s="16">
        <v>445.89</v>
      </c>
      <c r="J56" s="29">
        <v>45.25</v>
      </c>
      <c r="K56" s="13">
        <f t="shared" si="13"/>
        <v>55.535325</v>
      </c>
      <c r="L56" s="7">
        <f t="shared" si="14"/>
        <v>24762.646064249999</v>
      </c>
    </row>
    <row r="57" spans="2:12" s="20" customFormat="1" ht="34.5" customHeight="1" x14ac:dyDescent="0.25">
      <c r="B57" s="12" t="s">
        <v>105</v>
      </c>
      <c r="C57" s="96" t="s">
        <v>175</v>
      </c>
      <c r="D57" s="97"/>
      <c r="E57" s="97"/>
      <c r="F57" s="98"/>
      <c r="G57" s="39">
        <v>94216</v>
      </c>
      <c r="H57" s="4" t="s">
        <v>47</v>
      </c>
      <c r="I57" s="37">
        <f>I56</f>
        <v>445.89</v>
      </c>
      <c r="J57" s="38">
        <v>191</v>
      </c>
      <c r="K57" s="6">
        <f t="shared" si="13"/>
        <v>234.4143</v>
      </c>
      <c r="L57" s="7">
        <f t="shared" si="14"/>
        <v>104522.992227</v>
      </c>
    </row>
    <row r="58" spans="2:12" s="20" customFormat="1" ht="39" customHeight="1" x14ac:dyDescent="0.25">
      <c r="B58" s="12" t="s">
        <v>106</v>
      </c>
      <c r="C58" s="102" t="s">
        <v>176</v>
      </c>
      <c r="D58" s="103"/>
      <c r="E58" s="103"/>
      <c r="F58" s="104"/>
      <c r="G58" s="11">
        <v>92602</v>
      </c>
      <c r="H58" s="11" t="s">
        <v>3</v>
      </c>
      <c r="I58" s="16">
        <v>7</v>
      </c>
      <c r="J58" s="29">
        <v>682.98</v>
      </c>
      <c r="K58" s="13">
        <f t="shared" si="13"/>
        <v>838.22135400000002</v>
      </c>
      <c r="L58" s="7">
        <f t="shared" si="14"/>
        <v>5867.5494779999999</v>
      </c>
    </row>
    <row r="59" spans="2:12" s="20" customFormat="1" ht="39" customHeight="1" x14ac:dyDescent="0.25">
      <c r="B59" s="12" t="s">
        <v>107</v>
      </c>
      <c r="C59" s="102" t="s">
        <v>172</v>
      </c>
      <c r="D59" s="103"/>
      <c r="E59" s="103"/>
      <c r="F59" s="104"/>
      <c r="G59" s="11">
        <v>92580</v>
      </c>
      <c r="H59" s="11" t="s">
        <v>47</v>
      </c>
      <c r="I59" s="16">
        <f>3.4*26.7</f>
        <v>90.78</v>
      </c>
      <c r="J59" s="29">
        <v>45.25</v>
      </c>
      <c r="K59" s="13">
        <f t="shared" si="13"/>
        <v>55.535325</v>
      </c>
      <c r="L59" s="7">
        <f t="shared" si="14"/>
        <v>5041.4968035000002</v>
      </c>
    </row>
    <row r="60" spans="2:12" s="20" customFormat="1" ht="39" customHeight="1" x14ac:dyDescent="0.25">
      <c r="B60" s="12" t="s">
        <v>108</v>
      </c>
      <c r="C60" s="102" t="s">
        <v>177</v>
      </c>
      <c r="D60" s="103"/>
      <c r="E60" s="103"/>
      <c r="F60" s="104"/>
      <c r="G60" s="11">
        <v>94216</v>
      </c>
      <c r="H60" s="11" t="s">
        <v>47</v>
      </c>
      <c r="I60" s="16">
        <f>I59</f>
        <v>90.78</v>
      </c>
      <c r="J60" s="29">
        <v>191</v>
      </c>
      <c r="K60" s="13">
        <f t="shared" ref="K60:K63" si="15">J60*$G$3</f>
        <v>234.4143</v>
      </c>
      <c r="L60" s="7">
        <f t="shared" si="14"/>
        <v>21280.130153999999</v>
      </c>
    </row>
    <row r="61" spans="2:12" s="20" customFormat="1" ht="39" customHeight="1" x14ac:dyDescent="0.25">
      <c r="B61" s="12" t="s">
        <v>109</v>
      </c>
      <c r="C61" s="102" t="s">
        <v>297</v>
      </c>
      <c r="D61" s="103"/>
      <c r="E61" s="103"/>
      <c r="F61" s="104"/>
      <c r="G61" s="11">
        <v>94229</v>
      </c>
      <c r="H61" s="11" t="s">
        <v>42</v>
      </c>
      <c r="I61" s="16">
        <f>26.7+26.7</f>
        <v>53.4</v>
      </c>
      <c r="J61" s="29">
        <v>172.48</v>
      </c>
      <c r="K61" s="13">
        <f t="shared" si="15"/>
        <v>211.68470400000001</v>
      </c>
      <c r="L61" s="7">
        <f t="shared" si="14"/>
        <v>11303.963193600001</v>
      </c>
    </row>
    <row r="62" spans="2:12" s="20" customFormat="1" ht="39" customHeight="1" x14ac:dyDescent="0.25">
      <c r="B62" s="12" t="s">
        <v>110</v>
      </c>
      <c r="C62" s="102" t="s">
        <v>178</v>
      </c>
      <c r="D62" s="103"/>
      <c r="E62" s="103"/>
      <c r="F62" s="104"/>
      <c r="G62" s="11">
        <v>100719</v>
      </c>
      <c r="H62" s="11" t="s">
        <v>47</v>
      </c>
      <c r="I62" s="16">
        <v>226</v>
      </c>
      <c r="J62" s="29">
        <v>11.06</v>
      </c>
      <c r="K62" s="13">
        <f t="shared" si="15"/>
        <v>13.573938000000002</v>
      </c>
      <c r="L62" s="7">
        <f t="shared" si="14"/>
        <v>3067.7099880000005</v>
      </c>
    </row>
    <row r="63" spans="2:12" s="20" customFormat="1" ht="54" customHeight="1" x14ac:dyDescent="0.25">
      <c r="B63" s="12" t="s">
        <v>123</v>
      </c>
      <c r="C63" s="102" t="s">
        <v>296</v>
      </c>
      <c r="D63" s="103"/>
      <c r="E63" s="103"/>
      <c r="F63" s="104"/>
      <c r="G63" s="11">
        <v>104674</v>
      </c>
      <c r="H63" s="11" t="s">
        <v>3</v>
      </c>
      <c r="I63" s="16">
        <v>14</v>
      </c>
      <c r="J63" s="29">
        <v>247.05</v>
      </c>
      <c r="K63" s="13">
        <f t="shared" si="15"/>
        <v>303.20446500000003</v>
      </c>
      <c r="L63" s="7">
        <f t="shared" si="14"/>
        <v>4244.8625100000008</v>
      </c>
    </row>
    <row r="64" spans="2:12" s="20" customFormat="1" ht="33" customHeight="1" x14ac:dyDescent="0.25">
      <c r="B64" s="90" t="s">
        <v>298</v>
      </c>
      <c r="C64" s="91"/>
      <c r="D64" s="91"/>
      <c r="E64" s="91"/>
      <c r="F64" s="91"/>
      <c r="G64" s="91"/>
      <c r="H64" s="91"/>
      <c r="I64" s="91"/>
      <c r="J64" s="91"/>
      <c r="K64" s="92"/>
      <c r="L64" s="15">
        <f>SUM(L54:L63)</f>
        <v>207777.29621609999</v>
      </c>
    </row>
    <row r="65" spans="2:12" s="20" customFormat="1" ht="33" customHeight="1" x14ac:dyDescent="0.25">
      <c r="B65" s="64">
        <v>6</v>
      </c>
      <c r="C65" s="93" t="s">
        <v>86</v>
      </c>
      <c r="D65" s="94"/>
      <c r="E65" s="94"/>
      <c r="F65" s="94"/>
      <c r="G65" s="94"/>
      <c r="H65" s="94"/>
      <c r="I65" s="94"/>
      <c r="J65" s="94"/>
      <c r="K65" s="94"/>
      <c r="L65" s="95"/>
    </row>
    <row r="66" spans="2:12" s="20" customFormat="1" ht="34.5" customHeight="1" x14ac:dyDescent="0.25">
      <c r="B66" s="12" t="s">
        <v>63</v>
      </c>
      <c r="C66" s="96" t="s">
        <v>166</v>
      </c>
      <c r="D66" s="97"/>
      <c r="E66" s="97"/>
      <c r="F66" s="98"/>
      <c r="G66" s="39">
        <v>93382</v>
      </c>
      <c r="H66" s="4" t="s">
        <v>46</v>
      </c>
      <c r="I66" s="37">
        <f>375.8*0.1</f>
        <v>37.580000000000005</v>
      </c>
      <c r="J66" s="38">
        <v>30.86</v>
      </c>
      <c r="K66" s="6">
        <f t="shared" ref="K66:K67" si="16">J66*$G$3</f>
        <v>37.874478000000003</v>
      </c>
      <c r="L66" s="7">
        <f t="shared" ref="L66:L67" si="17">I66*K66</f>
        <v>1423.3228832400002</v>
      </c>
    </row>
    <row r="67" spans="2:12" s="20" customFormat="1" ht="33" customHeight="1" x14ac:dyDescent="0.25">
      <c r="B67" s="12" t="s">
        <v>92</v>
      </c>
      <c r="C67" s="96" t="s">
        <v>179</v>
      </c>
      <c r="D67" s="97"/>
      <c r="E67" s="97"/>
      <c r="F67" s="98"/>
      <c r="G67" s="39">
        <v>104739</v>
      </c>
      <c r="H67" s="4" t="s">
        <v>46</v>
      </c>
      <c r="I67" s="37">
        <f>375.8*0.3</f>
        <v>112.74</v>
      </c>
      <c r="J67" s="38">
        <v>112.44</v>
      </c>
      <c r="K67" s="6">
        <f t="shared" si="16"/>
        <v>137.997612</v>
      </c>
      <c r="L67" s="7">
        <f t="shared" si="17"/>
        <v>15557.850776879999</v>
      </c>
    </row>
    <row r="68" spans="2:12" s="20" customFormat="1" ht="33" customHeight="1" x14ac:dyDescent="0.25">
      <c r="B68" s="12" t="s">
        <v>93</v>
      </c>
      <c r="C68" s="96" t="s">
        <v>299</v>
      </c>
      <c r="D68" s="97"/>
      <c r="E68" s="97"/>
      <c r="F68" s="98"/>
      <c r="G68" s="39">
        <v>101747</v>
      </c>
      <c r="H68" s="4" t="s">
        <v>47</v>
      </c>
      <c r="I68" s="37">
        <f>24.14*1.5</f>
        <v>36.21</v>
      </c>
      <c r="J68" s="38">
        <v>77.22</v>
      </c>
      <c r="K68" s="6">
        <f t="shared" ref="K68:K75" si="18">J68*$G$3</f>
        <v>94.772106000000008</v>
      </c>
      <c r="L68" s="7">
        <f t="shared" ref="L68:L75" si="19">I68*K68</f>
        <v>3431.6979582600002</v>
      </c>
    </row>
    <row r="69" spans="2:12" s="20" customFormat="1" ht="39" customHeight="1" x14ac:dyDescent="0.25">
      <c r="B69" s="12" t="s">
        <v>126</v>
      </c>
      <c r="C69" s="102" t="s">
        <v>180</v>
      </c>
      <c r="D69" s="103"/>
      <c r="E69" s="103"/>
      <c r="F69" s="104"/>
      <c r="G69" s="11">
        <v>3993</v>
      </c>
      <c r="H69" s="11" t="s">
        <v>47</v>
      </c>
      <c r="I69" s="16">
        <f>(16.5*1.5)+16</f>
        <v>40.75</v>
      </c>
      <c r="J69" s="29">
        <v>134.18</v>
      </c>
      <c r="K69" s="13">
        <f t="shared" si="18"/>
        <v>164.67911400000003</v>
      </c>
      <c r="L69" s="7">
        <f t="shared" si="19"/>
        <v>6710.673895500001</v>
      </c>
    </row>
    <row r="70" spans="2:12" s="20" customFormat="1" ht="39" customHeight="1" x14ac:dyDescent="0.25">
      <c r="B70" s="12" t="s">
        <v>127</v>
      </c>
      <c r="C70" s="102" t="s">
        <v>181</v>
      </c>
      <c r="D70" s="103"/>
      <c r="E70" s="103"/>
      <c r="F70" s="104"/>
      <c r="G70" s="11">
        <v>20209</v>
      </c>
      <c r="H70" s="11" t="s">
        <v>111</v>
      </c>
      <c r="I70" s="16">
        <v>102</v>
      </c>
      <c r="J70" s="29">
        <v>29.98</v>
      </c>
      <c r="K70" s="13">
        <f t="shared" si="18"/>
        <v>36.794454000000002</v>
      </c>
      <c r="L70" s="7">
        <f t="shared" si="19"/>
        <v>3753.0343080000002</v>
      </c>
    </row>
    <row r="71" spans="2:12" s="20" customFormat="1" ht="33" customHeight="1" x14ac:dyDescent="0.25">
      <c r="B71" s="12" t="s">
        <v>128</v>
      </c>
      <c r="C71" s="96" t="s">
        <v>300</v>
      </c>
      <c r="D71" s="97"/>
      <c r="E71" s="97"/>
      <c r="F71" s="98"/>
      <c r="G71" s="39">
        <v>5068</v>
      </c>
      <c r="H71" s="4" t="s">
        <v>48</v>
      </c>
      <c r="I71" s="37">
        <v>3</v>
      </c>
      <c r="J71" s="38">
        <v>15.26</v>
      </c>
      <c r="K71" s="6">
        <f t="shared" si="18"/>
        <v>18.728598000000002</v>
      </c>
      <c r="L71" s="7">
        <f t="shared" si="19"/>
        <v>56.185794000000001</v>
      </c>
    </row>
    <row r="72" spans="2:12" s="20" customFormat="1" ht="33" customHeight="1" x14ac:dyDescent="0.25">
      <c r="B72" s="12" t="s">
        <v>129</v>
      </c>
      <c r="C72" s="96" t="s">
        <v>182</v>
      </c>
      <c r="D72" s="97"/>
      <c r="E72" s="97"/>
      <c r="F72" s="98"/>
      <c r="G72" s="39">
        <v>88239</v>
      </c>
      <c r="H72" s="4" t="s">
        <v>40</v>
      </c>
      <c r="I72" s="37">
        <v>8</v>
      </c>
      <c r="J72" s="38">
        <v>28.29</v>
      </c>
      <c r="K72" s="6">
        <f t="shared" si="18"/>
        <v>34.720317000000001</v>
      </c>
      <c r="L72" s="7">
        <f t="shared" si="19"/>
        <v>277.76253600000001</v>
      </c>
    </row>
    <row r="73" spans="2:12" s="20" customFormat="1" ht="33" customHeight="1" x14ac:dyDescent="0.25">
      <c r="B73" s="12" t="s">
        <v>130</v>
      </c>
      <c r="C73" s="96" t="s">
        <v>301</v>
      </c>
      <c r="D73" s="97"/>
      <c r="E73" s="97"/>
      <c r="F73" s="98"/>
      <c r="G73" s="39">
        <v>88262</v>
      </c>
      <c r="H73" s="4" t="s">
        <v>40</v>
      </c>
      <c r="I73" s="37">
        <v>8</v>
      </c>
      <c r="J73" s="38">
        <v>34.31</v>
      </c>
      <c r="K73" s="6">
        <f t="shared" si="18"/>
        <v>42.108663000000007</v>
      </c>
      <c r="L73" s="7">
        <f t="shared" si="19"/>
        <v>336.86930400000006</v>
      </c>
    </row>
    <row r="74" spans="2:12" s="20" customFormat="1" ht="39" customHeight="1" x14ac:dyDescent="0.25">
      <c r="B74" s="12" t="s">
        <v>131</v>
      </c>
      <c r="C74" s="102" t="s">
        <v>183</v>
      </c>
      <c r="D74" s="103"/>
      <c r="E74" s="103"/>
      <c r="F74" s="104"/>
      <c r="G74" s="11">
        <v>91692</v>
      </c>
      <c r="H74" s="11" t="s">
        <v>40</v>
      </c>
      <c r="I74" s="16">
        <v>3</v>
      </c>
      <c r="J74" s="29">
        <v>34.01</v>
      </c>
      <c r="K74" s="13">
        <f t="shared" si="18"/>
        <v>41.740473000000001</v>
      </c>
      <c r="L74" s="7">
        <f t="shared" si="19"/>
        <v>125.221419</v>
      </c>
    </row>
    <row r="75" spans="2:12" s="20" customFormat="1" ht="39" customHeight="1" x14ac:dyDescent="0.25">
      <c r="B75" s="12" t="s">
        <v>132</v>
      </c>
      <c r="C75" s="102" t="s">
        <v>302</v>
      </c>
      <c r="D75" s="103"/>
      <c r="E75" s="103"/>
      <c r="F75" s="104"/>
      <c r="G75" s="11">
        <v>102205</v>
      </c>
      <c r="H75" s="11" t="s">
        <v>47</v>
      </c>
      <c r="I75" s="16">
        <f>I69</f>
        <v>40.75</v>
      </c>
      <c r="J75" s="29">
        <v>11.12</v>
      </c>
      <c r="K75" s="13">
        <f t="shared" si="18"/>
        <v>13.647575999999999</v>
      </c>
      <c r="L75" s="7">
        <f t="shared" si="19"/>
        <v>556.13872199999992</v>
      </c>
    </row>
    <row r="76" spans="2:12" s="20" customFormat="1" ht="54" customHeight="1" x14ac:dyDescent="0.25">
      <c r="B76" s="12" t="s">
        <v>135</v>
      </c>
      <c r="C76" s="102" t="s">
        <v>184</v>
      </c>
      <c r="D76" s="103"/>
      <c r="E76" s="103"/>
      <c r="F76" s="104"/>
      <c r="G76" s="11">
        <v>94275</v>
      </c>
      <c r="H76" s="11" t="s">
        <v>47</v>
      </c>
      <c r="I76" s="16">
        <v>12.79</v>
      </c>
      <c r="J76" s="29">
        <v>54.1</v>
      </c>
      <c r="K76" s="13">
        <f>J76*$G$3</f>
        <v>66.396930000000012</v>
      </c>
      <c r="L76" s="7">
        <f>I76*K76</f>
        <v>849.21673470000007</v>
      </c>
    </row>
    <row r="77" spans="2:12" s="20" customFormat="1" ht="39" customHeight="1" x14ac:dyDescent="0.25">
      <c r="B77" s="12" t="s">
        <v>136</v>
      </c>
      <c r="C77" s="102" t="s">
        <v>185</v>
      </c>
      <c r="D77" s="103"/>
      <c r="E77" s="103"/>
      <c r="F77" s="104"/>
      <c r="G77" s="11">
        <v>92396</v>
      </c>
      <c r="H77" s="11" t="s">
        <v>47</v>
      </c>
      <c r="I77" s="16">
        <v>16.93</v>
      </c>
      <c r="J77" s="29">
        <v>68.7</v>
      </c>
      <c r="K77" s="13">
        <f t="shared" ref="K77" si="20">J77*$G$3</f>
        <v>84.315510000000003</v>
      </c>
      <c r="L77" s="7">
        <f>I77*K77</f>
        <v>1427.4615843000001</v>
      </c>
    </row>
    <row r="78" spans="2:12" s="20" customFormat="1" ht="33" customHeight="1" x14ac:dyDescent="0.25">
      <c r="B78" s="90" t="s">
        <v>303</v>
      </c>
      <c r="C78" s="91"/>
      <c r="D78" s="91"/>
      <c r="E78" s="91"/>
      <c r="F78" s="91"/>
      <c r="G78" s="91"/>
      <c r="H78" s="91"/>
      <c r="I78" s="91"/>
      <c r="J78" s="91"/>
      <c r="K78" s="92"/>
      <c r="L78" s="15">
        <f>SUM(L66:L75)</f>
        <v>32228.757596879997</v>
      </c>
    </row>
    <row r="79" spans="2:12" s="20" customFormat="1" ht="33" customHeight="1" x14ac:dyDescent="0.25">
      <c r="B79" s="64">
        <v>7</v>
      </c>
      <c r="C79" s="93" t="s">
        <v>87</v>
      </c>
      <c r="D79" s="94"/>
      <c r="E79" s="94"/>
      <c r="F79" s="94"/>
      <c r="G79" s="94"/>
      <c r="H79" s="94"/>
      <c r="I79" s="94"/>
      <c r="J79" s="94"/>
      <c r="K79" s="94"/>
      <c r="L79" s="95"/>
    </row>
    <row r="80" spans="2:12" s="20" customFormat="1" ht="54" customHeight="1" x14ac:dyDescent="0.25">
      <c r="B80" s="12" t="s">
        <v>15</v>
      </c>
      <c r="C80" s="102" t="s">
        <v>186</v>
      </c>
      <c r="D80" s="103"/>
      <c r="E80" s="103"/>
      <c r="F80" s="104"/>
      <c r="G80" s="11">
        <v>100725</v>
      </c>
      <c r="H80" s="11" t="s">
        <v>47</v>
      </c>
      <c r="I80" s="16">
        <f>I49*2</f>
        <v>718.28</v>
      </c>
      <c r="J80" s="29">
        <v>28.81</v>
      </c>
      <c r="K80" s="13">
        <f t="shared" ref="K80" si="21">J80*$G$3</f>
        <v>35.358513000000002</v>
      </c>
      <c r="L80" s="7">
        <f t="shared" ref="L80" si="22">I80*K80</f>
        <v>25397.312717640001</v>
      </c>
    </row>
    <row r="81" spans="2:12" s="20" customFormat="1" ht="33" customHeight="1" x14ac:dyDescent="0.25">
      <c r="B81" s="90" t="s">
        <v>304</v>
      </c>
      <c r="C81" s="91"/>
      <c r="D81" s="91"/>
      <c r="E81" s="91"/>
      <c r="F81" s="91"/>
      <c r="G81" s="91"/>
      <c r="H81" s="91"/>
      <c r="I81" s="91"/>
      <c r="J81" s="91"/>
      <c r="K81" s="92"/>
      <c r="L81" s="15">
        <f>SUM(L80:L80)</f>
        <v>25397.312717640001</v>
      </c>
    </row>
    <row r="82" spans="2:12" s="20" customFormat="1" ht="33" customHeight="1" x14ac:dyDescent="0.25">
      <c r="B82" s="64">
        <v>8</v>
      </c>
      <c r="C82" s="93" t="s">
        <v>305</v>
      </c>
      <c r="D82" s="94"/>
      <c r="E82" s="94"/>
      <c r="F82" s="94"/>
      <c r="G82" s="94"/>
      <c r="H82" s="94"/>
      <c r="I82" s="94"/>
      <c r="J82" s="94"/>
      <c r="K82" s="94"/>
      <c r="L82" s="95"/>
    </row>
    <row r="83" spans="2:12" s="20" customFormat="1" ht="34.5" customHeight="1" x14ac:dyDescent="0.25">
      <c r="B83" s="12" t="s">
        <v>58</v>
      </c>
      <c r="C83" s="96" t="s">
        <v>141</v>
      </c>
      <c r="D83" s="97"/>
      <c r="E83" s="97"/>
      <c r="F83" s="98"/>
      <c r="G83" s="39" t="s">
        <v>187</v>
      </c>
      <c r="H83" s="4" t="s">
        <v>3</v>
      </c>
      <c r="I83" s="37">
        <v>1</v>
      </c>
      <c r="J83" s="38">
        <v>5800</v>
      </c>
      <c r="K83" s="6">
        <f t="shared" ref="K83" si="23">J83*$G$3</f>
        <v>7118.34</v>
      </c>
      <c r="L83" s="7">
        <f t="shared" ref="L83" si="24">I83*K83</f>
        <v>7118.34</v>
      </c>
    </row>
    <row r="84" spans="2:12" s="20" customFormat="1" ht="34.5" customHeight="1" x14ac:dyDescent="0.25">
      <c r="B84" s="12" t="s">
        <v>59</v>
      </c>
      <c r="C84" s="96" t="s">
        <v>188</v>
      </c>
      <c r="D84" s="97"/>
      <c r="E84" s="97"/>
      <c r="F84" s="98"/>
      <c r="G84" s="39">
        <v>96985</v>
      </c>
      <c r="H84" s="4" t="s">
        <v>42</v>
      </c>
      <c r="I84" s="37">
        <v>5</v>
      </c>
      <c r="J84" s="38">
        <v>87.03</v>
      </c>
      <c r="K84" s="6">
        <f t="shared" ref="K84" si="25">J84*$G$3</f>
        <v>106.811919</v>
      </c>
      <c r="L84" s="7">
        <f t="shared" ref="L84" si="26">I84*K84</f>
        <v>534.05959500000006</v>
      </c>
    </row>
    <row r="85" spans="2:12" s="20" customFormat="1" ht="34.5" customHeight="1" x14ac:dyDescent="0.25">
      <c r="B85" s="12" t="s">
        <v>142</v>
      </c>
      <c r="C85" s="96" t="s">
        <v>189</v>
      </c>
      <c r="D85" s="97"/>
      <c r="E85" s="97"/>
      <c r="F85" s="98"/>
      <c r="G85" s="39">
        <v>96973</v>
      </c>
      <c r="H85" s="4" t="s">
        <v>42</v>
      </c>
      <c r="I85" s="37">
        <v>20</v>
      </c>
      <c r="J85" s="38">
        <v>73.150000000000006</v>
      </c>
      <c r="K85" s="6">
        <f t="shared" ref="K85" si="27">J85*$G$3</f>
        <v>89.776995000000014</v>
      </c>
      <c r="L85" s="7">
        <f t="shared" ref="L85" si="28">I85*K85</f>
        <v>1795.5399000000002</v>
      </c>
    </row>
    <row r="86" spans="2:12" s="20" customFormat="1" ht="39" customHeight="1" x14ac:dyDescent="0.25">
      <c r="B86" s="12" t="s">
        <v>143</v>
      </c>
      <c r="C86" s="102" t="s">
        <v>190</v>
      </c>
      <c r="D86" s="103"/>
      <c r="E86" s="103"/>
      <c r="F86" s="104"/>
      <c r="G86" s="11">
        <v>101879</v>
      </c>
      <c r="H86" s="11" t="s">
        <v>3</v>
      </c>
      <c r="I86" s="16">
        <v>3</v>
      </c>
      <c r="J86" s="29">
        <v>545.92999999999995</v>
      </c>
      <c r="K86" s="13">
        <f>J86*$G$3</f>
        <v>670.01988899999992</v>
      </c>
      <c r="L86" s="7">
        <f>I86*K86</f>
        <v>2010.0596669999998</v>
      </c>
    </row>
    <row r="87" spans="2:12" s="20" customFormat="1" ht="34.5" customHeight="1" x14ac:dyDescent="0.25">
      <c r="B87" s="12" t="s">
        <v>144</v>
      </c>
      <c r="C87" s="96" t="s">
        <v>317</v>
      </c>
      <c r="D87" s="97"/>
      <c r="E87" s="97"/>
      <c r="F87" s="98"/>
      <c r="G87" s="39">
        <v>93656</v>
      </c>
      <c r="H87" s="4" t="s">
        <v>3</v>
      </c>
      <c r="I87" s="37">
        <v>1</v>
      </c>
      <c r="J87" s="38">
        <v>15.08</v>
      </c>
      <c r="K87" s="6">
        <f t="shared" ref="K87:K96" si="29">J87*$G$3</f>
        <v>18.507684000000001</v>
      </c>
      <c r="L87" s="7">
        <f t="shared" ref="L87:L96" si="30">I87*K87</f>
        <v>18.507684000000001</v>
      </c>
    </row>
    <row r="88" spans="2:12" s="20" customFormat="1" ht="34.5" customHeight="1" x14ac:dyDescent="0.25">
      <c r="B88" s="12" t="s">
        <v>145</v>
      </c>
      <c r="C88" s="96" t="s">
        <v>316</v>
      </c>
      <c r="D88" s="97"/>
      <c r="E88" s="97"/>
      <c r="F88" s="98"/>
      <c r="G88" s="39">
        <v>93654</v>
      </c>
      <c r="H88" s="4" t="s">
        <v>3</v>
      </c>
      <c r="I88" s="37">
        <v>2</v>
      </c>
      <c r="J88" s="38">
        <v>13.58</v>
      </c>
      <c r="K88" s="6">
        <f t="shared" si="29"/>
        <v>16.666734000000002</v>
      </c>
      <c r="L88" s="7">
        <f t="shared" si="30"/>
        <v>33.333468000000003</v>
      </c>
    </row>
    <row r="89" spans="2:12" s="20" customFormat="1" ht="34.5" customHeight="1" x14ac:dyDescent="0.25">
      <c r="B89" s="12" t="s">
        <v>146</v>
      </c>
      <c r="C89" s="96" t="s">
        <v>191</v>
      </c>
      <c r="D89" s="97"/>
      <c r="E89" s="97"/>
      <c r="F89" s="98"/>
      <c r="G89" s="39">
        <v>39028</v>
      </c>
      <c r="H89" s="4" t="s">
        <v>42</v>
      </c>
      <c r="I89" s="37">
        <f>33*3</f>
        <v>99</v>
      </c>
      <c r="J89" s="38">
        <v>9.64</v>
      </c>
      <c r="K89" s="6">
        <f t="shared" si="29"/>
        <v>11.831172</v>
      </c>
      <c r="L89" s="7">
        <f t="shared" si="30"/>
        <v>1171.286028</v>
      </c>
    </row>
    <row r="90" spans="2:12" s="20" customFormat="1" ht="39" customHeight="1" x14ac:dyDescent="0.25">
      <c r="B90" s="12" t="s">
        <v>147</v>
      </c>
      <c r="C90" s="102" t="s">
        <v>192</v>
      </c>
      <c r="D90" s="103"/>
      <c r="E90" s="103"/>
      <c r="F90" s="104"/>
      <c r="G90" s="11">
        <v>91933</v>
      </c>
      <c r="H90" s="11" t="s">
        <v>42</v>
      </c>
      <c r="I90" s="16">
        <f>70*4</f>
        <v>280</v>
      </c>
      <c r="J90" s="29">
        <v>16.559999999999999</v>
      </c>
      <c r="K90" s="13">
        <f t="shared" si="29"/>
        <v>20.324088</v>
      </c>
      <c r="L90" s="7">
        <f t="shared" si="30"/>
        <v>5690.7446399999999</v>
      </c>
    </row>
    <row r="91" spans="2:12" s="20" customFormat="1" ht="39" customHeight="1" x14ac:dyDescent="0.25">
      <c r="B91" s="12" t="s">
        <v>148</v>
      </c>
      <c r="C91" s="102" t="s">
        <v>193</v>
      </c>
      <c r="D91" s="103"/>
      <c r="E91" s="103"/>
      <c r="F91" s="104"/>
      <c r="G91" s="11">
        <v>91926</v>
      </c>
      <c r="H91" s="11" t="s">
        <v>42</v>
      </c>
      <c r="I91" s="16">
        <f>121.5*2</f>
        <v>243</v>
      </c>
      <c r="J91" s="29">
        <v>4.57</v>
      </c>
      <c r="K91" s="13">
        <f t="shared" si="29"/>
        <v>5.6087610000000003</v>
      </c>
      <c r="L91" s="7">
        <f t="shared" si="30"/>
        <v>1362.9289230000002</v>
      </c>
    </row>
    <row r="92" spans="2:12" s="20" customFormat="1" ht="34.5" customHeight="1" x14ac:dyDescent="0.25">
      <c r="B92" s="12" t="s">
        <v>149</v>
      </c>
      <c r="C92" s="96" t="s">
        <v>315</v>
      </c>
      <c r="D92" s="97"/>
      <c r="E92" s="97"/>
      <c r="F92" s="98"/>
      <c r="G92" s="39">
        <v>95727</v>
      </c>
      <c r="H92" s="4" t="s">
        <v>42</v>
      </c>
      <c r="I92" s="37">
        <f>20*3</f>
        <v>60</v>
      </c>
      <c r="J92" s="38">
        <v>24.84</v>
      </c>
      <c r="K92" s="6">
        <f t="shared" si="29"/>
        <v>30.486132000000001</v>
      </c>
      <c r="L92" s="7">
        <f t="shared" si="30"/>
        <v>1829.1679200000001</v>
      </c>
    </row>
    <row r="93" spans="2:12" s="20" customFormat="1" ht="39" customHeight="1" x14ac:dyDescent="0.25">
      <c r="B93" s="12" t="s">
        <v>150</v>
      </c>
      <c r="C93" s="102" t="s">
        <v>194</v>
      </c>
      <c r="D93" s="103"/>
      <c r="E93" s="103"/>
      <c r="F93" s="104"/>
      <c r="G93" s="11">
        <v>91875</v>
      </c>
      <c r="H93" s="11" t="s">
        <v>3</v>
      </c>
      <c r="I93" s="16">
        <v>10</v>
      </c>
      <c r="J93" s="29">
        <v>10.34</v>
      </c>
      <c r="K93" s="13">
        <f t="shared" si="29"/>
        <v>12.690282</v>
      </c>
      <c r="L93" s="7">
        <f t="shared" si="30"/>
        <v>126.90281999999999</v>
      </c>
    </row>
    <row r="94" spans="2:12" s="20" customFormat="1" ht="39" customHeight="1" x14ac:dyDescent="0.25">
      <c r="B94" s="12" t="s">
        <v>151</v>
      </c>
      <c r="C94" s="102" t="s">
        <v>307</v>
      </c>
      <c r="D94" s="103"/>
      <c r="E94" s="103"/>
      <c r="F94" s="104"/>
      <c r="G94" s="11">
        <v>91890</v>
      </c>
      <c r="H94" s="11" t="s">
        <v>3</v>
      </c>
      <c r="I94" s="16">
        <v>10</v>
      </c>
      <c r="J94" s="29">
        <v>16.8</v>
      </c>
      <c r="K94" s="13">
        <f t="shared" si="29"/>
        <v>20.618640000000003</v>
      </c>
      <c r="L94" s="7">
        <f t="shared" si="30"/>
        <v>206.18640000000002</v>
      </c>
    </row>
    <row r="95" spans="2:12" s="20" customFormat="1" ht="54" customHeight="1" x14ac:dyDescent="0.25">
      <c r="B95" s="12" t="s">
        <v>152</v>
      </c>
      <c r="C95" s="102" t="s">
        <v>308</v>
      </c>
      <c r="D95" s="103"/>
      <c r="E95" s="103"/>
      <c r="F95" s="104"/>
      <c r="G95" s="11">
        <v>104473</v>
      </c>
      <c r="H95" s="11" t="s">
        <v>3</v>
      </c>
      <c r="I95" s="16">
        <v>15</v>
      </c>
      <c r="J95" s="29">
        <v>198.41</v>
      </c>
      <c r="K95" s="13">
        <f t="shared" si="29"/>
        <v>243.50859300000002</v>
      </c>
      <c r="L95" s="7">
        <f t="shared" si="30"/>
        <v>3652.6288950000003</v>
      </c>
    </row>
    <row r="96" spans="2:12" s="20" customFormat="1" ht="39" customHeight="1" x14ac:dyDescent="0.25">
      <c r="B96" s="12" t="s">
        <v>153</v>
      </c>
      <c r="C96" s="99" t="s">
        <v>306</v>
      </c>
      <c r="D96" s="100"/>
      <c r="E96" s="100"/>
      <c r="F96" s="101"/>
      <c r="G96" s="11">
        <v>101666</v>
      </c>
      <c r="H96" s="11" t="s">
        <v>3</v>
      </c>
      <c r="I96" s="16">
        <v>15</v>
      </c>
      <c r="J96" s="29">
        <v>448.53</v>
      </c>
      <c r="K96" s="13">
        <f t="shared" si="29"/>
        <v>550.48086899999998</v>
      </c>
      <c r="L96" s="7">
        <f t="shared" si="30"/>
        <v>8257.2130350000007</v>
      </c>
    </row>
    <row r="97" spans="2:12" s="20" customFormat="1" ht="33" customHeight="1" x14ac:dyDescent="0.25">
      <c r="B97" s="90" t="s">
        <v>309</v>
      </c>
      <c r="C97" s="91"/>
      <c r="D97" s="91"/>
      <c r="E97" s="91"/>
      <c r="F97" s="91"/>
      <c r="G97" s="91"/>
      <c r="H97" s="91"/>
      <c r="I97" s="91"/>
      <c r="J97" s="91"/>
      <c r="K97" s="92"/>
      <c r="L97" s="15">
        <f>SUM(L83:L96)</f>
        <v>33806.898975000004</v>
      </c>
    </row>
    <row r="98" spans="2:12" s="20" customFormat="1" ht="33" customHeight="1" x14ac:dyDescent="0.25">
      <c r="B98" s="64">
        <v>9</v>
      </c>
      <c r="C98" s="93" t="s">
        <v>50</v>
      </c>
      <c r="D98" s="94"/>
      <c r="E98" s="94"/>
      <c r="F98" s="94"/>
      <c r="G98" s="94"/>
      <c r="H98" s="94"/>
      <c r="I98" s="94"/>
      <c r="J98" s="94"/>
      <c r="K98" s="94"/>
      <c r="L98" s="95"/>
    </row>
    <row r="99" spans="2:12" s="20" customFormat="1" ht="34.5" customHeight="1" x14ac:dyDescent="0.25">
      <c r="B99" s="12" t="s">
        <v>64</v>
      </c>
      <c r="C99" s="96" t="s">
        <v>198</v>
      </c>
      <c r="D99" s="97"/>
      <c r="E99" s="97"/>
      <c r="F99" s="98"/>
      <c r="G99" s="39" t="s">
        <v>195</v>
      </c>
      <c r="H99" s="4" t="s">
        <v>3</v>
      </c>
      <c r="I99" s="37">
        <v>3</v>
      </c>
      <c r="J99" s="38">
        <f>'COMPOSIÇÕES '!L30</f>
        <v>1768.2302658600001</v>
      </c>
      <c r="K99" s="6">
        <f>J99</f>
        <v>1768.2302658600001</v>
      </c>
      <c r="L99" s="7">
        <f t="shared" ref="L99" si="31">I99*K99</f>
        <v>5304.6907975800004</v>
      </c>
    </row>
    <row r="100" spans="2:12" s="20" customFormat="1" ht="34.5" customHeight="1" x14ac:dyDescent="0.25">
      <c r="B100" s="12" t="s">
        <v>65</v>
      </c>
      <c r="C100" s="96" t="s">
        <v>199</v>
      </c>
      <c r="D100" s="97"/>
      <c r="E100" s="97"/>
      <c r="F100" s="98"/>
      <c r="G100" s="39" t="s">
        <v>196</v>
      </c>
      <c r="H100" s="4" t="s">
        <v>3</v>
      </c>
      <c r="I100" s="37">
        <v>1</v>
      </c>
      <c r="J100" s="38">
        <f>'COMPOSIÇÕES '!L108</f>
        <v>2144.9609974680002</v>
      </c>
      <c r="K100" s="6">
        <f>J100</f>
        <v>2144.9609974680002</v>
      </c>
      <c r="L100" s="7">
        <f t="shared" ref="L100" si="32">I100*K100</f>
        <v>2144.9609974680002</v>
      </c>
    </row>
    <row r="101" spans="2:12" s="20" customFormat="1" ht="34.5" customHeight="1" x14ac:dyDescent="0.25">
      <c r="B101" s="12" t="s">
        <v>137</v>
      </c>
      <c r="C101" s="96" t="s">
        <v>197</v>
      </c>
      <c r="D101" s="97"/>
      <c r="E101" s="97"/>
      <c r="F101" s="98"/>
      <c r="G101" s="39">
        <v>102235</v>
      </c>
      <c r="H101" s="4" t="s">
        <v>47</v>
      </c>
      <c r="I101" s="37">
        <v>4.5</v>
      </c>
      <c r="J101" s="38">
        <v>513.02</v>
      </c>
      <c r="K101" s="6">
        <f>J101</f>
        <v>513.02</v>
      </c>
      <c r="L101" s="7">
        <f t="shared" ref="L101" si="33">I101*K101</f>
        <v>2308.59</v>
      </c>
    </row>
    <row r="102" spans="2:12" s="20" customFormat="1" ht="33" customHeight="1" x14ac:dyDescent="0.25">
      <c r="B102" s="90" t="s">
        <v>310</v>
      </c>
      <c r="C102" s="91"/>
      <c r="D102" s="91"/>
      <c r="E102" s="91"/>
      <c r="F102" s="91"/>
      <c r="G102" s="91"/>
      <c r="H102" s="91"/>
      <c r="I102" s="91"/>
      <c r="J102" s="91"/>
      <c r="K102" s="92"/>
      <c r="L102" s="15">
        <f>SUM(L99:L100)</f>
        <v>7449.6517950480011</v>
      </c>
    </row>
    <row r="103" spans="2:12" s="20" customFormat="1" ht="33" customHeight="1" x14ac:dyDescent="0.25">
      <c r="B103" s="64">
        <v>10</v>
      </c>
      <c r="C103" s="93" t="s">
        <v>154</v>
      </c>
      <c r="D103" s="94"/>
      <c r="E103" s="94"/>
      <c r="F103" s="94"/>
      <c r="G103" s="94"/>
      <c r="H103" s="94"/>
      <c r="I103" s="94"/>
      <c r="J103" s="94"/>
      <c r="K103" s="94"/>
      <c r="L103" s="95"/>
    </row>
    <row r="104" spans="2:12" s="20" customFormat="1" ht="34.5" customHeight="1" x14ac:dyDescent="0.25">
      <c r="B104" s="12" t="s">
        <v>133</v>
      </c>
      <c r="C104" s="96" t="s">
        <v>200</v>
      </c>
      <c r="D104" s="97"/>
      <c r="E104" s="97"/>
      <c r="F104" s="98"/>
      <c r="G104" s="39">
        <v>99855</v>
      </c>
      <c r="H104" s="4" t="s">
        <v>42</v>
      </c>
      <c r="I104" s="42">
        <v>21.51</v>
      </c>
      <c r="J104" s="43">
        <v>107.74</v>
      </c>
      <c r="K104" s="6">
        <f>J104</f>
        <v>107.74</v>
      </c>
      <c r="L104" s="7">
        <f t="shared" ref="L104" si="34">I104*K104</f>
        <v>2317.4874</v>
      </c>
    </row>
    <row r="105" spans="2:12" s="20" customFormat="1" ht="33" customHeight="1" x14ac:dyDescent="0.25">
      <c r="B105" s="90" t="s">
        <v>311</v>
      </c>
      <c r="C105" s="91"/>
      <c r="D105" s="91"/>
      <c r="E105" s="91"/>
      <c r="F105" s="91"/>
      <c r="G105" s="91"/>
      <c r="H105" s="91"/>
      <c r="I105" s="91"/>
      <c r="J105" s="91"/>
      <c r="K105" s="92"/>
      <c r="L105" s="15">
        <f>SUM(L104:L104)</f>
        <v>2317.4874</v>
      </c>
    </row>
    <row r="106" spans="2:12" s="20" customFormat="1" ht="33" customHeight="1" x14ac:dyDescent="0.25">
      <c r="B106" s="64">
        <v>11</v>
      </c>
      <c r="C106" s="93" t="s">
        <v>337</v>
      </c>
      <c r="D106" s="94"/>
      <c r="E106" s="94"/>
      <c r="F106" s="94"/>
      <c r="G106" s="94"/>
      <c r="H106" s="94"/>
      <c r="I106" s="94"/>
      <c r="J106" s="94"/>
      <c r="K106" s="94"/>
      <c r="L106" s="95"/>
    </row>
    <row r="107" spans="2:12" s="20" customFormat="1" ht="34.5" customHeight="1" x14ac:dyDescent="0.25">
      <c r="B107" s="12" t="s">
        <v>155</v>
      </c>
      <c r="C107" s="96" t="s">
        <v>201</v>
      </c>
      <c r="D107" s="97"/>
      <c r="E107" s="97"/>
      <c r="F107" s="98"/>
      <c r="G107" s="39">
        <v>97599</v>
      </c>
      <c r="H107" s="4" t="s">
        <v>3</v>
      </c>
      <c r="I107" s="42">
        <v>3</v>
      </c>
      <c r="J107" s="43">
        <v>25.55</v>
      </c>
      <c r="K107" s="44">
        <f>J107*$G$3</f>
        <v>31.357515000000003</v>
      </c>
      <c r="L107" s="45">
        <f>I107*K107</f>
        <v>94.072545000000005</v>
      </c>
    </row>
    <row r="108" spans="2:12" s="20" customFormat="1" ht="34.5" customHeight="1" x14ac:dyDescent="0.25">
      <c r="B108" s="12" t="s">
        <v>157</v>
      </c>
      <c r="C108" s="96" t="s">
        <v>202</v>
      </c>
      <c r="D108" s="97"/>
      <c r="E108" s="97"/>
      <c r="F108" s="98"/>
      <c r="G108" s="39">
        <v>101908</v>
      </c>
      <c r="H108" s="4" t="s">
        <v>3</v>
      </c>
      <c r="I108" s="42">
        <v>2</v>
      </c>
      <c r="J108" s="43">
        <v>196.81</v>
      </c>
      <c r="K108" s="44">
        <f>J108*$G$3</f>
        <v>241.54491300000001</v>
      </c>
      <c r="L108" s="45">
        <f>I108*K108</f>
        <v>483.08982600000002</v>
      </c>
    </row>
    <row r="109" spans="2:12" s="20" customFormat="1" ht="39" customHeight="1" x14ac:dyDescent="0.25">
      <c r="B109" s="12" t="s">
        <v>158</v>
      </c>
      <c r="C109" s="102" t="s">
        <v>204</v>
      </c>
      <c r="D109" s="103"/>
      <c r="E109" s="103"/>
      <c r="F109" s="104"/>
      <c r="G109" s="11" t="s">
        <v>205</v>
      </c>
      <c r="H109" s="11" t="s">
        <v>3</v>
      </c>
      <c r="I109" s="16">
        <v>4</v>
      </c>
      <c r="J109" s="29">
        <v>20.51</v>
      </c>
      <c r="K109" s="13">
        <f t="shared" ref="K109" si="35">J109*$G$3</f>
        <v>25.171923000000003</v>
      </c>
      <c r="L109" s="7">
        <f t="shared" ref="L109" si="36">I109*K109</f>
        <v>100.68769200000001</v>
      </c>
    </row>
    <row r="110" spans="2:12" s="20" customFormat="1" ht="33" customHeight="1" x14ac:dyDescent="0.25">
      <c r="B110" s="90" t="s">
        <v>312</v>
      </c>
      <c r="C110" s="91"/>
      <c r="D110" s="91"/>
      <c r="E110" s="91"/>
      <c r="F110" s="91"/>
      <c r="G110" s="91"/>
      <c r="H110" s="91"/>
      <c r="I110" s="91"/>
      <c r="J110" s="91"/>
      <c r="K110" s="92"/>
      <c r="L110" s="15">
        <f>SUM(L107:L109)</f>
        <v>677.85006299999998</v>
      </c>
    </row>
    <row r="111" spans="2:12" s="20" customFormat="1" ht="33" customHeight="1" x14ac:dyDescent="0.25">
      <c r="B111" s="64">
        <v>12</v>
      </c>
      <c r="C111" s="93" t="s">
        <v>252</v>
      </c>
      <c r="D111" s="94"/>
      <c r="E111" s="94"/>
      <c r="F111" s="94"/>
      <c r="G111" s="94"/>
      <c r="H111" s="94"/>
      <c r="I111" s="94"/>
      <c r="J111" s="94"/>
      <c r="K111" s="94"/>
      <c r="L111" s="95"/>
    </row>
    <row r="112" spans="2:12" s="20" customFormat="1" ht="34.5" customHeight="1" x14ac:dyDescent="0.25">
      <c r="B112" s="12" t="s">
        <v>156</v>
      </c>
      <c r="C112" s="96" t="s">
        <v>203</v>
      </c>
      <c r="D112" s="97"/>
      <c r="E112" s="97"/>
      <c r="F112" s="98"/>
      <c r="G112" s="39">
        <v>99814</v>
      </c>
      <c r="H112" s="4" t="s">
        <v>47</v>
      </c>
      <c r="I112" s="37">
        <v>387.07</v>
      </c>
      <c r="J112" s="38">
        <v>2.41</v>
      </c>
      <c r="K112" s="6">
        <f t="shared" ref="K112" si="37">J112*$G$3</f>
        <v>2.9577930000000001</v>
      </c>
      <c r="L112" s="7">
        <f t="shared" ref="L112" si="38">I112*K112</f>
        <v>1144.87293651</v>
      </c>
    </row>
    <row r="113" spans="2:78" s="20" customFormat="1" ht="33" customHeight="1" x14ac:dyDescent="0.25">
      <c r="B113" s="90" t="s">
        <v>313</v>
      </c>
      <c r="C113" s="91"/>
      <c r="D113" s="91"/>
      <c r="E113" s="91"/>
      <c r="F113" s="91"/>
      <c r="G113" s="91"/>
      <c r="H113" s="91"/>
      <c r="I113" s="91"/>
      <c r="J113" s="91"/>
      <c r="K113" s="92"/>
      <c r="L113" s="15">
        <f>SUM(L112)</f>
        <v>1144.87293651</v>
      </c>
    </row>
    <row r="114" spans="2:78" s="20" customFormat="1" ht="33" customHeight="1" x14ac:dyDescent="0.25">
      <c r="B114" s="90" t="s">
        <v>314</v>
      </c>
      <c r="C114" s="91"/>
      <c r="D114" s="91"/>
      <c r="E114" s="91"/>
      <c r="F114" s="91"/>
      <c r="G114" s="91"/>
      <c r="H114" s="91"/>
      <c r="I114" s="91"/>
      <c r="J114" s="91"/>
      <c r="K114" s="92"/>
      <c r="L114" s="15">
        <f>L14+L23+L33+L38+L46+L51+L64+L78+L81+L97+L102+L105+L110+L113</f>
        <v>559760.74571227899</v>
      </c>
    </row>
    <row r="115" spans="2:78" s="68" customFormat="1" ht="31.5" customHeight="1" x14ac:dyDescent="0.25">
      <c r="I115" s="69"/>
      <c r="J115" s="70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  <c r="AA115" s="67"/>
      <c r="AB115" s="67"/>
      <c r="AC115" s="67"/>
      <c r="AD115" s="67"/>
      <c r="AE115" s="67"/>
      <c r="AF115" s="67"/>
      <c r="AG115" s="67"/>
      <c r="AH115" s="67"/>
      <c r="AI115" s="67"/>
      <c r="AJ115" s="67"/>
      <c r="AK115" s="67"/>
      <c r="AL115" s="67"/>
      <c r="AM115" s="67"/>
      <c r="AN115" s="67"/>
      <c r="AO115" s="67"/>
      <c r="AP115" s="67"/>
      <c r="AQ115" s="67"/>
      <c r="AR115" s="67"/>
      <c r="AS115" s="67"/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/>
      <c r="BH115" s="67"/>
      <c r="BI115" s="67"/>
      <c r="BJ115" s="67"/>
      <c r="BK115" s="67"/>
      <c r="BL115" s="67"/>
      <c r="BM115" s="67"/>
      <c r="BN115" s="67"/>
      <c r="BO115" s="67"/>
      <c r="BP115" s="67"/>
      <c r="BQ115" s="67"/>
      <c r="BR115" s="67"/>
      <c r="BS115" s="67"/>
      <c r="BT115" s="67"/>
      <c r="BU115" s="67"/>
      <c r="BV115" s="67"/>
      <c r="BW115" s="67"/>
      <c r="BX115" s="67"/>
      <c r="BY115" s="67"/>
      <c r="BZ115" s="67"/>
    </row>
    <row r="116" spans="2:78" s="68" customFormat="1" ht="33" customHeight="1" x14ac:dyDescent="0.25">
      <c r="B116" s="89" t="s">
        <v>326</v>
      </c>
      <c r="C116" s="89"/>
      <c r="D116" s="89"/>
      <c r="E116" s="89"/>
      <c r="F116" s="89"/>
      <c r="G116" s="53"/>
      <c r="H116" s="53"/>
      <c r="I116" s="71"/>
      <c r="J116" s="72"/>
      <c r="K116" s="53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  <c r="AA116" s="67"/>
      <c r="AB116" s="67"/>
      <c r="AC116" s="67"/>
      <c r="AD116" s="67"/>
      <c r="AE116" s="67"/>
      <c r="AF116" s="67"/>
      <c r="AG116" s="67"/>
      <c r="AH116" s="67"/>
      <c r="AI116" s="67"/>
      <c r="AJ116" s="67"/>
      <c r="AK116" s="67"/>
      <c r="AL116" s="67"/>
      <c r="AM116" s="67"/>
      <c r="AN116" s="67"/>
      <c r="AO116" s="67"/>
      <c r="AP116" s="67"/>
      <c r="AQ116" s="67"/>
      <c r="AR116" s="67"/>
      <c r="AS116" s="67"/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/>
      <c r="BH116" s="67"/>
      <c r="BI116" s="67"/>
      <c r="BJ116" s="67"/>
      <c r="BK116" s="67"/>
      <c r="BL116" s="67"/>
      <c r="BM116" s="67"/>
      <c r="BN116" s="67"/>
      <c r="BO116" s="67"/>
      <c r="BP116" s="67"/>
      <c r="BQ116" s="67"/>
      <c r="BR116" s="67"/>
      <c r="BS116" s="67"/>
      <c r="BT116" s="67"/>
      <c r="BU116" s="67"/>
      <c r="BV116" s="67"/>
      <c r="BW116" s="67"/>
      <c r="BX116" s="67"/>
      <c r="BY116" s="67"/>
      <c r="BZ116" s="67"/>
    </row>
    <row r="117" spans="2:78" s="68" customFormat="1" ht="15" customHeight="1" x14ac:dyDescent="0.25">
      <c r="B117" s="53"/>
      <c r="C117" s="53"/>
      <c r="D117" s="53"/>
      <c r="E117" s="53"/>
      <c r="F117" s="53"/>
      <c r="G117" s="53"/>
      <c r="H117" s="53"/>
      <c r="I117" s="71"/>
      <c r="J117" s="72"/>
      <c r="K117" s="53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  <c r="AA117" s="67"/>
      <c r="AB117" s="67"/>
      <c r="AC117" s="67"/>
      <c r="AD117" s="67"/>
      <c r="AE117" s="67"/>
      <c r="AF117" s="67"/>
      <c r="AG117" s="67"/>
      <c r="AH117" s="67"/>
      <c r="AI117" s="67"/>
      <c r="AJ117" s="67"/>
      <c r="AK117" s="67"/>
      <c r="AL117" s="67"/>
      <c r="AM117" s="67"/>
      <c r="AN117" s="67"/>
      <c r="AO117" s="67"/>
      <c r="AP117" s="67"/>
      <c r="AQ117" s="67"/>
      <c r="AR117" s="67"/>
      <c r="AS117" s="67"/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/>
      <c r="BH117" s="67"/>
      <c r="BI117" s="67"/>
      <c r="BJ117" s="67"/>
      <c r="BK117" s="67"/>
      <c r="BL117" s="67"/>
      <c r="BM117" s="67"/>
      <c r="BN117" s="67"/>
      <c r="BO117" s="67"/>
      <c r="BP117" s="67"/>
      <c r="BQ117" s="67"/>
      <c r="BR117" s="67"/>
      <c r="BS117" s="67"/>
      <c r="BT117" s="67"/>
      <c r="BU117" s="67"/>
      <c r="BV117" s="67"/>
      <c r="BW117" s="67"/>
      <c r="BX117" s="67"/>
      <c r="BY117" s="67"/>
      <c r="BZ117" s="67"/>
    </row>
    <row r="118" spans="2:78" s="68" customFormat="1" ht="15" customHeight="1" x14ac:dyDescent="0.25">
      <c r="B118" s="53"/>
      <c r="C118" s="53"/>
      <c r="D118" s="53"/>
      <c r="E118" s="53"/>
      <c r="F118" s="53"/>
      <c r="G118" s="53"/>
      <c r="H118" s="53"/>
      <c r="I118" s="71"/>
      <c r="J118" s="72"/>
      <c r="K118" s="53"/>
      <c r="M118" s="67"/>
      <c r="N118" s="67"/>
      <c r="O118" s="67"/>
      <c r="P118" s="67"/>
      <c r="Q118" s="67"/>
      <c r="R118" s="67"/>
      <c r="S118" s="67"/>
      <c r="T118" s="67"/>
      <c r="U118" s="67"/>
      <c r="V118" s="67"/>
      <c r="W118" s="67"/>
      <c r="X118" s="67"/>
      <c r="Y118" s="67"/>
      <c r="Z118" s="67"/>
      <c r="AA118" s="67"/>
      <c r="AB118" s="67"/>
      <c r="AC118" s="67"/>
      <c r="AD118" s="67"/>
      <c r="AE118" s="67"/>
      <c r="AF118" s="67"/>
      <c r="AG118" s="67"/>
      <c r="AH118" s="67"/>
      <c r="AI118" s="67"/>
      <c r="AJ118" s="67"/>
      <c r="AK118" s="67"/>
      <c r="AL118" s="67"/>
      <c r="AM118" s="67"/>
      <c r="AN118" s="67"/>
      <c r="AO118" s="67"/>
      <c r="AP118" s="67"/>
      <c r="AQ118" s="67"/>
      <c r="AR118" s="67"/>
      <c r="AS118" s="67"/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/>
      <c r="BH118" s="67"/>
      <c r="BI118" s="67"/>
      <c r="BJ118" s="67"/>
      <c r="BK118" s="67"/>
      <c r="BL118" s="67"/>
      <c r="BM118" s="67"/>
      <c r="BN118" s="67"/>
      <c r="BO118" s="67"/>
      <c r="BP118" s="67"/>
      <c r="BQ118" s="67"/>
      <c r="BR118" s="67"/>
      <c r="BS118" s="67"/>
      <c r="BT118" s="67"/>
      <c r="BU118" s="67"/>
      <c r="BV118" s="67"/>
      <c r="BW118" s="67"/>
      <c r="BX118" s="67"/>
      <c r="BY118" s="67"/>
      <c r="BZ118" s="67"/>
    </row>
    <row r="119" spans="2:78" s="68" customFormat="1" ht="15" customHeight="1" x14ac:dyDescent="0.25">
      <c r="B119" s="53"/>
      <c r="C119" s="53"/>
      <c r="D119" s="53"/>
      <c r="E119" s="53"/>
      <c r="F119" s="53"/>
      <c r="G119" s="53"/>
      <c r="H119" s="53"/>
      <c r="I119" s="71"/>
      <c r="J119" s="72"/>
      <c r="K119" s="53"/>
      <c r="M119" s="67"/>
      <c r="N119" s="67"/>
      <c r="O119" s="67"/>
      <c r="P119" s="67"/>
      <c r="Q119" s="67"/>
      <c r="R119" s="67"/>
      <c r="S119" s="67"/>
      <c r="T119" s="67"/>
      <c r="U119" s="67"/>
      <c r="V119" s="67"/>
      <c r="W119" s="67"/>
      <c r="X119" s="67"/>
      <c r="Y119" s="67"/>
      <c r="Z119" s="67"/>
      <c r="AA119" s="67"/>
      <c r="AB119" s="67"/>
      <c r="AC119" s="67"/>
      <c r="AD119" s="67"/>
      <c r="AE119" s="67"/>
      <c r="AF119" s="67"/>
      <c r="AG119" s="67"/>
      <c r="AH119" s="67"/>
      <c r="AI119" s="67"/>
      <c r="AJ119" s="67"/>
      <c r="AK119" s="67"/>
      <c r="AL119" s="67"/>
      <c r="AM119" s="67"/>
      <c r="AN119" s="67"/>
      <c r="AO119" s="67"/>
      <c r="AP119" s="67"/>
      <c r="AQ119" s="67"/>
      <c r="AR119" s="67"/>
      <c r="AS119" s="67"/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/>
      <c r="BH119" s="67"/>
      <c r="BI119" s="67"/>
      <c r="BJ119" s="67"/>
      <c r="BK119" s="67"/>
      <c r="BL119" s="67"/>
      <c r="BM119" s="67"/>
      <c r="BN119" s="67"/>
      <c r="BO119" s="67"/>
      <c r="BP119" s="67"/>
      <c r="BQ119" s="67"/>
      <c r="BR119" s="67"/>
      <c r="BS119" s="67"/>
      <c r="BT119" s="67"/>
      <c r="BU119" s="67"/>
      <c r="BV119" s="67"/>
      <c r="BW119" s="67"/>
      <c r="BX119" s="67"/>
      <c r="BY119" s="67"/>
      <c r="BZ119" s="67"/>
    </row>
    <row r="120" spans="2:78" s="68" customFormat="1" ht="15" customHeight="1" x14ac:dyDescent="0.25">
      <c r="B120" s="53"/>
      <c r="C120" s="53"/>
      <c r="D120" s="53"/>
      <c r="E120" s="53"/>
      <c r="F120" s="53"/>
      <c r="G120" s="53"/>
      <c r="H120" s="53"/>
      <c r="I120" s="71"/>
      <c r="J120" s="72"/>
      <c r="K120" s="53"/>
      <c r="M120" s="67"/>
      <c r="N120" s="67"/>
      <c r="O120" s="67"/>
      <c r="P120" s="67"/>
      <c r="Q120" s="67"/>
      <c r="R120" s="67"/>
      <c r="S120" s="67"/>
      <c r="T120" s="67"/>
      <c r="U120" s="67"/>
      <c r="V120" s="67"/>
      <c r="W120" s="67"/>
      <c r="X120" s="67"/>
      <c r="Y120" s="67"/>
      <c r="Z120" s="67"/>
      <c r="AA120" s="67"/>
      <c r="AB120" s="67"/>
      <c r="AC120" s="67"/>
      <c r="AD120" s="67"/>
      <c r="AE120" s="67"/>
      <c r="AF120" s="67"/>
      <c r="AG120" s="67"/>
      <c r="AH120" s="67"/>
      <c r="AI120" s="67"/>
      <c r="AJ120" s="67"/>
      <c r="AK120" s="67"/>
      <c r="AL120" s="67"/>
      <c r="AM120" s="67"/>
      <c r="AN120" s="67"/>
      <c r="AO120" s="67"/>
      <c r="AP120" s="67"/>
      <c r="AQ120" s="67"/>
      <c r="AR120" s="67"/>
      <c r="AS120" s="67"/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/>
      <c r="BH120" s="67"/>
      <c r="BI120" s="67"/>
      <c r="BJ120" s="67"/>
      <c r="BK120" s="67"/>
      <c r="BL120" s="67"/>
      <c r="BM120" s="67"/>
      <c r="BN120" s="67"/>
      <c r="BO120" s="67"/>
      <c r="BP120" s="67"/>
      <c r="BQ120" s="67"/>
      <c r="BR120" s="67"/>
      <c r="BS120" s="67"/>
      <c r="BT120" s="67"/>
      <c r="BU120" s="67"/>
      <c r="BV120" s="67"/>
      <c r="BW120" s="67"/>
      <c r="BX120" s="67"/>
      <c r="BY120" s="67"/>
      <c r="BZ120" s="67"/>
    </row>
    <row r="121" spans="2:78" s="68" customFormat="1" ht="15" customHeight="1" x14ac:dyDescent="0.25">
      <c r="B121" s="53"/>
      <c r="C121" s="53"/>
      <c r="D121" s="53"/>
      <c r="E121" s="53"/>
      <c r="F121" s="53"/>
      <c r="G121" s="53"/>
      <c r="H121" s="53"/>
      <c r="I121" s="71"/>
      <c r="J121" s="72"/>
      <c r="K121" s="53"/>
      <c r="M121" s="67"/>
      <c r="N121" s="67"/>
      <c r="O121" s="67"/>
      <c r="P121" s="67"/>
      <c r="Q121" s="67"/>
      <c r="R121" s="67"/>
      <c r="S121" s="67"/>
      <c r="T121" s="67"/>
      <c r="U121" s="67"/>
      <c r="V121" s="67"/>
      <c r="W121" s="67"/>
      <c r="X121" s="67"/>
      <c r="Y121" s="67"/>
      <c r="Z121" s="67"/>
      <c r="AA121" s="67"/>
      <c r="AB121" s="67"/>
      <c r="AC121" s="67"/>
      <c r="AD121" s="67"/>
      <c r="AE121" s="67"/>
      <c r="AF121" s="67"/>
      <c r="AG121" s="67"/>
      <c r="AH121" s="67"/>
      <c r="AI121" s="67"/>
      <c r="AJ121" s="67"/>
      <c r="AK121" s="67"/>
      <c r="AL121" s="67"/>
      <c r="AM121" s="67"/>
      <c r="AN121" s="67"/>
      <c r="AO121" s="67"/>
      <c r="AP121" s="67"/>
      <c r="AQ121" s="67"/>
      <c r="AR121" s="67"/>
      <c r="AS121" s="67"/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/>
      <c r="BH121" s="67"/>
      <c r="BI121" s="67"/>
      <c r="BJ121" s="67"/>
      <c r="BK121" s="67"/>
      <c r="BL121" s="67"/>
      <c r="BM121" s="67"/>
      <c r="BN121" s="67"/>
      <c r="BO121" s="67"/>
      <c r="BP121" s="67"/>
      <c r="BQ121" s="67"/>
      <c r="BR121" s="67"/>
      <c r="BS121" s="67"/>
      <c r="BT121" s="67"/>
      <c r="BU121" s="67"/>
      <c r="BV121" s="67"/>
      <c r="BW121" s="67"/>
      <c r="BX121" s="67"/>
      <c r="BY121" s="67"/>
      <c r="BZ121" s="67"/>
    </row>
    <row r="122" spans="2:78" s="68" customFormat="1" ht="30" customHeight="1" x14ac:dyDescent="0.25">
      <c r="B122" s="53"/>
      <c r="C122" s="53"/>
      <c r="D122" s="53"/>
      <c r="E122" s="53"/>
      <c r="F122" s="53" t="s">
        <v>68</v>
      </c>
      <c r="G122" s="89" t="s">
        <v>70</v>
      </c>
      <c r="H122" s="89"/>
      <c r="I122" s="89"/>
      <c r="J122" s="89"/>
      <c r="K122" s="89"/>
      <c r="M122" s="67"/>
      <c r="N122" s="67"/>
      <c r="O122" s="67"/>
      <c r="P122" s="67"/>
      <c r="Q122" s="67"/>
      <c r="R122" s="67"/>
      <c r="S122" s="67"/>
      <c r="T122" s="67"/>
      <c r="U122" s="67"/>
      <c r="V122" s="67"/>
      <c r="W122" s="67"/>
      <c r="X122" s="67"/>
      <c r="Y122" s="67"/>
      <c r="Z122" s="67"/>
      <c r="AA122" s="67"/>
      <c r="AB122" s="67"/>
      <c r="AC122" s="67"/>
      <c r="AD122" s="67"/>
      <c r="AE122" s="67"/>
      <c r="AF122" s="67"/>
      <c r="AG122" s="67"/>
      <c r="AH122" s="67"/>
      <c r="AI122" s="67"/>
      <c r="AJ122" s="67"/>
      <c r="AK122" s="67"/>
      <c r="AL122" s="67"/>
      <c r="AM122" s="67"/>
      <c r="AN122" s="67"/>
      <c r="AO122" s="67"/>
      <c r="AP122" s="67"/>
      <c r="AQ122" s="67"/>
      <c r="AR122" s="67"/>
      <c r="AS122" s="67"/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/>
      <c r="BH122" s="67"/>
      <c r="BI122" s="67"/>
      <c r="BJ122" s="67"/>
      <c r="BK122" s="67"/>
      <c r="BL122" s="67"/>
      <c r="BM122" s="67"/>
      <c r="BN122" s="67"/>
      <c r="BO122" s="67"/>
      <c r="BP122" s="67"/>
      <c r="BQ122" s="67"/>
      <c r="BR122" s="67"/>
      <c r="BS122" s="67"/>
      <c r="BT122" s="67"/>
      <c r="BU122" s="67"/>
      <c r="BV122" s="67"/>
      <c r="BW122" s="67"/>
      <c r="BX122" s="67"/>
      <c r="BY122" s="67"/>
      <c r="BZ122" s="67"/>
    </row>
    <row r="123" spans="2:78" s="68" customFormat="1" ht="20.25" customHeight="1" x14ac:dyDescent="0.25">
      <c r="B123" s="53"/>
      <c r="C123" s="53"/>
      <c r="D123" s="53"/>
      <c r="E123" s="53"/>
      <c r="F123" s="53" t="s">
        <v>36</v>
      </c>
      <c r="G123" s="89" t="s">
        <v>69</v>
      </c>
      <c r="H123" s="89"/>
      <c r="I123" s="89"/>
      <c r="J123" s="89"/>
      <c r="K123" s="89"/>
      <c r="M123" s="67"/>
      <c r="N123" s="67"/>
      <c r="O123" s="67"/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7"/>
      <c r="AA123" s="67"/>
      <c r="AB123" s="67"/>
      <c r="AC123" s="67"/>
      <c r="AD123" s="67"/>
      <c r="AE123" s="67"/>
      <c r="AF123" s="67"/>
      <c r="AG123" s="67"/>
      <c r="AH123" s="67"/>
      <c r="AI123" s="67"/>
      <c r="AJ123" s="67"/>
      <c r="AK123" s="67"/>
      <c r="AL123" s="67"/>
      <c r="AM123" s="67"/>
      <c r="AN123" s="67"/>
      <c r="AO123" s="67"/>
      <c r="AP123" s="67"/>
      <c r="AQ123" s="67"/>
      <c r="AR123" s="67"/>
      <c r="AS123" s="67"/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/>
      <c r="BH123" s="67"/>
      <c r="BI123" s="67"/>
      <c r="BJ123" s="67"/>
      <c r="BK123" s="67"/>
      <c r="BL123" s="67"/>
      <c r="BM123" s="67"/>
      <c r="BN123" s="67"/>
      <c r="BO123" s="67"/>
      <c r="BP123" s="67"/>
      <c r="BQ123" s="67"/>
      <c r="BR123" s="67"/>
      <c r="BS123" s="67"/>
      <c r="BT123" s="67"/>
      <c r="BU123" s="67"/>
      <c r="BV123" s="67"/>
      <c r="BW123" s="67"/>
      <c r="BX123" s="67"/>
      <c r="BY123" s="67"/>
      <c r="BZ123" s="67"/>
    </row>
    <row r="124" spans="2:78" s="68" customFormat="1" ht="20.25" customHeight="1" x14ac:dyDescent="0.25">
      <c r="B124" s="53"/>
      <c r="C124" s="53" t="s">
        <v>39</v>
      </c>
      <c r="D124" s="53"/>
      <c r="E124" s="53"/>
      <c r="F124" s="53" t="s">
        <v>38</v>
      </c>
      <c r="G124" s="89" t="s">
        <v>318</v>
      </c>
      <c r="H124" s="89"/>
      <c r="I124" s="89"/>
      <c r="J124" s="89"/>
      <c r="K124" s="89"/>
      <c r="M124" s="67"/>
      <c r="N124" s="67"/>
      <c r="O124" s="67"/>
      <c r="P124" s="67"/>
      <c r="Q124" s="67"/>
      <c r="R124" s="67"/>
      <c r="S124" s="67"/>
      <c r="T124" s="67"/>
      <c r="U124" s="67"/>
      <c r="V124" s="67"/>
      <c r="W124" s="67"/>
      <c r="X124" s="67"/>
      <c r="Y124" s="67"/>
      <c r="Z124" s="67"/>
      <c r="AA124" s="67"/>
      <c r="AB124" s="67"/>
      <c r="AC124" s="67"/>
      <c r="AD124" s="67"/>
      <c r="AE124" s="67"/>
      <c r="AF124" s="67"/>
      <c r="AG124" s="67"/>
      <c r="AH124" s="67"/>
      <c r="AI124" s="67"/>
      <c r="AJ124" s="67"/>
      <c r="AK124" s="67"/>
      <c r="AL124" s="67"/>
      <c r="AM124" s="67"/>
      <c r="AN124" s="67"/>
      <c r="AO124" s="67"/>
      <c r="AP124" s="67"/>
      <c r="AQ124" s="67"/>
      <c r="AR124" s="67"/>
      <c r="AS124" s="67"/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/>
      <c r="BH124" s="67"/>
      <c r="BI124" s="67"/>
      <c r="BJ124" s="67"/>
      <c r="BK124" s="67"/>
      <c r="BL124" s="67"/>
      <c r="BM124" s="67"/>
      <c r="BN124" s="67"/>
      <c r="BO124" s="67"/>
      <c r="BP124" s="67"/>
      <c r="BQ124" s="67"/>
      <c r="BR124" s="67"/>
      <c r="BS124" s="67"/>
      <c r="BT124" s="67"/>
      <c r="BU124" s="67"/>
      <c r="BV124" s="67"/>
      <c r="BW124" s="67"/>
      <c r="BX124" s="67"/>
      <c r="BY124" s="67"/>
      <c r="BZ124" s="67"/>
    </row>
    <row r="125" spans="2:78" s="68" customFormat="1" ht="20.25" customHeight="1" x14ac:dyDescent="0.25">
      <c r="B125" s="53"/>
      <c r="C125" s="53"/>
      <c r="D125" s="53"/>
      <c r="E125" s="53"/>
      <c r="F125" s="53" t="s">
        <v>16</v>
      </c>
      <c r="G125" s="89" t="s">
        <v>319</v>
      </c>
      <c r="H125" s="89"/>
      <c r="I125" s="89"/>
      <c r="J125" s="89"/>
      <c r="K125" s="89"/>
      <c r="M125" s="67"/>
      <c r="N125" s="67"/>
      <c r="O125" s="67"/>
      <c r="P125" s="67"/>
      <c r="Q125" s="67"/>
      <c r="R125" s="67"/>
      <c r="S125" s="67"/>
      <c r="T125" s="67"/>
      <c r="U125" s="67"/>
      <c r="V125" s="67"/>
      <c r="W125" s="67"/>
      <c r="X125" s="67"/>
      <c r="Y125" s="67"/>
      <c r="Z125" s="67"/>
      <c r="AA125" s="67"/>
      <c r="AB125" s="67"/>
      <c r="AC125" s="67"/>
      <c r="AD125" s="67"/>
      <c r="AE125" s="67"/>
      <c r="AF125" s="67"/>
      <c r="AG125" s="67"/>
      <c r="AH125" s="67"/>
      <c r="AI125" s="67"/>
      <c r="AJ125" s="67"/>
      <c r="AK125" s="67"/>
      <c r="AL125" s="67"/>
      <c r="AM125" s="67"/>
      <c r="AN125" s="67"/>
      <c r="AO125" s="67"/>
      <c r="AP125" s="67"/>
      <c r="AQ125" s="67"/>
      <c r="AR125" s="67"/>
      <c r="AS125" s="67"/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/>
      <c r="BH125" s="67"/>
      <c r="BI125" s="67"/>
      <c r="BJ125" s="67"/>
      <c r="BK125" s="67"/>
      <c r="BL125" s="67"/>
      <c r="BM125" s="67"/>
      <c r="BN125" s="67"/>
      <c r="BO125" s="67"/>
      <c r="BP125" s="67"/>
      <c r="BQ125" s="67"/>
      <c r="BR125" s="67"/>
      <c r="BS125" s="67"/>
      <c r="BT125" s="67"/>
      <c r="BU125" s="67"/>
      <c r="BV125" s="67"/>
      <c r="BW125" s="67"/>
      <c r="BX125" s="67"/>
      <c r="BY125" s="67"/>
      <c r="BZ125" s="67"/>
    </row>
    <row r="126" spans="2:78" s="68" customFormat="1" ht="20.25" customHeight="1" x14ac:dyDescent="0.25">
      <c r="B126" s="53"/>
      <c r="C126" s="53"/>
      <c r="D126" s="53"/>
      <c r="E126" s="53"/>
      <c r="F126" s="53" t="s">
        <v>17</v>
      </c>
      <c r="G126" s="89"/>
      <c r="H126" s="89"/>
      <c r="I126" s="89"/>
      <c r="J126" s="89"/>
      <c r="K126" s="89"/>
      <c r="M126" s="67"/>
      <c r="N126" s="67"/>
      <c r="O126" s="67"/>
      <c r="P126" s="67"/>
      <c r="Q126" s="67"/>
      <c r="R126" s="67"/>
      <c r="S126" s="67"/>
      <c r="T126" s="67"/>
      <c r="U126" s="67"/>
      <c r="V126" s="67"/>
      <c r="W126" s="67"/>
      <c r="X126" s="67"/>
      <c r="Y126" s="67"/>
      <c r="Z126" s="67"/>
      <c r="AA126" s="67"/>
      <c r="AB126" s="67"/>
      <c r="AC126" s="67"/>
      <c r="AD126" s="67"/>
      <c r="AE126" s="67"/>
      <c r="AF126" s="67"/>
      <c r="AG126" s="67"/>
      <c r="AH126" s="67"/>
      <c r="AI126" s="67"/>
      <c r="AJ126" s="67"/>
      <c r="AK126" s="67"/>
      <c r="AL126" s="67"/>
      <c r="AM126" s="67"/>
      <c r="AN126" s="67"/>
      <c r="AO126" s="67"/>
      <c r="AP126" s="67"/>
      <c r="AQ126" s="67"/>
      <c r="AR126" s="67"/>
      <c r="AS126" s="67"/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/>
      <c r="BH126" s="67"/>
      <c r="BI126" s="67"/>
      <c r="BJ126" s="67"/>
      <c r="BK126" s="67"/>
      <c r="BL126" s="67"/>
      <c r="BM126" s="67"/>
      <c r="BN126" s="67"/>
      <c r="BO126" s="67"/>
      <c r="BP126" s="67"/>
      <c r="BQ126" s="67"/>
      <c r="BR126" s="67"/>
      <c r="BS126" s="67"/>
      <c r="BT126" s="67"/>
      <c r="BU126" s="67"/>
      <c r="BV126" s="67"/>
      <c r="BW126" s="67"/>
      <c r="BX126" s="67"/>
      <c r="BY126" s="67"/>
      <c r="BZ126" s="67"/>
    </row>
    <row r="127" spans="2:78" s="24" customFormat="1" ht="15" customHeight="1" x14ac:dyDescent="0.25">
      <c r="B127" s="68"/>
      <c r="I127" s="65"/>
      <c r="J127" s="66"/>
    </row>
    <row r="128" spans="2:78" s="20" customFormat="1" ht="15" customHeight="1" x14ac:dyDescent="0.25">
      <c r="B128" s="23"/>
      <c r="C128" s="25"/>
      <c r="D128" s="25"/>
      <c r="E128" s="25"/>
      <c r="G128" s="25"/>
      <c r="H128" s="25"/>
      <c r="I128" s="22"/>
      <c r="J128" s="31"/>
      <c r="K128" s="25"/>
      <c r="L128" s="25"/>
    </row>
    <row r="129" spans="2:12" s="20" customFormat="1" ht="15" customHeight="1" x14ac:dyDescent="0.25">
      <c r="B129" s="23"/>
      <c r="C129" s="23"/>
      <c r="D129" s="23"/>
      <c r="E129" s="23"/>
      <c r="F129" s="23"/>
      <c r="G129" s="23"/>
      <c r="H129" s="23"/>
      <c r="I129" s="34"/>
      <c r="J129" s="30"/>
      <c r="K129" s="23"/>
      <c r="L129" s="23"/>
    </row>
    <row r="130" spans="2:12" x14ac:dyDescent="0.25">
      <c r="B130" s="19"/>
      <c r="C130" s="25"/>
      <c r="D130" s="25"/>
      <c r="E130" s="25"/>
      <c r="F130" s="25"/>
      <c r="G130" s="25"/>
      <c r="H130" s="25"/>
      <c r="I130" s="22"/>
      <c r="J130" s="31"/>
      <c r="K130" s="25"/>
      <c r="L130" s="25"/>
    </row>
    <row r="131" spans="2:12" ht="15.75" x14ac:dyDescent="0.25">
      <c r="B131" s="19"/>
      <c r="C131" s="23"/>
      <c r="D131" s="23"/>
      <c r="E131" s="23"/>
      <c r="F131" s="23"/>
      <c r="G131" s="23"/>
      <c r="H131" s="23"/>
      <c r="I131" s="34"/>
      <c r="J131" s="30"/>
      <c r="K131" s="23"/>
      <c r="L131" s="19"/>
    </row>
    <row r="132" spans="2:12" x14ac:dyDescent="0.25">
      <c r="B132" s="19"/>
      <c r="C132" s="19"/>
      <c r="D132" s="19"/>
      <c r="E132" s="19"/>
      <c r="F132" s="19"/>
      <c r="G132" s="19"/>
      <c r="H132" s="19"/>
      <c r="I132" s="35"/>
      <c r="J132" s="32"/>
      <c r="K132" s="19"/>
      <c r="L132" s="19"/>
    </row>
    <row r="133" spans="2:12" x14ac:dyDescent="0.25">
      <c r="B133" s="19"/>
      <c r="C133" s="19"/>
      <c r="D133" s="19"/>
      <c r="E133" s="19"/>
      <c r="F133" s="19"/>
      <c r="G133" s="19"/>
      <c r="H133" s="19"/>
      <c r="I133" s="35"/>
      <c r="J133" s="32"/>
      <c r="K133" s="19"/>
      <c r="L133" s="19"/>
    </row>
    <row r="134" spans="2:12" x14ac:dyDescent="0.25">
      <c r="B134" s="19"/>
      <c r="C134" s="19"/>
      <c r="D134" s="19"/>
      <c r="E134" s="19"/>
      <c r="F134" s="19"/>
      <c r="G134" s="19"/>
      <c r="H134" s="19"/>
      <c r="I134" s="35"/>
      <c r="J134" s="32"/>
      <c r="K134" s="19"/>
      <c r="L134" s="19"/>
    </row>
    <row r="135" spans="2:12" x14ac:dyDescent="0.25">
      <c r="B135" s="19"/>
      <c r="C135" s="19"/>
      <c r="D135" s="19"/>
      <c r="E135" s="19"/>
      <c r="F135" s="19"/>
      <c r="G135" s="26"/>
      <c r="H135" s="19"/>
      <c r="I135" s="35"/>
      <c r="J135" s="32"/>
      <c r="K135" s="19"/>
      <c r="L135" s="19"/>
    </row>
    <row r="136" spans="2:12" x14ac:dyDescent="0.25">
      <c r="B136" s="19"/>
      <c r="C136" s="19"/>
      <c r="D136" s="19"/>
      <c r="E136" s="19"/>
      <c r="F136" s="19"/>
      <c r="G136" s="26"/>
      <c r="H136" s="19"/>
      <c r="I136" s="35"/>
      <c r="J136" s="32"/>
      <c r="K136" s="19"/>
      <c r="L136" s="19"/>
    </row>
    <row r="137" spans="2:12" x14ac:dyDescent="0.25">
      <c r="B137" s="19"/>
      <c r="C137" s="19"/>
      <c r="D137" s="19"/>
      <c r="E137" s="19"/>
      <c r="F137" s="19"/>
      <c r="G137" s="26"/>
      <c r="H137" s="19"/>
      <c r="I137" s="35"/>
      <c r="J137" s="32"/>
      <c r="K137" s="19"/>
      <c r="L137" s="19"/>
    </row>
    <row r="138" spans="2:12" x14ac:dyDescent="0.25">
      <c r="B138" s="19"/>
      <c r="C138" s="19"/>
      <c r="D138" s="19"/>
      <c r="E138" s="19"/>
      <c r="F138" s="19"/>
      <c r="G138" s="26"/>
      <c r="H138" s="19"/>
      <c r="I138" s="35"/>
      <c r="J138" s="32"/>
      <c r="K138" s="19"/>
      <c r="L138" s="19"/>
    </row>
    <row r="139" spans="2:12" x14ac:dyDescent="0.25">
      <c r="B139" s="19"/>
      <c r="C139" s="19"/>
      <c r="D139" s="19"/>
      <c r="E139" s="19"/>
      <c r="F139" s="19"/>
      <c r="G139" s="26"/>
      <c r="H139" s="19"/>
      <c r="I139" s="35"/>
      <c r="J139" s="32"/>
      <c r="K139" s="19"/>
      <c r="L139" s="19"/>
    </row>
    <row r="140" spans="2:12" x14ac:dyDescent="0.25">
      <c r="B140" s="19"/>
      <c r="C140" s="19"/>
      <c r="D140" s="19"/>
      <c r="E140" s="19"/>
      <c r="F140" s="19"/>
      <c r="G140" s="26"/>
      <c r="H140" s="19"/>
      <c r="I140" s="35"/>
      <c r="J140" s="32"/>
      <c r="K140" s="19"/>
      <c r="L140" s="19"/>
    </row>
    <row r="141" spans="2:12" x14ac:dyDescent="0.25">
      <c r="B141" s="19"/>
      <c r="C141" s="19"/>
      <c r="D141" s="19"/>
      <c r="E141" s="19"/>
      <c r="F141" s="19"/>
      <c r="G141" s="26"/>
      <c r="H141" s="19"/>
      <c r="I141" s="35"/>
      <c r="J141" s="32"/>
      <c r="K141" s="19"/>
      <c r="L141" s="19"/>
    </row>
    <row r="142" spans="2:12" x14ac:dyDescent="0.25">
      <c r="B142" s="19"/>
      <c r="C142" s="19"/>
      <c r="D142" s="19"/>
      <c r="E142" s="19"/>
      <c r="F142" s="19"/>
      <c r="G142" s="26"/>
      <c r="H142" s="19"/>
      <c r="I142" s="35"/>
      <c r="J142" s="32"/>
      <c r="K142" s="19"/>
      <c r="L142" s="19"/>
    </row>
    <row r="143" spans="2:12" x14ac:dyDescent="0.25">
      <c r="B143" s="19"/>
      <c r="C143" s="19"/>
      <c r="D143" s="19"/>
      <c r="E143" s="19"/>
      <c r="F143" s="19"/>
      <c r="G143" s="26"/>
      <c r="H143" s="19"/>
      <c r="I143" s="35"/>
      <c r="J143" s="32"/>
      <c r="K143" s="19"/>
      <c r="L143" s="19"/>
    </row>
    <row r="144" spans="2:12" x14ac:dyDescent="0.25">
      <c r="B144" s="19"/>
      <c r="C144" s="19"/>
      <c r="D144" s="19"/>
      <c r="E144" s="19"/>
      <c r="F144" s="19"/>
      <c r="G144" s="26"/>
      <c r="H144" s="19"/>
      <c r="I144" s="35"/>
      <c r="J144" s="32"/>
      <c r="K144" s="19"/>
      <c r="L144" s="19"/>
    </row>
    <row r="145" spans="7:10" s="19" customFormat="1" x14ac:dyDescent="0.25">
      <c r="G145" s="26"/>
      <c r="I145" s="35"/>
      <c r="J145" s="32"/>
    </row>
    <row r="146" spans="7:10" s="19" customFormat="1" x14ac:dyDescent="0.25">
      <c r="G146" s="26"/>
      <c r="I146" s="35"/>
      <c r="J146" s="32"/>
    </row>
    <row r="147" spans="7:10" s="19" customFormat="1" x14ac:dyDescent="0.25">
      <c r="G147" s="26"/>
      <c r="I147" s="35"/>
      <c r="J147" s="32"/>
    </row>
    <row r="148" spans="7:10" s="19" customFormat="1" x14ac:dyDescent="0.25">
      <c r="G148" s="26"/>
      <c r="I148" s="35"/>
      <c r="J148" s="32"/>
    </row>
    <row r="149" spans="7:10" s="19" customFormat="1" x14ac:dyDescent="0.25">
      <c r="G149" s="26"/>
      <c r="I149" s="35"/>
      <c r="J149" s="32"/>
    </row>
    <row r="150" spans="7:10" s="19" customFormat="1" x14ac:dyDescent="0.25">
      <c r="G150" s="26"/>
      <c r="I150" s="35"/>
      <c r="J150" s="32"/>
    </row>
    <row r="151" spans="7:10" s="19" customFormat="1" x14ac:dyDescent="0.25">
      <c r="G151" s="26"/>
      <c r="I151" s="35"/>
      <c r="J151" s="32"/>
    </row>
    <row r="152" spans="7:10" s="19" customFormat="1" x14ac:dyDescent="0.25">
      <c r="G152" s="26"/>
      <c r="I152" s="35"/>
      <c r="J152" s="32"/>
    </row>
    <row r="153" spans="7:10" s="19" customFormat="1" x14ac:dyDescent="0.25">
      <c r="G153" s="26"/>
      <c r="I153" s="35"/>
      <c r="J153" s="32"/>
    </row>
    <row r="154" spans="7:10" s="19" customFormat="1" x14ac:dyDescent="0.25">
      <c r="G154" s="26"/>
      <c r="I154" s="35"/>
      <c r="J154" s="32"/>
    </row>
    <row r="155" spans="7:10" s="19" customFormat="1" x14ac:dyDescent="0.25">
      <c r="G155" s="26"/>
      <c r="I155" s="35"/>
      <c r="J155" s="32"/>
    </row>
    <row r="156" spans="7:10" s="19" customFormat="1" x14ac:dyDescent="0.25">
      <c r="G156" s="26"/>
      <c r="I156" s="35"/>
      <c r="J156" s="32"/>
    </row>
    <row r="157" spans="7:10" s="19" customFormat="1" x14ac:dyDescent="0.25">
      <c r="G157" s="26"/>
      <c r="I157" s="35"/>
      <c r="J157" s="32"/>
    </row>
    <row r="158" spans="7:10" s="19" customFormat="1" x14ac:dyDescent="0.25">
      <c r="G158" s="26"/>
      <c r="I158" s="35"/>
      <c r="J158" s="32"/>
    </row>
    <row r="159" spans="7:10" s="19" customFormat="1" x14ac:dyDescent="0.25">
      <c r="G159" s="26"/>
      <c r="I159" s="35"/>
      <c r="J159" s="32"/>
    </row>
    <row r="160" spans="7:10" s="19" customFormat="1" x14ac:dyDescent="0.25">
      <c r="G160" s="26"/>
      <c r="I160" s="35"/>
      <c r="J160" s="32"/>
    </row>
    <row r="161" spans="7:10" s="19" customFormat="1" x14ac:dyDescent="0.25">
      <c r="G161" s="26"/>
      <c r="I161" s="35"/>
      <c r="J161" s="32"/>
    </row>
    <row r="162" spans="7:10" s="19" customFormat="1" x14ac:dyDescent="0.25">
      <c r="G162" s="26"/>
      <c r="I162" s="35"/>
      <c r="J162" s="32"/>
    </row>
    <row r="163" spans="7:10" s="19" customFormat="1" x14ac:dyDescent="0.25">
      <c r="G163" s="26"/>
      <c r="I163" s="35"/>
      <c r="J163" s="32"/>
    </row>
    <row r="164" spans="7:10" s="19" customFormat="1" x14ac:dyDescent="0.25">
      <c r="G164" s="26"/>
      <c r="I164" s="35"/>
      <c r="J164" s="32"/>
    </row>
    <row r="165" spans="7:10" s="19" customFormat="1" x14ac:dyDescent="0.25">
      <c r="G165" s="26"/>
      <c r="I165" s="35"/>
      <c r="J165" s="32"/>
    </row>
    <row r="166" spans="7:10" s="19" customFormat="1" x14ac:dyDescent="0.25">
      <c r="G166" s="26"/>
      <c r="I166" s="35"/>
      <c r="J166" s="32"/>
    </row>
    <row r="167" spans="7:10" s="19" customFormat="1" x14ac:dyDescent="0.25">
      <c r="G167" s="26"/>
      <c r="I167" s="35"/>
      <c r="J167" s="32"/>
    </row>
    <row r="168" spans="7:10" s="19" customFormat="1" x14ac:dyDescent="0.25">
      <c r="G168" s="26"/>
      <c r="I168" s="35"/>
      <c r="J168" s="32"/>
    </row>
    <row r="169" spans="7:10" s="19" customFormat="1" x14ac:dyDescent="0.25">
      <c r="G169" s="26"/>
      <c r="I169" s="35"/>
      <c r="J169" s="32"/>
    </row>
    <row r="170" spans="7:10" s="19" customFormat="1" x14ac:dyDescent="0.25">
      <c r="G170" s="26"/>
      <c r="I170" s="35"/>
      <c r="J170" s="32"/>
    </row>
    <row r="171" spans="7:10" s="19" customFormat="1" x14ac:dyDescent="0.25">
      <c r="G171" s="26"/>
      <c r="I171" s="35"/>
      <c r="J171" s="32"/>
    </row>
    <row r="172" spans="7:10" s="19" customFormat="1" x14ac:dyDescent="0.25">
      <c r="G172" s="26"/>
      <c r="I172" s="35"/>
      <c r="J172" s="32"/>
    </row>
    <row r="173" spans="7:10" s="19" customFormat="1" x14ac:dyDescent="0.25">
      <c r="G173" s="26"/>
      <c r="I173" s="35"/>
      <c r="J173" s="32"/>
    </row>
    <row r="174" spans="7:10" s="19" customFormat="1" x14ac:dyDescent="0.25">
      <c r="G174" s="26"/>
      <c r="I174" s="35"/>
      <c r="J174" s="32"/>
    </row>
    <row r="175" spans="7:10" s="19" customFormat="1" x14ac:dyDescent="0.25">
      <c r="G175" s="26"/>
      <c r="I175" s="35"/>
      <c r="J175" s="32"/>
    </row>
    <row r="176" spans="7:10" s="19" customFormat="1" x14ac:dyDescent="0.25">
      <c r="G176" s="26"/>
      <c r="I176" s="35"/>
      <c r="J176" s="32"/>
    </row>
    <row r="177" spans="7:10" s="19" customFormat="1" x14ac:dyDescent="0.25">
      <c r="G177" s="26"/>
      <c r="I177" s="35"/>
      <c r="J177" s="32"/>
    </row>
    <row r="178" spans="7:10" s="19" customFormat="1" x14ac:dyDescent="0.25">
      <c r="G178" s="26"/>
      <c r="I178" s="35"/>
      <c r="J178" s="32"/>
    </row>
    <row r="179" spans="7:10" s="19" customFormat="1" x14ac:dyDescent="0.25">
      <c r="G179" s="26"/>
      <c r="I179" s="35"/>
      <c r="J179" s="32"/>
    </row>
    <row r="180" spans="7:10" s="19" customFormat="1" x14ac:dyDescent="0.25">
      <c r="G180" s="26"/>
      <c r="I180" s="35"/>
      <c r="J180" s="32"/>
    </row>
    <row r="181" spans="7:10" s="19" customFormat="1" x14ac:dyDescent="0.25">
      <c r="G181" s="26"/>
      <c r="I181" s="35"/>
      <c r="J181" s="32"/>
    </row>
    <row r="182" spans="7:10" s="19" customFormat="1" x14ac:dyDescent="0.25">
      <c r="G182" s="26"/>
      <c r="I182" s="35"/>
      <c r="J182" s="32"/>
    </row>
    <row r="183" spans="7:10" s="19" customFormat="1" x14ac:dyDescent="0.25">
      <c r="G183" s="26"/>
      <c r="I183" s="35"/>
      <c r="J183" s="32"/>
    </row>
    <row r="184" spans="7:10" s="19" customFormat="1" x14ac:dyDescent="0.25">
      <c r="G184" s="26"/>
      <c r="I184" s="35"/>
      <c r="J184" s="32"/>
    </row>
    <row r="185" spans="7:10" s="19" customFormat="1" x14ac:dyDescent="0.25">
      <c r="G185" s="26"/>
      <c r="I185" s="35"/>
      <c r="J185" s="32"/>
    </row>
    <row r="186" spans="7:10" s="19" customFormat="1" x14ac:dyDescent="0.25">
      <c r="G186" s="26"/>
      <c r="I186" s="35"/>
      <c r="J186" s="32"/>
    </row>
    <row r="187" spans="7:10" s="19" customFormat="1" x14ac:dyDescent="0.25">
      <c r="G187" s="26"/>
      <c r="I187" s="35"/>
      <c r="J187" s="32"/>
    </row>
    <row r="188" spans="7:10" s="19" customFormat="1" x14ac:dyDescent="0.25">
      <c r="G188" s="26"/>
      <c r="I188" s="35"/>
      <c r="J188" s="32"/>
    </row>
    <row r="189" spans="7:10" s="19" customFormat="1" x14ac:dyDescent="0.25">
      <c r="G189" s="26"/>
      <c r="I189" s="35"/>
      <c r="J189" s="32"/>
    </row>
    <row r="190" spans="7:10" s="19" customFormat="1" x14ac:dyDescent="0.25">
      <c r="G190" s="26"/>
      <c r="I190" s="35"/>
      <c r="J190" s="32"/>
    </row>
    <row r="191" spans="7:10" s="19" customFormat="1" x14ac:dyDescent="0.25">
      <c r="G191" s="26"/>
      <c r="I191" s="35"/>
      <c r="J191" s="32"/>
    </row>
    <row r="192" spans="7:10" s="19" customFormat="1" x14ac:dyDescent="0.25">
      <c r="G192" s="26"/>
      <c r="I192" s="35"/>
      <c r="J192" s="32"/>
    </row>
    <row r="193" spans="7:10" s="19" customFormat="1" x14ac:dyDescent="0.25">
      <c r="G193" s="26"/>
      <c r="I193" s="35"/>
      <c r="J193" s="32"/>
    </row>
    <row r="194" spans="7:10" s="19" customFormat="1" x14ac:dyDescent="0.25">
      <c r="G194" s="26"/>
      <c r="I194" s="35"/>
      <c r="J194" s="32"/>
    </row>
    <row r="195" spans="7:10" s="19" customFormat="1" x14ac:dyDescent="0.25">
      <c r="G195" s="26"/>
      <c r="I195" s="35"/>
      <c r="J195" s="32"/>
    </row>
    <row r="196" spans="7:10" s="19" customFormat="1" x14ac:dyDescent="0.25">
      <c r="G196" s="26"/>
      <c r="I196" s="35"/>
      <c r="J196" s="32"/>
    </row>
    <row r="197" spans="7:10" s="19" customFormat="1" x14ac:dyDescent="0.25">
      <c r="G197" s="26"/>
      <c r="I197" s="35"/>
      <c r="J197" s="32"/>
    </row>
    <row r="198" spans="7:10" s="19" customFormat="1" x14ac:dyDescent="0.25">
      <c r="G198" s="26"/>
      <c r="I198" s="35"/>
      <c r="J198" s="32"/>
    </row>
    <row r="199" spans="7:10" s="19" customFormat="1" x14ac:dyDescent="0.25">
      <c r="G199" s="26"/>
      <c r="I199" s="35"/>
      <c r="J199" s="32"/>
    </row>
    <row r="200" spans="7:10" s="19" customFormat="1" x14ac:dyDescent="0.25">
      <c r="G200" s="26"/>
      <c r="I200" s="35"/>
      <c r="J200" s="32"/>
    </row>
    <row r="201" spans="7:10" s="19" customFormat="1" x14ac:dyDescent="0.25">
      <c r="G201" s="26"/>
      <c r="I201" s="35"/>
      <c r="J201" s="32"/>
    </row>
    <row r="202" spans="7:10" s="19" customFormat="1" x14ac:dyDescent="0.25">
      <c r="G202" s="26"/>
      <c r="I202" s="35"/>
      <c r="J202" s="32"/>
    </row>
    <row r="203" spans="7:10" s="19" customFormat="1" x14ac:dyDescent="0.25">
      <c r="G203" s="26"/>
      <c r="I203" s="35"/>
      <c r="J203" s="32"/>
    </row>
    <row r="204" spans="7:10" s="19" customFormat="1" x14ac:dyDescent="0.25">
      <c r="G204" s="26"/>
      <c r="I204" s="35"/>
      <c r="J204" s="32"/>
    </row>
    <row r="205" spans="7:10" s="19" customFormat="1" x14ac:dyDescent="0.25">
      <c r="G205" s="26"/>
      <c r="I205" s="35"/>
      <c r="J205" s="32"/>
    </row>
    <row r="206" spans="7:10" s="19" customFormat="1" x14ac:dyDescent="0.25">
      <c r="G206" s="26"/>
      <c r="I206" s="35"/>
      <c r="J206" s="32"/>
    </row>
    <row r="207" spans="7:10" s="19" customFormat="1" x14ac:dyDescent="0.25">
      <c r="G207" s="26"/>
      <c r="I207" s="35"/>
      <c r="J207" s="32"/>
    </row>
    <row r="208" spans="7:10" s="19" customFormat="1" x14ac:dyDescent="0.25">
      <c r="G208" s="26"/>
      <c r="I208" s="35"/>
      <c r="J208" s="32"/>
    </row>
    <row r="209" spans="7:10" s="19" customFormat="1" x14ac:dyDescent="0.25">
      <c r="G209" s="26"/>
      <c r="I209" s="35"/>
      <c r="J209" s="32"/>
    </row>
    <row r="210" spans="7:10" s="19" customFormat="1" x14ac:dyDescent="0.25">
      <c r="G210" s="26"/>
      <c r="I210" s="35"/>
      <c r="J210" s="32"/>
    </row>
    <row r="211" spans="7:10" s="19" customFormat="1" x14ac:dyDescent="0.25">
      <c r="G211" s="26"/>
      <c r="I211" s="35"/>
      <c r="J211" s="32"/>
    </row>
    <row r="212" spans="7:10" s="19" customFormat="1" x14ac:dyDescent="0.25">
      <c r="G212" s="26"/>
      <c r="I212" s="35"/>
      <c r="J212" s="32"/>
    </row>
    <row r="213" spans="7:10" s="19" customFormat="1" x14ac:dyDescent="0.25">
      <c r="G213" s="26"/>
      <c r="I213" s="35"/>
      <c r="J213" s="32"/>
    </row>
    <row r="214" spans="7:10" s="19" customFormat="1" x14ac:dyDescent="0.25">
      <c r="G214" s="26"/>
      <c r="I214" s="35"/>
      <c r="J214" s="32"/>
    </row>
    <row r="215" spans="7:10" s="19" customFormat="1" x14ac:dyDescent="0.25">
      <c r="G215" s="26"/>
      <c r="I215" s="35"/>
      <c r="J215" s="32"/>
    </row>
    <row r="216" spans="7:10" s="19" customFormat="1" x14ac:dyDescent="0.25">
      <c r="G216" s="26"/>
      <c r="I216" s="35"/>
      <c r="J216" s="32"/>
    </row>
    <row r="217" spans="7:10" s="19" customFormat="1" x14ac:dyDescent="0.25">
      <c r="G217" s="26"/>
      <c r="I217" s="35"/>
      <c r="J217" s="32"/>
    </row>
    <row r="218" spans="7:10" s="19" customFormat="1" x14ac:dyDescent="0.25">
      <c r="G218" s="26"/>
      <c r="I218" s="35"/>
      <c r="J218" s="32"/>
    </row>
    <row r="219" spans="7:10" s="19" customFormat="1" x14ac:dyDescent="0.25">
      <c r="G219" s="26"/>
      <c r="I219" s="35"/>
      <c r="J219" s="32"/>
    </row>
    <row r="220" spans="7:10" s="19" customFormat="1" x14ac:dyDescent="0.25">
      <c r="G220" s="26"/>
      <c r="I220" s="35"/>
      <c r="J220" s="32"/>
    </row>
    <row r="221" spans="7:10" s="19" customFormat="1" x14ac:dyDescent="0.25">
      <c r="G221" s="26"/>
      <c r="I221" s="35"/>
      <c r="J221" s="32"/>
    </row>
    <row r="222" spans="7:10" s="19" customFormat="1" x14ac:dyDescent="0.25">
      <c r="G222" s="26"/>
      <c r="I222" s="35"/>
      <c r="J222" s="32"/>
    </row>
    <row r="223" spans="7:10" s="19" customFormat="1" x14ac:dyDescent="0.25">
      <c r="G223" s="26"/>
      <c r="I223" s="35"/>
      <c r="J223" s="32"/>
    </row>
    <row r="224" spans="7:10" s="19" customFormat="1" x14ac:dyDescent="0.25">
      <c r="G224" s="26"/>
      <c r="I224" s="35"/>
      <c r="J224" s="32"/>
    </row>
    <row r="225" spans="7:10" s="19" customFormat="1" x14ac:dyDescent="0.25">
      <c r="G225" s="26"/>
      <c r="I225" s="35"/>
      <c r="J225" s="32"/>
    </row>
    <row r="226" spans="7:10" s="19" customFormat="1" x14ac:dyDescent="0.25">
      <c r="G226" s="26"/>
      <c r="I226" s="35"/>
      <c r="J226" s="32"/>
    </row>
    <row r="227" spans="7:10" s="19" customFormat="1" x14ac:dyDescent="0.25">
      <c r="G227" s="26"/>
      <c r="I227" s="35"/>
      <c r="J227" s="32"/>
    </row>
    <row r="228" spans="7:10" s="19" customFormat="1" x14ac:dyDescent="0.25">
      <c r="G228" s="26"/>
      <c r="I228" s="35"/>
      <c r="J228" s="32"/>
    </row>
    <row r="229" spans="7:10" s="19" customFormat="1" x14ac:dyDescent="0.25">
      <c r="G229" s="26"/>
      <c r="I229" s="35"/>
      <c r="J229" s="32"/>
    </row>
    <row r="230" spans="7:10" s="19" customFormat="1" x14ac:dyDescent="0.25">
      <c r="G230" s="26"/>
      <c r="I230" s="35"/>
      <c r="J230" s="32"/>
    </row>
    <row r="231" spans="7:10" s="19" customFormat="1" x14ac:dyDescent="0.25">
      <c r="G231" s="26"/>
      <c r="I231" s="35"/>
      <c r="J231" s="32"/>
    </row>
    <row r="232" spans="7:10" s="19" customFormat="1" x14ac:dyDescent="0.25">
      <c r="G232" s="26"/>
      <c r="I232" s="35"/>
      <c r="J232" s="32"/>
    </row>
    <row r="233" spans="7:10" s="19" customFormat="1" x14ac:dyDescent="0.25">
      <c r="G233" s="26"/>
      <c r="I233" s="35"/>
      <c r="J233" s="32"/>
    </row>
    <row r="234" spans="7:10" s="19" customFormat="1" x14ac:dyDescent="0.25">
      <c r="G234" s="26"/>
      <c r="I234" s="35"/>
      <c r="J234" s="32"/>
    </row>
    <row r="235" spans="7:10" s="19" customFormat="1" x14ac:dyDescent="0.25">
      <c r="G235" s="26"/>
      <c r="I235" s="35"/>
      <c r="J235" s="32"/>
    </row>
    <row r="236" spans="7:10" s="19" customFormat="1" x14ac:dyDescent="0.25">
      <c r="G236" s="26"/>
      <c r="I236" s="35"/>
      <c r="J236" s="32"/>
    </row>
    <row r="237" spans="7:10" s="19" customFormat="1" x14ac:dyDescent="0.25">
      <c r="G237" s="26"/>
      <c r="I237" s="35"/>
      <c r="J237" s="32"/>
    </row>
    <row r="238" spans="7:10" s="19" customFormat="1" x14ac:dyDescent="0.25">
      <c r="G238" s="26"/>
      <c r="I238" s="35"/>
      <c r="J238" s="32"/>
    </row>
    <row r="239" spans="7:10" s="19" customFormat="1" x14ac:dyDescent="0.25">
      <c r="G239" s="26"/>
      <c r="I239" s="35"/>
      <c r="J239" s="32"/>
    </row>
    <row r="240" spans="7:10" s="19" customFormat="1" x14ac:dyDescent="0.25">
      <c r="G240" s="26"/>
      <c r="I240" s="35"/>
      <c r="J240" s="32"/>
    </row>
    <row r="241" spans="7:10" s="19" customFormat="1" x14ac:dyDescent="0.25">
      <c r="G241" s="26"/>
      <c r="I241" s="35"/>
      <c r="J241" s="32"/>
    </row>
    <row r="242" spans="7:10" s="19" customFormat="1" x14ac:dyDescent="0.25">
      <c r="G242" s="26"/>
      <c r="I242" s="35"/>
      <c r="J242" s="32"/>
    </row>
    <row r="243" spans="7:10" s="19" customFormat="1" x14ac:dyDescent="0.25">
      <c r="G243" s="26"/>
      <c r="I243" s="35"/>
      <c r="J243" s="32"/>
    </row>
    <row r="244" spans="7:10" s="19" customFormat="1" x14ac:dyDescent="0.25">
      <c r="G244" s="26"/>
      <c r="I244" s="35"/>
      <c r="J244" s="32"/>
    </row>
    <row r="245" spans="7:10" s="19" customFormat="1" x14ac:dyDescent="0.25">
      <c r="G245" s="26"/>
      <c r="I245" s="35"/>
      <c r="J245" s="32"/>
    </row>
    <row r="246" spans="7:10" s="19" customFormat="1" x14ac:dyDescent="0.25">
      <c r="G246" s="26"/>
      <c r="I246" s="35"/>
      <c r="J246" s="32"/>
    </row>
    <row r="247" spans="7:10" s="19" customFormat="1" x14ac:dyDescent="0.25">
      <c r="G247" s="26"/>
      <c r="I247" s="35"/>
      <c r="J247" s="32"/>
    </row>
    <row r="248" spans="7:10" s="19" customFormat="1" x14ac:dyDescent="0.25">
      <c r="G248" s="26"/>
      <c r="I248" s="35"/>
      <c r="J248" s="32"/>
    </row>
    <row r="249" spans="7:10" s="19" customFormat="1" x14ac:dyDescent="0.25">
      <c r="G249" s="26"/>
      <c r="I249" s="35"/>
      <c r="J249" s="32"/>
    </row>
    <row r="250" spans="7:10" s="19" customFormat="1" x14ac:dyDescent="0.25">
      <c r="G250" s="26"/>
      <c r="I250" s="35"/>
      <c r="J250" s="32"/>
    </row>
    <row r="251" spans="7:10" s="19" customFormat="1" x14ac:dyDescent="0.25">
      <c r="G251" s="26"/>
      <c r="I251" s="35"/>
      <c r="J251" s="32"/>
    </row>
    <row r="252" spans="7:10" s="19" customFormat="1" x14ac:dyDescent="0.25">
      <c r="G252" s="26"/>
      <c r="I252" s="35"/>
      <c r="J252" s="32"/>
    </row>
    <row r="253" spans="7:10" s="19" customFormat="1" x14ac:dyDescent="0.25">
      <c r="G253" s="26"/>
      <c r="I253" s="35"/>
      <c r="J253" s="32"/>
    </row>
    <row r="254" spans="7:10" s="19" customFormat="1" x14ac:dyDescent="0.25">
      <c r="G254" s="26"/>
      <c r="I254" s="35"/>
      <c r="J254" s="32"/>
    </row>
    <row r="255" spans="7:10" s="19" customFormat="1" x14ac:dyDescent="0.25">
      <c r="G255" s="26"/>
      <c r="I255" s="35"/>
      <c r="J255" s="32"/>
    </row>
    <row r="256" spans="7:10" s="19" customFormat="1" x14ac:dyDescent="0.25">
      <c r="G256" s="26"/>
      <c r="I256" s="35"/>
      <c r="J256" s="32"/>
    </row>
    <row r="257" spans="7:10" s="19" customFormat="1" x14ac:dyDescent="0.25">
      <c r="G257" s="26"/>
      <c r="I257" s="35"/>
      <c r="J257" s="32"/>
    </row>
    <row r="258" spans="7:10" s="19" customFormat="1" x14ac:dyDescent="0.25">
      <c r="G258" s="26"/>
      <c r="I258" s="35"/>
      <c r="J258" s="32"/>
    </row>
    <row r="259" spans="7:10" s="19" customFormat="1" x14ac:dyDescent="0.25">
      <c r="G259" s="26"/>
      <c r="I259" s="35"/>
      <c r="J259" s="32"/>
    </row>
    <row r="260" spans="7:10" s="19" customFormat="1" x14ac:dyDescent="0.25">
      <c r="G260" s="26"/>
      <c r="I260" s="35"/>
      <c r="J260" s="32"/>
    </row>
    <row r="261" spans="7:10" s="19" customFormat="1" x14ac:dyDescent="0.25">
      <c r="G261" s="26"/>
      <c r="I261" s="35"/>
      <c r="J261" s="32"/>
    </row>
    <row r="262" spans="7:10" s="19" customFormat="1" x14ac:dyDescent="0.25">
      <c r="G262" s="26"/>
      <c r="I262" s="35"/>
      <c r="J262" s="32"/>
    </row>
    <row r="263" spans="7:10" s="19" customFormat="1" x14ac:dyDescent="0.25">
      <c r="G263" s="26"/>
      <c r="I263" s="35"/>
      <c r="J263" s="32"/>
    </row>
    <row r="264" spans="7:10" s="19" customFormat="1" x14ac:dyDescent="0.25">
      <c r="G264" s="26"/>
      <c r="I264" s="35"/>
      <c r="J264" s="32"/>
    </row>
    <row r="265" spans="7:10" s="19" customFormat="1" x14ac:dyDescent="0.25">
      <c r="G265" s="26"/>
      <c r="I265" s="35"/>
      <c r="J265" s="32"/>
    </row>
    <row r="266" spans="7:10" s="19" customFormat="1" x14ac:dyDescent="0.25">
      <c r="G266" s="26"/>
      <c r="I266" s="35"/>
      <c r="J266" s="32"/>
    </row>
    <row r="267" spans="7:10" s="19" customFormat="1" x14ac:dyDescent="0.25">
      <c r="G267" s="26"/>
      <c r="I267" s="35"/>
      <c r="J267" s="32"/>
    </row>
    <row r="268" spans="7:10" s="19" customFormat="1" x14ac:dyDescent="0.25">
      <c r="G268" s="26"/>
      <c r="I268" s="35"/>
      <c r="J268" s="32"/>
    </row>
    <row r="269" spans="7:10" s="19" customFormat="1" x14ac:dyDescent="0.25">
      <c r="G269" s="26"/>
      <c r="I269" s="35"/>
      <c r="J269" s="32"/>
    </row>
    <row r="270" spans="7:10" s="19" customFormat="1" x14ac:dyDescent="0.25">
      <c r="G270" s="26"/>
      <c r="I270" s="35"/>
      <c r="J270" s="32"/>
    </row>
    <row r="271" spans="7:10" s="19" customFormat="1" x14ac:dyDescent="0.25">
      <c r="G271" s="26"/>
      <c r="I271" s="35"/>
      <c r="J271" s="32"/>
    </row>
    <row r="272" spans="7:10" s="19" customFormat="1" x14ac:dyDescent="0.25">
      <c r="G272" s="26"/>
      <c r="I272" s="35"/>
      <c r="J272" s="32"/>
    </row>
    <row r="273" spans="7:10" s="19" customFormat="1" x14ac:dyDescent="0.25">
      <c r="G273" s="26"/>
      <c r="I273" s="35"/>
      <c r="J273" s="32"/>
    </row>
    <row r="274" spans="7:10" s="19" customFormat="1" x14ac:dyDescent="0.25">
      <c r="G274" s="26"/>
      <c r="I274" s="35"/>
      <c r="J274" s="32"/>
    </row>
    <row r="275" spans="7:10" s="19" customFormat="1" x14ac:dyDescent="0.25">
      <c r="G275" s="26"/>
      <c r="I275" s="35"/>
      <c r="J275" s="32"/>
    </row>
    <row r="276" spans="7:10" s="19" customFormat="1" x14ac:dyDescent="0.25">
      <c r="G276" s="26"/>
      <c r="I276" s="35"/>
      <c r="J276" s="32"/>
    </row>
    <row r="277" spans="7:10" s="19" customFormat="1" x14ac:dyDescent="0.25">
      <c r="G277" s="26"/>
      <c r="I277" s="35"/>
      <c r="J277" s="32"/>
    </row>
    <row r="278" spans="7:10" s="19" customFormat="1" x14ac:dyDescent="0.25">
      <c r="G278" s="26"/>
      <c r="I278" s="35"/>
      <c r="J278" s="32"/>
    </row>
    <row r="279" spans="7:10" s="19" customFormat="1" x14ac:dyDescent="0.25">
      <c r="G279" s="26"/>
      <c r="I279" s="35"/>
      <c r="J279" s="32"/>
    </row>
    <row r="280" spans="7:10" s="19" customFormat="1" x14ac:dyDescent="0.25">
      <c r="G280" s="26"/>
      <c r="I280" s="35"/>
      <c r="J280" s="32"/>
    </row>
    <row r="281" spans="7:10" s="19" customFormat="1" x14ac:dyDescent="0.25">
      <c r="G281" s="26"/>
      <c r="I281" s="35"/>
      <c r="J281" s="32"/>
    </row>
    <row r="282" spans="7:10" s="19" customFormat="1" x14ac:dyDescent="0.25">
      <c r="G282" s="26"/>
      <c r="I282" s="35"/>
      <c r="J282" s="32"/>
    </row>
    <row r="283" spans="7:10" s="19" customFormat="1" x14ac:dyDescent="0.25">
      <c r="G283" s="26"/>
      <c r="I283" s="35"/>
      <c r="J283" s="32"/>
    </row>
    <row r="284" spans="7:10" s="19" customFormat="1" x14ac:dyDescent="0.25">
      <c r="G284" s="26"/>
      <c r="I284" s="35"/>
      <c r="J284" s="32"/>
    </row>
    <row r="285" spans="7:10" s="19" customFormat="1" x14ac:dyDescent="0.25">
      <c r="G285" s="26"/>
      <c r="I285" s="35"/>
      <c r="J285" s="32"/>
    </row>
    <row r="286" spans="7:10" s="19" customFormat="1" x14ac:dyDescent="0.25">
      <c r="G286" s="26"/>
      <c r="I286" s="35"/>
      <c r="J286" s="32"/>
    </row>
    <row r="287" spans="7:10" s="19" customFormat="1" x14ac:dyDescent="0.25">
      <c r="G287" s="26"/>
      <c r="I287" s="35"/>
      <c r="J287" s="32"/>
    </row>
    <row r="288" spans="7:10" s="19" customFormat="1" x14ac:dyDescent="0.25">
      <c r="G288" s="26"/>
      <c r="I288" s="35"/>
      <c r="J288" s="32"/>
    </row>
    <row r="289" spans="7:10" s="19" customFormat="1" x14ac:dyDescent="0.25">
      <c r="G289" s="26"/>
      <c r="I289" s="35"/>
      <c r="J289" s="32"/>
    </row>
    <row r="290" spans="7:10" s="19" customFormat="1" x14ac:dyDescent="0.25">
      <c r="G290" s="26"/>
      <c r="I290" s="35"/>
      <c r="J290" s="32"/>
    </row>
    <row r="291" spans="7:10" s="19" customFormat="1" x14ac:dyDescent="0.25">
      <c r="G291" s="26"/>
      <c r="I291" s="35"/>
      <c r="J291" s="32"/>
    </row>
    <row r="292" spans="7:10" s="19" customFormat="1" x14ac:dyDescent="0.25">
      <c r="G292" s="26"/>
      <c r="I292" s="35"/>
      <c r="J292" s="32"/>
    </row>
    <row r="293" spans="7:10" s="19" customFormat="1" x14ac:dyDescent="0.25">
      <c r="G293" s="26"/>
      <c r="I293" s="35"/>
      <c r="J293" s="32"/>
    </row>
    <row r="294" spans="7:10" s="19" customFormat="1" x14ac:dyDescent="0.25">
      <c r="G294" s="26"/>
      <c r="I294" s="35"/>
      <c r="J294" s="32"/>
    </row>
    <row r="295" spans="7:10" s="19" customFormat="1" x14ac:dyDescent="0.25">
      <c r="G295" s="26"/>
      <c r="I295" s="35"/>
      <c r="J295" s="32"/>
    </row>
    <row r="296" spans="7:10" s="19" customFormat="1" x14ac:dyDescent="0.25">
      <c r="G296" s="26"/>
      <c r="I296" s="35"/>
      <c r="J296" s="32"/>
    </row>
    <row r="297" spans="7:10" s="19" customFormat="1" x14ac:dyDescent="0.25">
      <c r="G297" s="26"/>
      <c r="I297" s="35"/>
      <c r="J297" s="32"/>
    </row>
    <row r="298" spans="7:10" s="19" customFormat="1" x14ac:dyDescent="0.25">
      <c r="G298" s="26"/>
      <c r="I298" s="35"/>
      <c r="J298" s="32"/>
    </row>
    <row r="299" spans="7:10" s="19" customFormat="1" x14ac:dyDescent="0.25">
      <c r="G299" s="26"/>
      <c r="I299" s="35"/>
      <c r="J299" s="32"/>
    </row>
    <row r="300" spans="7:10" s="19" customFormat="1" x14ac:dyDescent="0.25">
      <c r="G300" s="26"/>
      <c r="I300" s="35"/>
      <c r="J300" s="32"/>
    </row>
    <row r="301" spans="7:10" s="19" customFormat="1" x14ac:dyDescent="0.25">
      <c r="G301" s="26"/>
      <c r="I301" s="35"/>
      <c r="J301" s="32"/>
    </row>
    <row r="302" spans="7:10" s="19" customFormat="1" x14ac:dyDescent="0.25">
      <c r="G302" s="26"/>
      <c r="I302" s="35"/>
      <c r="J302" s="32"/>
    </row>
    <row r="303" spans="7:10" s="19" customFormat="1" x14ac:dyDescent="0.25">
      <c r="G303" s="26"/>
      <c r="I303" s="35"/>
      <c r="J303" s="32"/>
    </row>
    <row r="304" spans="7:10" s="19" customFormat="1" x14ac:dyDescent="0.25">
      <c r="G304" s="26"/>
      <c r="I304" s="35"/>
      <c r="J304" s="32"/>
    </row>
    <row r="305" spans="7:10" s="19" customFormat="1" x14ac:dyDescent="0.25">
      <c r="G305" s="26"/>
      <c r="I305" s="35"/>
      <c r="J305" s="32"/>
    </row>
    <row r="306" spans="7:10" s="19" customFormat="1" x14ac:dyDescent="0.25">
      <c r="G306" s="26"/>
      <c r="I306" s="35"/>
      <c r="J306" s="32"/>
    </row>
    <row r="307" spans="7:10" s="19" customFormat="1" x14ac:dyDescent="0.25">
      <c r="G307" s="26"/>
      <c r="I307" s="35"/>
      <c r="J307" s="32"/>
    </row>
    <row r="308" spans="7:10" s="19" customFormat="1" x14ac:dyDescent="0.25">
      <c r="G308" s="26"/>
      <c r="I308" s="35"/>
      <c r="J308" s="32"/>
    </row>
    <row r="309" spans="7:10" s="19" customFormat="1" x14ac:dyDescent="0.25">
      <c r="G309" s="26"/>
      <c r="I309" s="35"/>
      <c r="J309" s="32"/>
    </row>
    <row r="310" spans="7:10" s="19" customFormat="1" x14ac:dyDescent="0.25">
      <c r="G310" s="26"/>
      <c r="I310" s="35"/>
      <c r="J310" s="32"/>
    </row>
    <row r="311" spans="7:10" s="19" customFormat="1" x14ac:dyDescent="0.25">
      <c r="G311" s="26"/>
      <c r="I311" s="35"/>
      <c r="J311" s="32"/>
    </row>
    <row r="312" spans="7:10" s="19" customFormat="1" x14ac:dyDescent="0.25">
      <c r="G312" s="26"/>
      <c r="I312" s="35"/>
      <c r="J312" s="32"/>
    </row>
    <row r="313" spans="7:10" s="19" customFormat="1" x14ac:dyDescent="0.25">
      <c r="G313" s="26"/>
      <c r="I313" s="35"/>
      <c r="J313" s="32"/>
    </row>
    <row r="314" spans="7:10" s="19" customFormat="1" x14ac:dyDescent="0.25">
      <c r="G314" s="26"/>
      <c r="I314" s="35"/>
      <c r="J314" s="32"/>
    </row>
    <row r="315" spans="7:10" s="19" customFormat="1" x14ac:dyDescent="0.25">
      <c r="G315" s="26"/>
      <c r="I315" s="35"/>
      <c r="J315" s="32"/>
    </row>
    <row r="316" spans="7:10" s="19" customFormat="1" x14ac:dyDescent="0.25">
      <c r="G316" s="26"/>
      <c r="I316" s="35"/>
      <c r="J316" s="32"/>
    </row>
    <row r="317" spans="7:10" s="19" customFormat="1" x14ac:dyDescent="0.25">
      <c r="G317" s="26"/>
      <c r="I317" s="35"/>
      <c r="J317" s="32"/>
    </row>
    <row r="318" spans="7:10" s="19" customFormat="1" x14ac:dyDescent="0.25">
      <c r="G318" s="26"/>
      <c r="I318" s="35"/>
      <c r="J318" s="32"/>
    </row>
    <row r="319" spans="7:10" s="19" customFormat="1" x14ac:dyDescent="0.25">
      <c r="G319" s="26"/>
      <c r="I319" s="35"/>
      <c r="J319" s="32"/>
    </row>
    <row r="320" spans="7:10" s="19" customFormat="1" x14ac:dyDescent="0.25">
      <c r="G320" s="26"/>
      <c r="I320" s="35"/>
      <c r="J320" s="32"/>
    </row>
    <row r="321" spans="7:10" s="19" customFormat="1" x14ac:dyDescent="0.25">
      <c r="G321" s="26"/>
      <c r="I321" s="35"/>
      <c r="J321" s="32"/>
    </row>
    <row r="322" spans="7:10" s="19" customFormat="1" x14ac:dyDescent="0.25">
      <c r="G322" s="26"/>
      <c r="I322" s="35"/>
      <c r="J322" s="32"/>
    </row>
    <row r="323" spans="7:10" s="19" customFormat="1" x14ac:dyDescent="0.25">
      <c r="G323" s="26"/>
      <c r="I323" s="35"/>
      <c r="J323" s="32"/>
    </row>
    <row r="324" spans="7:10" s="19" customFormat="1" x14ac:dyDescent="0.25">
      <c r="G324" s="26"/>
      <c r="I324" s="35"/>
      <c r="J324" s="32"/>
    </row>
    <row r="325" spans="7:10" s="19" customFormat="1" x14ac:dyDescent="0.25">
      <c r="G325" s="26"/>
      <c r="I325" s="35"/>
      <c r="J325" s="32"/>
    </row>
    <row r="326" spans="7:10" s="19" customFormat="1" x14ac:dyDescent="0.25">
      <c r="G326" s="26"/>
      <c r="I326" s="35"/>
      <c r="J326" s="32"/>
    </row>
    <row r="327" spans="7:10" s="19" customFormat="1" x14ac:dyDescent="0.25">
      <c r="G327" s="26"/>
      <c r="I327" s="35"/>
      <c r="J327" s="32"/>
    </row>
    <row r="328" spans="7:10" s="19" customFormat="1" x14ac:dyDescent="0.25">
      <c r="G328" s="26"/>
      <c r="I328" s="35"/>
      <c r="J328" s="32"/>
    </row>
    <row r="329" spans="7:10" s="19" customFormat="1" x14ac:dyDescent="0.25">
      <c r="G329" s="26"/>
      <c r="I329" s="35"/>
      <c r="J329" s="32"/>
    </row>
    <row r="330" spans="7:10" s="19" customFormat="1" x14ac:dyDescent="0.25">
      <c r="G330" s="26"/>
      <c r="I330" s="35"/>
      <c r="J330" s="32"/>
    </row>
    <row r="331" spans="7:10" s="19" customFormat="1" x14ac:dyDescent="0.25">
      <c r="G331" s="26"/>
      <c r="I331" s="35"/>
      <c r="J331" s="32"/>
    </row>
    <row r="332" spans="7:10" s="19" customFormat="1" x14ac:dyDescent="0.25">
      <c r="G332" s="26"/>
      <c r="I332" s="35"/>
      <c r="J332" s="32"/>
    </row>
    <row r="333" spans="7:10" s="19" customFormat="1" x14ac:dyDescent="0.25">
      <c r="G333" s="26"/>
      <c r="I333" s="35"/>
      <c r="J333" s="32"/>
    </row>
    <row r="334" spans="7:10" s="19" customFormat="1" x14ac:dyDescent="0.25">
      <c r="G334" s="26"/>
      <c r="I334" s="35"/>
      <c r="J334" s="32"/>
    </row>
    <row r="335" spans="7:10" s="19" customFormat="1" x14ac:dyDescent="0.25">
      <c r="G335" s="26"/>
      <c r="I335" s="35"/>
      <c r="J335" s="32"/>
    </row>
    <row r="336" spans="7:10" s="19" customFormat="1" x14ac:dyDescent="0.25">
      <c r="G336" s="26"/>
      <c r="I336" s="35"/>
      <c r="J336" s="32"/>
    </row>
    <row r="337" spans="7:10" s="19" customFormat="1" x14ac:dyDescent="0.25">
      <c r="G337" s="26"/>
      <c r="I337" s="35"/>
      <c r="J337" s="32"/>
    </row>
    <row r="338" spans="7:10" s="19" customFormat="1" x14ac:dyDescent="0.25">
      <c r="G338" s="26"/>
      <c r="I338" s="35"/>
      <c r="J338" s="32"/>
    </row>
    <row r="339" spans="7:10" s="19" customFormat="1" x14ac:dyDescent="0.25">
      <c r="G339" s="26"/>
      <c r="I339" s="35"/>
      <c r="J339" s="32"/>
    </row>
    <row r="340" spans="7:10" s="19" customFormat="1" x14ac:dyDescent="0.25">
      <c r="G340" s="26"/>
      <c r="I340" s="35"/>
      <c r="J340" s="32"/>
    </row>
    <row r="341" spans="7:10" s="19" customFormat="1" x14ac:dyDescent="0.25">
      <c r="G341" s="26"/>
      <c r="I341" s="35"/>
      <c r="J341" s="32"/>
    </row>
    <row r="342" spans="7:10" s="19" customFormat="1" x14ac:dyDescent="0.25">
      <c r="G342" s="26"/>
      <c r="I342" s="35"/>
      <c r="J342" s="32"/>
    </row>
    <row r="343" spans="7:10" s="19" customFormat="1" x14ac:dyDescent="0.25">
      <c r="G343" s="26"/>
      <c r="I343" s="35"/>
      <c r="J343" s="32"/>
    </row>
    <row r="344" spans="7:10" s="19" customFormat="1" x14ac:dyDescent="0.25">
      <c r="G344" s="26"/>
      <c r="I344" s="35"/>
      <c r="J344" s="32"/>
    </row>
    <row r="345" spans="7:10" s="19" customFormat="1" x14ac:dyDescent="0.25">
      <c r="G345" s="26"/>
      <c r="I345" s="35"/>
      <c r="J345" s="32"/>
    </row>
    <row r="346" spans="7:10" s="19" customFormat="1" x14ac:dyDescent="0.25">
      <c r="G346" s="26"/>
      <c r="I346" s="35"/>
      <c r="J346" s="32"/>
    </row>
    <row r="347" spans="7:10" s="19" customFormat="1" x14ac:dyDescent="0.25">
      <c r="G347" s="26"/>
      <c r="I347" s="35"/>
      <c r="J347" s="32"/>
    </row>
    <row r="348" spans="7:10" s="19" customFormat="1" x14ac:dyDescent="0.25">
      <c r="G348" s="26"/>
      <c r="I348" s="35"/>
      <c r="J348" s="32"/>
    </row>
    <row r="349" spans="7:10" s="19" customFormat="1" x14ac:dyDescent="0.25">
      <c r="G349" s="26"/>
      <c r="I349" s="35"/>
      <c r="J349" s="32"/>
    </row>
    <row r="350" spans="7:10" s="19" customFormat="1" x14ac:dyDescent="0.25">
      <c r="G350" s="26"/>
      <c r="I350" s="35"/>
      <c r="J350" s="32"/>
    </row>
    <row r="351" spans="7:10" s="19" customFormat="1" x14ac:dyDescent="0.25">
      <c r="G351" s="26"/>
      <c r="I351" s="35"/>
      <c r="J351" s="32"/>
    </row>
    <row r="352" spans="7:10" s="19" customFormat="1" x14ac:dyDescent="0.25">
      <c r="G352" s="26"/>
      <c r="I352" s="35"/>
      <c r="J352" s="32"/>
    </row>
    <row r="353" spans="7:10" s="19" customFormat="1" x14ac:dyDescent="0.25">
      <c r="G353" s="26"/>
      <c r="I353" s="35"/>
      <c r="J353" s="32"/>
    </row>
    <row r="354" spans="7:10" s="19" customFormat="1" x14ac:dyDescent="0.25">
      <c r="G354" s="26"/>
      <c r="I354" s="35"/>
      <c r="J354" s="32"/>
    </row>
    <row r="355" spans="7:10" s="19" customFormat="1" x14ac:dyDescent="0.25">
      <c r="G355" s="26"/>
      <c r="I355" s="35"/>
      <c r="J355" s="32"/>
    </row>
    <row r="356" spans="7:10" s="19" customFormat="1" x14ac:dyDescent="0.25">
      <c r="G356" s="26"/>
      <c r="I356" s="35"/>
      <c r="J356" s="32"/>
    </row>
    <row r="357" spans="7:10" s="19" customFormat="1" x14ac:dyDescent="0.25">
      <c r="G357" s="26"/>
      <c r="I357" s="35"/>
      <c r="J357" s="32"/>
    </row>
    <row r="358" spans="7:10" s="19" customFormat="1" x14ac:dyDescent="0.25">
      <c r="G358" s="26"/>
      <c r="I358" s="35"/>
      <c r="J358" s="32"/>
    </row>
    <row r="359" spans="7:10" s="19" customFormat="1" x14ac:dyDescent="0.25">
      <c r="G359" s="26"/>
      <c r="I359" s="35"/>
      <c r="J359" s="32"/>
    </row>
    <row r="360" spans="7:10" s="19" customFormat="1" x14ac:dyDescent="0.25">
      <c r="G360" s="26"/>
      <c r="I360" s="35"/>
      <c r="J360" s="32"/>
    </row>
    <row r="361" spans="7:10" s="19" customFormat="1" x14ac:dyDescent="0.25">
      <c r="G361" s="26"/>
      <c r="I361" s="35"/>
      <c r="J361" s="32"/>
    </row>
    <row r="362" spans="7:10" s="19" customFormat="1" x14ac:dyDescent="0.25">
      <c r="G362" s="26"/>
      <c r="I362" s="35"/>
      <c r="J362" s="32"/>
    </row>
    <row r="363" spans="7:10" s="19" customFormat="1" x14ac:dyDescent="0.25">
      <c r="G363" s="26"/>
      <c r="I363" s="35"/>
      <c r="J363" s="32"/>
    </row>
    <row r="364" spans="7:10" s="19" customFormat="1" x14ac:dyDescent="0.25">
      <c r="G364" s="26"/>
      <c r="I364" s="35"/>
      <c r="J364" s="32"/>
    </row>
    <row r="365" spans="7:10" s="19" customFormat="1" x14ac:dyDescent="0.25">
      <c r="G365" s="26"/>
      <c r="I365" s="35"/>
      <c r="J365" s="32"/>
    </row>
    <row r="366" spans="7:10" s="19" customFormat="1" x14ac:dyDescent="0.25">
      <c r="G366" s="26"/>
      <c r="I366" s="35"/>
      <c r="J366" s="32"/>
    </row>
    <row r="367" spans="7:10" s="19" customFormat="1" x14ac:dyDescent="0.25">
      <c r="G367" s="26"/>
      <c r="I367" s="35"/>
      <c r="J367" s="32"/>
    </row>
    <row r="368" spans="7:10" s="19" customFormat="1" x14ac:dyDescent="0.25">
      <c r="G368" s="26"/>
      <c r="I368" s="35"/>
      <c r="J368" s="32"/>
    </row>
    <row r="369" spans="2:12" x14ac:dyDescent="0.25">
      <c r="B369" s="19"/>
      <c r="C369" s="19"/>
      <c r="D369" s="19"/>
      <c r="E369" s="19"/>
      <c r="F369" s="19"/>
      <c r="G369" s="26"/>
      <c r="H369" s="19"/>
      <c r="I369" s="35"/>
      <c r="J369" s="32"/>
      <c r="K369" s="19"/>
      <c r="L369" s="19"/>
    </row>
    <row r="370" spans="2:12" x14ac:dyDescent="0.25">
      <c r="B370" s="19"/>
      <c r="C370" s="19"/>
      <c r="D370" s="19"/>
      <c r="E370" s="19"/>
      <c r="F370" s="19"/>
      <c r="G370" s="26"/>
      <c r="H370" s="19"/>
      <c r="I370" s="35"/>
      <c r="J370" s="32"/>
      <c r="K370" s="19"/>
      <c r="L370" s="19"/>
    </row>
    <row r="371" spans="2:12" x14ac:dyDescent="0.25">
      <c r="B371" s="19"/>
      <c r="C371" s="19"/>
      <c r="D371" s="19"/>
      <c r="E371" s="19"/>
      <c r="F371" s="19"/>
      <c r="G371" s="26"/>
      <c r="H371" s="19"/>
      <c r="I371" s="35"/>
      <c r="J371" s="32"/>
      <c r="K371" s="19"/>
      <c r="L371" s="19"/>
    </row>
    <row r="372" spans="2:12" x14ac:dyDescent="0.25">
      <c r="B372" s="19"/>
      <c r="C372" s="19"/>
      <c r="D372" s="19"/>
      <c r="E372" s="19"/>
      <c r="F372" s="19"/>
      <c r="G372" s="26"/>
      <c r="H372" s="19"/>
      <c r="I372" s="35"/>
      <c r="J372" s="32"/>
      <c r="K372" s="19"/>
      <c r="L372" s="19"/>
    </row>
    <row r="373" spans="2:12" x14ac:dyDescent="0.25">
      <c r="B373" s="19"/>
      <c r="C373" s="19"/>
      <c r="D373" s="19"/>
      <c r="E373" s="19"/>
      <c r="F373" s="19"/>
      <c r="G373" s="26"/>
      <c r="H373" s="19"/>
      <c r="I373" s="35"/>
      <c r="J373" s="32"/>
      <c r="K373" s="19"/>
      <c r="L373" s="19"/>
    </row>
    <row r="374" spans="2:12" x14ac:dyDescent="0.25">
      <c r="B374" s="19"/>
      <c r="C374" s="19"/>
      <c r="D374" s="19"/>
      <c r="E374" s="19"/>
      <c r="F374" s="19"/>
      <c r="G374" s="26"/>
      <c r="H374" s="19"/>
      <c r="I374" s="35"/>
      <c r="J374" s="32"/>
      <c r="K374" s="19"/>
      <c r="L374" s="19"/>
    </row>
    <row r="375" spans="2:12" x14ac:dyDescent="0.25">
      <c r="B375" s="19"/>
      <c r="C375" s="19"/>
      <c r="D375" s="19"/>
      <c r="E375" s="19"/>
      <c r="F375" s="19"/>
      <c r="G375" s="26"/>
      <c r="H375" s="19"/>
      <c r="I375" s="35"/>
      <c r="J375" s="32"/>
      <c r="K375" s="19"/>
      <c r="L375" s="19"/>
    </row>
    <row r="376" spans="2:12" x14ac:dyDescent="0.25">
      <c r="B376" s="19"/>
      <c r="C376" s="19"/>
      <c r="D376" s="19"/>
      <c r="E376" s="19"/>
      <c r="F376" s="19"/>
      <c r="G376" s="26"/>
      <c r="H376" s="19"/>
      <c r="I376" s="35"/>
      <c r="J376" s="32"/>
      <c r="K376" s="19"/>
      <c r="L376" s="19"/>
    </row>
    <row r="377" spans="2:12" x14ac:dyDescent="0.25">
      <c r="B377" s="19"/>
      <c r="C377" s="19"/>
      <c r="D377" s="19"/>
      <c r="E377" s="19"/>
      <c r="F377" s="19"/>
      <c r="G377" s="26"/>
      <c r="H377" s="19"/>
      <c r="I377" s="35"/>
      <c r="J377" s="32"/>
      <c r="K377" s="19"/>
      <c r="L377" s="19"/>
    </row>
    <row r="378" spans="2:12" x14ac:dyDescent="0.25">
      <c r="C378" s="19"/>
      <c r="D378" s="19"/>
      <c r="E378" s="19"/>
      <c r="F378" s="19"/>
      <c r="G378" s="26"/>
      <c r="H378" s="19"/>
      <c r="I378" s="35"/>
      <c r="J378" s="32"/>
      <c r="K378" s="19"/>
      <c r="L378" s="19"/>
    </row>
    <row r="379" spans="2:12" x14ac:dyDescent="0.25">
      <c r="C379" s="19"/>
      <c r="D379" s="19"/>
      <c r="E379" s="19"/>
      <c r="F379" s="19"/>
      <c r="G379" s="26"/>
      <c r="H379" s="19"/>
      <c r="I379" s="35"/>
      <c r="J379" s="32"/>
      <c r="K379" s="19"/>
      <c r="L379" s="19"/>
    </row>
    <row r="380" spans="2:12" x14ac:dyDescent="0.25">
      <c r="C380" s="19"/>
      <c r="D380" s="19"/>
      <c r="E380" s="19"/>
      <c r="F380" s="19"/>
      <c r="G380" s="26"/>
      <c r="H380" s="19"/>
      <c r="I380" s="35"/>
      <c r="J380" s="32"/>
      <c r="K380" s="19"/>
      <c r="L380" s="19"/>
    </row>
  </sheetData>
  <dataConsolidate/>
  <mergeCells count="125">
    <mergeCell ref="B52:K52"/>
    <mergeCell ref="B34:K34"/>
    <mergeCell ref="C66:F66"/>
    <mergeCell ref="C67:F67"/>
    <mergeCell ref="C69:F69"/>
    <mergeCell ref="C71:F71"/>
    <mergeCell ref="C72:F72"/>
    <mergeCell ref="C73:F73"/>
    <mergeCell ref="C76:F76"/>
    <mergeCell ref="C77:F77"/>
    <mergeCell ref="C91:F91"/>
    <mergeCell ref="C79:L79"/>
    <mergeCell ref="G123:K123"/>
    <mergeCell ref="G124:K124"/>
    <mergeCell ref="G125:K125"/>
    <mergeCell ref="G122:K122"/>
    <mergeCell ref="B114:K114"/>
    <mergeCell ref="C111:L111"/>
    <mergeCell ref="B116:F116"/>
    <mergeCell ref="B113:K113"/>
    <mergeCell ref="C99:F99"/>
    <mergeCell ref="C100:F100"/>
    <mergeCell ref="C112:F112"/>
    <mergeCell ref="C101:F101"/>
    <mergeCell ref="C103:L103"/>
    <mergeCell ref="C104:F104"/>
    <mergeCell ref="C107:F107"/>
    <mergeCell ref="B105:K105"/>
    <mergeCell ref="B102:K102"/>
    <mergeCell ref="C106:L106"/>
    <mergeCell ref="C108:F108"/>
    <mergeCell ref="C109:F109"/>
    <mergeCell ref="B110:K110"/>
    <mergeCell ref="K1:L1"/>
    <mergeCell ref="B6:L6"/>
    <mergeCell ref="D2:L2"/>
    <mergeCell ref="K3:L3"/>
    <mergeCell ref="C17:F17"/>
    <mergeCell ref="C18:F18"/>
    <mergeCell ref="C15:L15"/>
    <mergeCell ref="B23:K23"/>
    <mergeCell ref="B51:K51"/>
    <mergeCell ref="C8:L8"/>
    <mergeCell ref="C9:F9"/>
    <mergeCell ref="C16:L16"/>
    <mergeCell ref="C24:L24"/>
    <mergeCell ref="C25:F25"/>
    <mergeCell ref="C26:F26"/>
    <mergeCell ref="B14:K14"/>
    <mergeCell ref="C19:F19"/>
    <mergeCell ref="C21:F21"/>
    <mergeCell ref="C22:F22"/>
    <mergeCell ref="C39:L39"/>
    <mergeCell ref="B46:K46"/>
    <mergeCell ref="B1:C5"/>
    <mergeCell ref="E3:F3"/>
    <mergeCell ref="E4:F4"/>
    <mergeCell ref="D1:J1"/>
    <mergeCell ref="B38:K38"/>
    <mergeCell ref="C48:F48"/>
    <mergeCell ref="C49:F49"/>
    <mergeCell ref="C50:F50"/>
    <mergeCell ref="C42:F42"/>
    <mergeCell ref="C40:L40"/>
    <mergeCell ref="C43:F43"/>
    <mergeCell ref="C44:F44"/>
    <mergeCell ref="C37:F37"/>
    <mergeCell ref="C47:L47"/>
    <mergeCell ref="C41:F41"/>
    <mergeCell ref="E5:F5"/>
    <mergeCell ref="C10:F10"/>
    <mergeCell ref="C13:F13"/>
    <mergeCell ref="C11:F11"/>
    <mergeCell ref="C12:F12"/>
    <mergeCell ref="B33:K33"/>
    <mergeCell ref="C28:F28"/>
    <mergeCell ref="C30:F30"/>
    <mergeCell ref="C31:F31"/>
    <mergeCell ref="C32:F32"/>
    <mergeCell ref="C35:L35"/>
    <mergeCell ref="C36:L36"/>
    <mergeCell ref="K4:L4"/>
    <mergeCell ref="C7:F7"/>
    <mergeCell ref="K5:L5"/>
    <mergeCell ref="C75:F75"/>
    <mergeCell ref="C63:F63"/>
    <mergeCell ref="C59:F59"/>
    <mergeCell ref="C53:L53"/>
    <mergeCell ref="B64:K64"/>
    <mergeCell ref="C60:F60"/>
    <mergeCell ref="C61:F61"/>
    <mergeCell ref="C56:F56"/>
    <mergeCell ref="C62:F62"/>
    <mergeCell ref="C54:F54"/>
    <mergeCell ref="C45:F45"/>
    <mergeCell ref="C20:F20"/>
    <mergeCell ref="C55:F55"/>
    <mergeCell ref="C57:F57"/>
    <mergeCell ref="C58:F58"/>
    <mergeCell ref="C70:F70"/>
    <mergeCell ref="C68:F68"/>
    <mergeCell ref="C74:F74"/>
    <mergeCell ref="C27:F27"/>
    <mergeCell ref="C29:F29"/>
    <mergeCell ref="C65:L65"/>
    <mergeCell ref="G126:K126"/>
    <mergeCell ref="B78:K78"/>
    <mergeCell ref="C98:L98"/>
    <mergeCell ref="C87:F87"/>
    <mergeCell ref="C88:F88"/>
    <mergeCell ref="C89:F89"/>
    <mergeCell ref="C96:F96"/>
    <mergeCell ref="B81:K81"/>
    <mergeCell ref="C82:L82"/>
    <mergeCell ref="C93:F93"/>
    <mergeCell ref="C90:F90"/>
    <mergeCell ref="C95:F95"/>
    <mergeCell ref="C86:F86"/>
    <mergeCell ref="C80:F80"/>
    <mergeCell ref="C92:F92"/>
    <mergeCell ref="C85:F85"/>
    <mergeCell ref="C84:F84"/>
    <mergeCell ref="C83:F83"/>
    <mergeCell ref="B97:K97"/>
    <mergeCell ref="C94:F94"/>
  </mergeCells>
  <phoneticPr fontId="24" type="noConversion"/>
  <printOptions horizontalCentered="1"/>
  <pageMargins left="0.31496062992125984" right="0.27559055118110237" top="0.39370078740157483" bottom="0.43307086614173229" header="0.11811023622047245" footer="0.19685039370078741"/>
  <pageSetup paperSize="9" scale="60" fitToHeight="0" orientation="landscape" verticalDpi="300" r:id="rId1"/>
  <headerFooter>
    <oddFooter xml:space="preserve">&amp;CTR CONSTRUTORA E ENGENHARIA LTDA - ORÇAMENTO COMPLEXO ESCOLA ESPECIAL, BLOCO 03 - PARTE A - &amp;P de &amp;N  </oddFooter>
  </headerFooter>
  <rowBreaks count="7" manualBreakCount="7">
    <brk id="28" min="1" max="11" man="1"/>
    <brk id="49" min="1" max="11" man="1"/>
    <brk id="69" min="1" max="11" man="1"/>
    <brk id="89" min="1" max="11" man="1"/>
    <brk id="110" min="1" max="11" man="1"/>
    <brk id="127" min="1" max="11" man="1"/>
    <brk id="129" min="1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Z37"/>
  <sheetViews>
    <sheetView showGridLines="0" view="pageBreakPreview" zoomScale="70" zoomScaleNormal="70" zoomScaleSheetLayoutView="70" workbookViewId="0">
      <pane ySplit="9" topLeftCell="A10" activePane="bottomLeft" state="frozen"/>
      <selection pane="bottomLeft" activeCell="E3" sqref="E3:P3"/>
    </sheetView>
  </sheetViews>
  <sheetFormatPr defaultColWidth="9.140625" defaultRowHeight="15" x14ac:dyDescent="0.25"/>
  <cols>
    <col min="1" max="1" width="1.5703125" style="1" customWidth="1"/>
    <col min="2" max="3" width="8.85546875" style="1" customWidth="1"/>
    <col min="4" max="4" width="9.7109375" style="1" customWidth="1"/>
    <col min="5" max="5" width="12.42578125" style="1" bestFit="1" customWidth="1"/>
    <col min="6" max="6" width="35.28515625" style="1" customWidth="1"/>
    <col min="7" max="7" width="18.5703125" style="51" customWidth="1"/>
    <col min="8" max="8" width="11.7109375" style="51" customWidth="1"/>
    <col min="9" max="9" width="9.7109375" style="51" customWidth="1"/>
    <col min="10" max="10" width="15.7109375" style="51" customWidth="1"/>
    <col min="11" max="11" width="10.42578125" style="51" customWidth="1"/>
    <col min="12" max="12" width="15.7109375" style="51" customWidth="1"/>
    <col min="13" max="13" width="10.28515625" style="51" customWidth="1"/>
    <col min="14" max="14" width="15.7109375" style="51" customWidth="1"/>
    <col min="15" max="15" width="10.85546875" style="51" customWidth="1"/>
    <col min="16" max="16" width="15.7109375" style="51" customWidth="1"/>
    <col min="17" max="16384" width="9.140625" style="1"/>
  </cols>
  <sheetData>
    <row r="1" spans="2:16" ht="30" customHeight="1" x14ac:dyDescent="0.25">
      <c r="B1" s="130"/>
      <c r="C1" s="130"/>
      <c r="D1" s="108" t="s">
        <v>33</v>
      </c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</row>
    <row r="2" spans="2:16" ht="6" customHeight="1" x14ac:dyDescent="0.25">
      <c r="B2" s="130"/>
      <c r="C2" s="130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</row>
    <row r="3" spans="2:16" ht="25.5" customHeight="1" x14ac:dyDescent="0.25">
      <c r="B3" s="130"/>
      <c r="C3" s="130"/>
      <c r="D3" s="18" t="s">
        <v>2</v>
      </c>
      <c r="E3" s="125" t="s">
        <v>351</v>
      </c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4"/>
    </row>
    <row r="4" spans="2:16" ht="25.5" customHeight="1" x14ac:dyDescent="0.25">
      <c r="B4" s="130"/>
      <c r="C4" s="130"/>
      <c r="D4" s="18" t="s">
        <v>7</v>
      </c>
      <c r="E4" s="96" t="s">
        <v>282</v>
      </c>
      <c r="F4" s="97"/>
      <c r="G4" s="97"/>
      <c r="H4" s="97"/>
      <c r="I4" s="97"/>
      <c r="J4" s="97"/>
      <c r="K4" s="97"/>
      <c r="L4" s="97"/>
      <c r="M4" s="97"/>
      <c r="N4" s="97"/>
      <c r="O4" s="97"/>
      <c r="P4" s="98"/>
    </row>
    <row r="5" spans="2:16" ht="25.5" customHeight="1" x14ac:dyDescent="0.25">
      <c r="B5" s="130"/>
      <c r="C5" s="130"/>
      <c r="D5" s="18" t="s">
        <v>5</v>
      </c>
      <c r="E5" s="96" t="s">
        <v>255</v>
      </c>
      <c r="F5" s="97"/>
      <c r="G5" s="97"/>
      <c r="H5" s="97"/>
      <c r="I5" s="97"/>
      <c r="J5" s="97"/>
      <c r="K5" s="97"/>
      <c r="L5" s="97"/>
      <c r="M5" s="97"/>
      <c r="N5" s="97"/>
      <c r="O5" s="97"/>
      <c r="P5" s="98"/>
    </row>
    <row r="6" spans="2:16" ht="6" customHeight="1" x14ac:dyDescent="0.25">
      <c r="B6" s="130"/>
      <c r="C6" s="130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</row>
    <row r="7" spans="2:16" ht="11.25" customHeight="1" x14ac:dyDescent="0.25">
      <c r="B7" s="3"/>
      <c r="C7" s="3"/>
      <c r="D7" s="3"/>
      <c r="E7" s="3"/>
      <c r="F7" s="2"/>
      <c r="G7" s="52"/>
      <c r="H7" s="52"/>
      <c r="I7" s="52"/>
      <c r="J7" s="50"/>
      <c r="K7" s="50"/>
      <c r="L7" s="50"/>
      <c r="M7" s="50"/>
      <c r="N7" s="50"/>
      <c r="O7" s="50"/>
      <c r="P7" s="50"/>
    </row>
    <row r="8" spans="2:16" ht="25.5" customHeight="1" x14ac:dyDescent="0.25">
      <c r="B8" s="133" t="s">
        <v>8</v>
      </c>
      <c r="C8" s="132" t="s">
        <v>9</v>
      </c>
      <c r="D8" s="132"/>
      <c r="E8" s="132"/>
      <c r="F8" s="132"/>
      <c r="G8" s="132" t="s">
        <v>27</v>
      </c>
      <c r="H8" s="132" t="s">
        <v>28</v>
      </c>
      <c r="I8" s="132" t="s">
        <v>31</v>
      </c>
      <c r="J8" s="132"/>
      <c r="K8" s="132"/>
      <c r="L8" s="132"/>
      <c r="M8" s="132"/>
      <c r="N8" s="132"/>
      <c r="O8" s="132"/>
      <c r="P8" s="132"/>
    </row>
    <row r="9" spans="2:16" ht="25.5" customHeight="1" x14ac:dyDescent="0.25">
      <c r="B9" s="133"/>
      <c r="C9" s="132"/>
      <c r="D9" s="132"/>
      <c r="E9" s="132"/>
      <c r="F9" s="132"/>
      <c r="G9" s="132"/>
      <c r="H9" s="132"/>
      <c r="I9" s="132" t="s">
        <v>23</v>
      </c>
      <c r="J9" s="132"/>
      <c r="K9" s="132" t="s">
        <v>24</v>
      </c>
      <c r="L9" s="132"/>
      <c r="M9" s="132" t="s">
        <v>25</v>
      </c>
      <c r="N9" s="132"/>
      <c r="O9" s="145" t="s">
        <v>26</v>
      </c>
      <c r="P9" s="146"/>
    </row>
    <row r="10" spans="2:16" s="8" customFormat="1" ht="25.5" customHeight="1" x14ac:dyDescent="0.25">
      <c r="B10" s="133"/>
      <c r="C10" s="132"/>
      <c r="D10" s="132"/>
      <c r="E10" s="132"/>
      <c r="F10" s="132"/>
      <c r="G10" s="132"/>
      <c r="H10" s="132"/>
      <c r="I10" s="5" t="s">
        <v>32</v>
      </c>
      <c r="J10" s="4" t="s">
        <v>328</v>
      </c>
      <c r="K10" s="5" t="s">
        <v>32</v>
      </c>
      <c r="L10" s="4" t="s">
        <v>328</v>
      </c>
      <c r="M10" s="5" t="s">
        <v>32</v>
      </c>
      <c r="N10" s="4" t="s">
        <v>328</v>
      </c>
      <c r="O10" s="5" t="s">
        <v>32</v>
      </c>
      <c r="P10" s="4" t="s">
        <v>328</v>
      </c>
    </row>
    <row r="11" spans="2:16" s="8" customFormat="1" ht="27" customHeight="1" x14ac:dyDescent="0.25">
      <c r="B11" s="12">
        <v>1</v>
      </c>
      <c r="C11" s="131" t="str">
        <f>Orçamento!C8</f>
        <v xml:space="preserve">SERVIÇOS PRELIMINARES </v>
      </c>
      <c r="D11" s="131"/>
      <c r="E11" s="131"/>
      <c r="F11" s="131"/>
      <c r="G11" s="75">
        <f>Orçamento!L14</f>
        <v>82780.142972400005</v>
      </c>
      <c r="H11" s="76">
        <f t="shared" ref="H11:H22" si="0">G11/$G$23</f>
        <v>0.14788486617986177</v>
      </c>
      <c r="I11" s="77">
        <v>1</v>
      </c>
      <c r="J11" s="78">
        <f>I11*G11</f>
        <v>82780.142972400005</v>
      </c>
      <c r="K11" s="77">
        <v>0</v>
      </c>
      <c r="L11" s="78">
        <f>K11*G11</f>
        <v>0</v>
      </c>
      <c r="M11" s="79">
        <v>0</v>
      </c>
      <c r="N11" s="78">
        <f t="shared" ref="N11:N13" si="1">M11*G11</f>
        <v>0</v>
      </c>
      <c r="O11" s="79">
        <v>0</v>
      </c>
      <c r="P11" s="80">
        <f t="shared" ref="P11:P15" si="2">O11*G11</f>
        <v>0</v>
      </c>
    </row>
    <row r="12" spans="2:16" s="8" customFormat="1" ht="27" customHeight="1" x14ac:dyDescent="0.25">
      <c r="B12" s="12">
        <v>2</v>
      </c>
      <c r="C12" s="131" t="str">
        <f>Orçamento!C15</f>
        <v xml:space="preserve">FUNDAÇÕES </v>
      </c>
      <c r="D12" s="131"/>
      <c r="E12" s="131"/>
      <c r="F12" s="131"/>
      <c r="G12" s="75">
        <f>Orçamento!L34</f>
        <v>29789.925736184403</v>
      </c>
      <c r="H12" s="76">
        <f t="shared" si="0"/>
        <v>5.3219033246566093E-2</v>
      </c>
      <c r="I12" s="77">
        <v>0.3</v>
      </c>
      <c r="J12" s="78">
        <f t="shared" ref="J12:J22" si="3">I12*G12</f>
        <v>8936.9777208553205</v>
      </c>
      <c r="K12" s="77">
        <v>0.7</v>
      </c>
      <c r="L12" s="78">
        <f>K12*G12</f>
        <v>20852.948015329082</v>
      </c>
      <c r="M12" s="79">
        <v>0</v>
      </c>
      <c r="N12" s="78">
        <f t="shared" si="1"/>
        <v>0</v>
      </c>
      <c r="O12" s="79">
        <v>0</v>
      </c>
      <c r="P12" s="80">
        <f t="shared" si="2"/>
        <v>0</v>
      </c>
    </row>
    <row r="13" spans="2:16" s="8" customFormat="1" ht="27" customHeight="1" x14ac:dyDescent="0.25">
      <c r="B13" s="12">
        <v>3</v>
      </c>
      <c r="C13" s="131" t="str">
        <f>Orçamento!C35</f>
        <v xml:space="preserve">SUPRA ESTRUTURA </v>
      </c>
      <c r="D13" s="131"/>
      <c r="E13" s="131"/>
      <c r="F13" s="131"/>
      <c r="G13" s="75">
        <f>Orçamento!L38</f>
        <v>61835.118615029991</v>
      </c>
      <c r="H13" s="76">
        <f>G13/G23</f>
        <v>0.11046705059024214</v>
      </c>
      <c r="I13" s="77">
        <v>0</v>
      </c>
      <c r="J13" s="78">
        <f t="shared" si="3"/>
        <v>0</v>
      </c>
      <c r="K13" s="77">
        <v>1</v>
      </c>
      <c r="L13" s="78">
        <f t="shared" ref="L13:L22" si="4">K13*G13</f>
        <v>61835.118615029991</v>
      </c>
      <c r="M13" s="79">
        <v>0</v>
      </c>
      <c r="N13" s="78">
        <f t="shared" si="1"/>
        <v>0</v>
      </c>
      <c r="O13" s="79">
        <v>0</v>
      </c>
      <c r="P13" s="80">
        <f t="shared" si="2"/>
        <v>0</v>
      </c>
    </row>
    <row r="14" spans="2:16" s="8" customFormat="1" ht="27" customHeight="1" x14ac:dyDescent="0.25">
      <c r="B14" s="12">
        <v>4</v>
      </c>
      <c r="C14" s="131" t="str">
        <f>Orçamento!C39</f>
        <v xml:space="preserve">VEDAÇÕES </v>
      </c>
      <c r="D14" s="131"/>
      <c r="E14" s="131"/>
      <c r="F14" s="131"/>
      <c r="G14" s="75">
        <f>Orçamento!L52</f>
        <v>74555.430688486507</v>
      </c>
      <c r="H14" s="76">
        <f t="shared" si="0"/>
        <v>0.13319160241152125</v>
      </c>
      <c r="I14" s="77">
        <v>0</v>
      </c>
      <c r="J14" s="78">
        <f t="shared" si="3"/>
        <v>0</v>
      </c>
      <c r="K14" s="77">
        <v>0.3</v>
      </c>
      <c r="L14" s="78">
        <f t="shared" si="4"/>
        <v>22366.629206545953</v>
      </c>
      <c r="M14" s="79">
        <v>0.7</v>
      </c>
      <c r="N14" s="78">
        <f>M14*G14</f>
        <v>52188.801481940551</v>
      </c>
      <c r="O14" s="79">
        <v>0</v>
      </c>
      <c r="P14" s="80">
        <f t="shared" si="2"/>
        <v>0</v>
      </c>
    </row>
    <row r="15" spans="2:16" s="8" customFormat="1" ht="27" customHeight="1" x14ac:dyDescent="0.25">
      <c r="B15" s="12">
        <v>5</v>
      </c>
      <c r="C15" s="131" t="str">
        <f>Orçamento!C53</f>
        <v xml:space="preserve">COBERTURA </v>
      </c>
      <c r="D15" s="131"/>
      <c r="E15" s="131"/>
      <c r="F15" s="131"/>
      <c r="G15" s="75">
        <f>Orçamento!L64</f>
        <v>207777.29621609999</v>
      </c>
      <c r="H15" s="76">
        <f t="shared" si="0"/>
        <v>0.37118947301620719</v>
      </c>
      <c r="I15" s="77">
        <v>0</v>
      </c>
      <c r="J15" s="78">
        <f t="shared" si="3"/>
        <v>0</v>
      </c>
      <c r="K15" s="77">
        <v>0</v>
      </c>
      <c r="L15" s="78">
        <f t="shared" si="4"/>
        <v>0</v>
      </c>
      <c r="M15" s="79">
        <v>1</v>
      </c>
      <c r="N15" s="78">
        <f t="shared" ref="N15:N22" si="5">M15*G15</f>
        <v>207777.29621609999</v>
      </c>
      <c r="O15" s="79">
        <v>0</v>
      </c>
      <c r="P15" s="80">
        <f t="shared" si="2"/>
        <v>0</v>
      </c>
    </row>
    <row r="16" spans="2:16" s="8" customFormat="1" ht="27" customHeight="1" x14ac:dyDescent="0.25">
      <c r="B16" s="12">
        <v>6</v>
      </c>
      <c r="C16" s="131" t="str">
        <f>Orçamento!C65</f>
        <v xml:space="preserve">PISOS INTERNOS </v>
      </c>
      <c r="D16" s="131"/>
      <c r="E16" s="131"/>
      <c r="F16" s="131"/>
      <c r="G16" s="75">
        <f>Orçamento!L78</f>
        <v>32228.757596879997</v>
      </c>
      <c r="H16" s="76">
        <f t="shared" si="0"/>
        <v>5.7575951589584687E-2</v>
      </c>
      <c r="I16" s="77">
        <v>0</v>
      </c>
      <c r="J16" s="78">
        <f t="shared" si="3"/>
        <v>0</v>
      </c>
      <c r="K16" s="77">
        <v>0</v>
      </c>
      <c r="L16" s="78">
        <f t="shared" si="4"/>
        <v>0</v>
      </c>
      <c r="M16" s="79">
        <v>0</v>
      </c>
      <c r="N16" s="78">
        <f t="shared" si="5"/>
        <v>0</v>
      </c>
      <c r="O16" s="79">
        <v>1</v>
      </c>
      <c r="P16" s="80">
        <f>O16*G16</f>
        <v>32228.757596879997</v>
      </c>
    </row>
    <row r="17" spans="2:78" s="8" customFormat="1" ht="27" customHeight="1" x14ac:dyDescent="0.25">
      <c r="B17" s="12">
        <v>7</v>
      </c>
      <c r="C17" s="131" t="str">
        <f>Orçamento!C79</f>
        <v xml:space="preserve">PINTURA </v>
      </c>
      <c r="D17" s="131"/>
      <c r="E17" s="131"/>
      <c r="F17" s="131"/>
      <c r="G17" s="75">
        <f>Orçamento!L81</f>
        <v>25397.312717640001</v>
      </c>
      <c r="H17" s="76">
        <f t="shared" si="0"/>
        <v>4.5371728746935749E-2</v>
      </c>
      <c r="I17" s="77">
        <v>0</v>
      </c>
      <c r="J17" s="78">
        <f t="shared" si="3"/>
        <v>0</v>
      </c>
      <c r="K17" s="77">
        <v>0</v>
      </c>
      <c r="L17" s="78">
        <f t="shared" si="4"/>
        <v>0</v>
      </c>
      <c r="M17" s="79">
        <v>0</v>
      </c>
      <c r="N17" s="78">
        <f t="shared" si="5"/>
        <v>0</v>
      </c>
      <c r="O17" s="79">
        <v>1</v>
      </c>
      <c r="P17" s="80">
        <f t="shared" ref="P17:P22" si="6">O17*G17</f>
        <v>25397.312717640001</v>
      </c>
    </row>
    <row r="18" spans="2:78" s="8" customFormat="1" ht="27" customHeight="1" x14ac:dyDescent="0.25">
      <c r="B18" s="12">
        <v>8</v>
      </c>
      <c r="C18" s="131" t="str">
        <f>Orçamento!C82</f>
        <v>INSTALAÇÕES ELÉTRICAS</v>
      </c>
      <c r="D18" s="131"/>
      <c r="E18" s="131"/>
      <c r="F18" s="131"/>
      <c r="G18" s="75">
        <f>Orçamento!L97</f>
        <v>33806.898975000004</v>
      </c>
      <c r="H18" s="76">
        <f t="shared" si="0"/>
        <v>6.0395265716572756E-2</v>
      </c>
      <c r="I18" s="77">
        <v>0.21</v>
      </c>
      <c r="J18" s="78">
        <f t="shared" si="3"/>
        <v>7099.4487847500004</v>
      </c>
      <c r="K18" s="77">
        <v>0</v>
      </c>
      <c r="L18" s="78">
        <f t="shared" si="4"/>
        <v>0</v>
      </c>
      <c r="M18" s="79">
        <v>0</v>
      </c>
      <c r="N18" s="78">
        <f t="shared" si="5"/>
        <v>0</v>
      </c>
      <c r="O18" s="79">
        <v>0.79</v>
      </c>
      <c r="P18" s="80">
        <f t="shared" si="6"/>
        <v>26707.450190250005</v>
      </c>
    </row>
    <row r="19" spans="2:78" s="8" customFormat="1" ht="27" customHeight="1" x14ac:dyDescent="0.25">
      <c r="B19" s="12">
        <v>9</v>
      </c>
      <c r="C19" s="131" t="str">
        <f>Orçamento!C98</f>
        <v xml:space="preserve">ESQUADRIAS </v>
      </c>
      <c r="D19" s="131"/>
      <c r="E19" s="131"/>
      <c r="F19" s="131"/>
      <c r="G19" s="75">
        <f>Orçamento!L102</f>
        <v>7449.6517950480011</v>
      </c>
      <c r="H19" s="76">
        <f t="shared" si="0"/>
        <v>1.3308635612825153E-2</v>
      </c>
      <c r="I19" s="77">
        <v>0</v>
      </c>
      <c r="J19" s="78">
        <f t="shared" si="3"/>
        <v>0</v>
      </c>
      <c r="K19" s="77">
        <v>0</v>
      </c>
      <c r="L19" s="78">
        <f t="shared" si="4"/>
        <v>0</v>
      </c>
      <c r="M19" s="79">
        <v>0</v>
      </c>
      <c r="N19" s="78">
        <f t="shared" si="5"/>
        <v>0</v>
      </c>
      <c r="O19" s="79">
        <v>1</v>
      </c>
      <c r="P19" s="80">
        <f t="shared" si="6"/>
        <v>7449.6517950480011</v>
      </c>
    </row>
    <row r="20" spans="2:78" s="8" customFormat="1" ht="27" customHeight="1" x14ac:dyDescent="0.25">
      <c r="B20" s="12">
        <v>10</v>
      </c>
      <c r="C20" s="131" t="str">
        <f>Orçamento!C103</f>
        <v xml:space="preserve">ACESSIBILIDADE  </v>
      </c>
      <c r="D20" s="131"/>
      <c r="E20" s="131"/>
      <c r="F20" s="131"/>
      <c r="G20" s="75">
        <f>Orçamento!L105</f>
        <v>2317.4874</v>
      </c>
      <c r="H20" s="76">
        <f t="shared" si="0"/>
        <v>4.140139189380037E-3</v>
      </c>
      <c r="I20" s="77">
        <v>0</v>
      </c>
      <c r="J20" s="78">
        <f t="shared" si="3"/>
        <v>0</v>
      </c>
      <c r="K20" s="77">
        <v>0</v>
      </c>
      <c r="L20" s="78">
        <f t="shared" si="4"/>
        <v>0</v>
      </c>
      <c r="M20" s="79">
        <v>0</v>
      </c>
      <c r="N20" s="78">
        <f t="shared" si="5"/>
        <v>0</v>
      </c>
      <c r="O20" s="79">
        <v>1</v>
      </c>
      <c r="P20" s="80">
        <f t="shared" si="6"/>
        <v>2317.4874</v>
      </c>
    </row>
    <row r="21" spans="2:78" s="8" customFormat="1" ht="27" customHeight="1" x14ac:dyDescent="0.25">
      <c r="B21" s="12">
        <v>11</v>
      </c>
      <c r="C21" s="131" t="str">
        <f>Orçamento!C106</f>
        <v>INSTALAÇÕES DO SISTEMA PREVENTICO CONTRA INCÊNDIO</v>
      </c>
      <c r="D21" s="131"/>
      <c r="E21" s="131"/>
      <c r="F21" s="131"/>
      <c r="G21" s="75">
        <f>Orçamento!L110</f>
        <v>677.85006299999998</v>
      </c>
      <c r="H21" s="76">
        <f t="shared" si="0"/>
        <v>1.2109639130508444E-3</v>
      </c>
      <c r="I21" s="77">
        <v>0</v>
      </c>
      <c r="J21" s="78">
        <f t="shared" si="3"/>
        <v>0</v>
      </c>
      <c r="K21" s="77">
        <v>0</v>
      </c>
      <c r="L21" s="78">
        <f t="shared" si="4"/>
        <v>0</v>
      </c>
      <c r="M21" s="79">
        <v>0</v>
      </c>
      <c r="N21" s="78">
        <f t="shared" si="5"/>
        <v>0</v>
      </c>
      <c r="O21" s="79">
        <v>1</v>
      </c>
      <c r="P21" s="80">
        <f t="shared" si="6"/>
        <v>677.85006299999998</v>
      </c>
    </row>
    <row r="22" spans="2:78" s="8" customFormat="1" ht="27" customHeight="1" x14ac:dyDescent="0.25">
      <c r="B22" s="12">
        <v>12</v>
      </c>
      <c r="C22" s="131" t="str">
        <f>Orçamento!C111</f>
        <v>LIMPEZA FINAL</v>
      </c>
      <c r="D22" s="131"/>
      <c r="E22" s="131"/>
      <c r="F22" s="131"/>
      <c r="G22" s="75">
        <f>Orçamento!L113</f>
        <v>1144.87293651</v>
      </c>
      <c r="H22" s="76">
        <f t="shared" si="0"/>
        <v>2.0452897872522001E-3</v>
      </c>
      <c r="I22" s="77">
        <v>0</v>
      </c>
      <c r="J22" s="78">
        <f t="shared" si="3"/>
        <v>0</v>
      </c>
      <c r="K22" s="77">
        <v>0</v>
      </c>
      <c r="L22" s="78">
        <f t="shared" si="4"/>
        <v>0</v>
      </c>
      <c r="M22" s="79">
        <v>0</v>
      </c>
      <c r="N22" s="78">
        <f t="shared" si="5"/>
        <v>0</v>
      </c>
      <c r="O22" s="79">
        <v>1</v>
      </c>
      <c r="P22" s="80">
        <f t="shared" si="6"/>
        <v>1144.87293651</v>
      </c>
    </row>
    <row r="23" spans="2:78" s="8" customFormat="1" ht="27" customHeight="1" x14ac:dyDescent="0.25">
      <c r="B23" s="134" t="s">
        <v>329</v>
      </c>
      <c r="C23" s="134"/>
      <c r="D23" s="134"/>
      <c r="E23" s="134"/>
      <c r="F23" s="134"/>
      <c r="G23" s="83">
        <f>SUM(G11:G22)</f>
        <v>559760.74571227899</v>
      </c>
      <c r="H23" s="84">
        <f>SUM(H11:H22)</f>
        <v>0.99999999999999989</v>
      </c>
      <c r="I23" s="142"/>
      <c r="J23" s="142"/>
      <c r="K23" s="142"/>
      <c r="L23" s="142"/>
      <c r="M23" s="142"/>
      <c r="N23" s="142"/>
      <c r="O23" s="142"/>
      <c r="P23" s="142"/>
    </row>
    <row r="24" spans="2:78" s="8" customFormat="1" ht="27" customHeight="1" x14ac:dyDescent="0.25">
      <c r="B24" s="126" t="s">
        <v>29</v>
      </c>
      <c r="C24" s="127"/>
      <c r="D24" s="127"/>
      <c r="E24" s="127"/>
      <c r="F24" s="127"/>
      <c r="G24" s="127"/>
      <c r="H24" s="128"/>
      <c r="I24" s="140">
        <f>SUM(J11:J22)</f>
        <v>98816.569478005331</v>
      </c>
      <c r="J24" s="140"/>
      <c r="K24" s="140">
        <f>SUM(L11:L22)</f>
        <v>105054.69583690503</v>
      </c>
      <c r="L24" s="140"/>
      <c r="M24" s="140">
        <f>SUM(N11:N22)</f>
        <v>259966.09769804054</v>
      </c>
      <c r="N24" s="140"/>
      <c r="O24" s="138">
        <f>SUM(P11:P22)</f>
        <v>95923.382699328009</v>
      </c>
      <c r="P24" s="139"/>
    </row>
    <row r="25" spans="2:78" s="8" customFormat="1" ht="27" customHeight="1" x14ac:dyDescent="0.25">
      <c r="B25" s="126" t="s">
        <v>30</v>
      </c>
      <c r="C25" s="127"/>
      <c r="D25" s="127"/>
      <c r="E25" s="127"/>
      <c r="F25" s="127"/>
      <c r="G25" s="127"/>
      <c r="H25" s="128"/>
      <c r="I25" s="129">
        <f>I24/G23</f>
        <v>0.17653358195431187</v>
      </c>
      <c r="J25" s="129"/>
      <c r="K25" s="129">
        <f>K24/G23</f>
        <v>0.18767785458629477</v>
      </c>
      <c r="L25" s="129"/>
      <c r="M25" s="129">
        <f>M24/G23</f>
        <v>0.46442359470427202</v>
      </c>
      <c r="N25" s="129"/>
      <c r="O25" s="136">
        <f>O24/G23</f>
        <v>0.17136496875512117</v>
      </c>
      <c r="P25" s="137"/>
    </row>
    <row r="26" spans="2:78" s="8" customFormat="1" ht="27" customHeight="1" x14ac:dyDescent="0.25">
      <c r="B26" s="126" t="s">
        <v>34</v>
      </c>
      <c r="C26" s="127"/>
      <c r="D26" s="127"/>
      <c r="E26" s="127"/>
      <c r="F26" s="127"/>
      <c r="G26" s="127"/>
      <c r="H26" s="128"/>
      <c r="I26" s="140">
        <f>I24</f>
        <v>98816.569478005331</v>
      </c>
      <c r="J26" s="140"/>
      <c r="K26" s="140">
        <f>I24+K24</f>
        <v>203871.26531491036</v>
      </c>
      <c r="L26" s="140"/>
      <c r="M26" s="140">
        <f>K26+M24</f>
        <v>463837.36301295087</v>
      </c>
      <c r="N26" s="140"/>
      <c r="O26" s="138">
        <f>M26+O24</f>
        <v>559760.74571227888</v>
      </c>
      <c r="P26" s="139"/>
    </row>
    <row r="27" spans="2:78" s="8" customFormat="1" ht="27" customHeight="1" x14ac:dyDescent="0.25">
      <c r="B27" s="126" t="s">
        <v>35</v>
      </c>
      <c r="C27" s="127"/>
      <c r="D27" s="127"/>
      <c r="E27" s="127"/>
      <c r="F27" s="127"/>
      <c r="G27" s="127"/>
      <c r="H27" s="128"/>
      <c r="I27" s="129">
        <f>I25</f>
        <v>0.17653358195431187</v>
      </c>
      <c r="J27" s="129"/>
      <c r="K27" s="129">
        <f>I25+K25</f>
        <v>0.36421143654060661</v>
      </c>
      <c r="L27" s="129"/>
      <c r="M27" s="129">
        <f>K27+M25</f>
        <v>0.82863503124487869</v>
      </c>
      <c r="N27" s="129"/>
      <c r="O27" s="136">
        <f>M27+O25</f>
        <v>0.99999999999999989</v>
      </c>
      <c r="P27" s="137"/>
    </row>
    <row r="28" spans="2:78" s="68" customFormat="1" ht="31.5" customHeight="1" x14ac:dyDescent="0.25">
      <c r="I28" s="69"/>
      <c r="J28" s="70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</row>
    <row r="29" spans="2:78" s="68" customFormat="1" ht="33" customHeight="1" x14ac:dyDescent="0.25">
      <c r="B29" s="89" t="s">
        <v>327</v>
      </c>
      <c r="C29" s="89"/>
      <c r="D29" s="89"/>
      <c r="E29" s="89"/>
      <c r="F29" s="89"/>
      <c r="G29" s="73"/>
      <c r="H29" s="73"/>
      <c r="I29" s="71"/>
      <c r="J29" s="72"/>
      <c r="K29" s="73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</row>
    <row r="30" spans="2:78" s="8" customFormat="1" ht="23.25" customHeight="1" x14ac:dyDescent="0.25">
      <c r="B30" s="17"/>
      <c r="C30" s="17"/>
      <c r="D30" s="17"/>
      <c r="E30" s="17"/>
      <c r="F30" s="17"/>
      <c r="G30" s="47"/>
      <c r="H30" s="47"/>
      <c r="I30" s="47"/>
      <c r="J30" s="47"/>
      <c r="K30" s="47"/>
      <c r="L30" s="47"/>
      <c r="M30" s="47"/>
      <c r="N30" s="47"/>
      <c r="O30" s="47"/>
      <c r="P30" s="47"/>
    </row>
    <row r="31" spans="2:78" ht="21.75" customHeight="1" x14ac:dyDescent="0.25"/>
    <row r="32" spans="2:78" ht="20.25" customHeight="1" x14ac:dyDescent="0.25">
      <c r="F32" s="81" t="s">
        <v>37</v>
      </c>
      <c r="G32" s="81"/>
      <c r="H32" s="81"/>
      <c r="I32" s="81"/>
      <c r="J32" s="81"/>
      <c r="K32" s="82" t="s">
        <v>37</v>
      </c>
      <c r="L32" s="81"/>
      <c r="M32" s="81"/>
      <c r="N32" s="81"/>
    </row>
    <row r="33" spans="6:14" ht="20.25" customHeight="1" x14ac:dyDescent="0.25">
      <c r="F33" s="81" t="s">
        <v>36</v>
      </c>
      <c r="G33" s="81"/>
      <c r="H33" s="81"/>
      <c r="I33" s="81"/>
      <c r="J33" s="81"/>
      <c r="K33" s="82" t="s">
        <v>69</v>
      </c>
      <c r="L33" s="81"/>
      <c r="M33" s="81"/>
      <c r="N33" s="81"/>
    </row>
    <row r="34" spans="6:14" ht="20.25" customHeight="1" x14ac:dyDescent="0.25">
      <c r="F34" s="81" t="s">
        <v>38</v>
      </c>
      <c r="G34" s="81"/>
      <c r="H34" s="81"/>
      <c r="I34" s="81"/>
      <c r="J34" s="81"/>
      <c r="K34" s="82" t="s">
        <v>253</v>
      </c>
      <c r="L34" s="81"/>
      <c r="M34" s="81"/>
      <c r="N34" s="81"/>
    </row>
    <row r="35" spans="6:14" ht="20.25" customHeight="1" x14ac:dyDescent="0.25">
      <c r="F35" s="81" t="s">
        <v>16</v>
      </c>
      <c r="G35" s="81"/>
      <c r="H35" s="81"/>
      <c r="I35" s="81"/>
      <c r="J35" s="81"/>
      <c r="K35" s="82" t="s">
        <v>254</v>
      </c>
      <c r="L35" s="81"/>
      <c r="M35" s="81"/>
      <c r="N35" s="81"/>
    </row>
    <row r="36" spans="6:14" ht="20.25" customHeight="1" x14ac:dyDescent="0.25">
      <c r="F36" s="81" t="s">
        <v>17</v>
      </c>
      <c r="G36" s="81"/>
      <c r="H36" s="81"/>
      <c r="I36" s="81"/>
      <c r="J36" s="81"/>
      <c r="K36" s="82"/>
      <c r="L36" s="81"/>
      <c r="M36" s="81"/>
      <c r="N36" s="81"/>
    </row>
    <row r="37" spans="6:14" ht="15" customHeight="1" x14ac:dyDescent="0.25"/>
  </sheetData>
  <dataConsolidate/>
  <mergeCells count="51">
    <mergeCell ref="B29:F29"/>
    <mergeCell ref="D2:P2"/>
    <mergeCell ref="I23:P23"/>
    <mergeCell ref="I27:J27"/>
    <mergeCell ref="O24:P24"/>
    <mergeCell ref="I26:J26"/>
    <mergeCell ref="K24:L24"/>
    <mergeCell ref="E3:P3"/>
    <mergeCell ref="M9:N9"/>
    <mergeCell ref="M24:N24"/>
    <mergeCell ref="I24:J24"/>
    <mergeCell ref="C13:F13"/>
    <mergeCell ref="C15:F15"/>
    <mergeCell ref="I8:P8"/>
    <mergeCell ref="O9:P9"/>
    <mergeCell ref="H8:H10"/>
    <mergeCell ref="O25:P25"/>
    <mergeCell ref="O26:P26"/>
    <mergeCell ref="O27:P27"/>
    <mergeCell ref="B25:H25"/>
    <mergeCell ref="B27:H27"/>
    <mergeCell ref="B26:H26"/>
    <mergeCell ref="K25:L25"/>
    <mergeCell ref="K26:L26"/>
    <mergeCell ref="K27:L27"/>
    <mergeCell ref="M25:N25"/>
    <mergeCell ref="M26:N26"/>
    <mergeCell ref="M27:N27"/>
    <mergeCell ref="C20:F20"/>
    <mergeCell ref="C21:F21"/>
    <mergeCell ref="C22:F22"/>
    <mergeCell ref="D6:P6"/>
    <mergeCell ref="K9:L9"/>
    <mergeCell ref="C19:F19"/>
    <mergeCell ref="C17:F17"/>
    <mergeCell ref="B24:H24"/>
    <mergeCell ref="I25:J25"/>
    <mergeCell ref="B1:C6"/>
    <mergeCell ref="D1:P1"/>
    <mergeCell ref="C14:F14"/>
    <mergeCell ref="C11:F11"/>
    <mergeCell ref="I9:J9"/>
    <mergeCell ref="C12:F12"/>
    <mergeCell ref="B8:B10"/>
    <mergeCell ref="C18:F18"/>
    <mergeCell ref="G8:G10"/>
    <mergeCell ref="C8:F10"/>
    <mergeCell ref="E4:P4"/>
    <mergeCell ref="E5:P5"/>
    <mergeCell ref="B23:F23"/>
    <mergeCell ref="C16:F16"/>
  </mergeCells>
  <printOptions horizontalCentered="1"/>
  <pageMargins left="0.31496062992125984" right="0.27559055118110237" top="0.39370078740157483" bottom="0.39370078740157483" header="0.31496062992125984" footer="0.23622047244094491"/>
  <pageSetup paperSize="9" scale="67" fitToHeight="0" orientation="landscape" r:id="rId1"/>
  <headerFooter>
    <oddFooter xml:space="preserve">&amp;CTR CONSTRUTORA E ENGENHARIA LTA - CRONOGRAMA FÍSICO FINANCEIRO - COMPLEXO ESCOLA ESPECIAL - BLOCO 03, PARTE A - &amp;P de &amp;N  </oddFooter>
  </headerFooter>
  <rowBreaks count="1" manualBreakCount="1">
    <brk id="27" min="1" max="1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Z370"/>
  <sheetViews>
    <sheetView zoomScale="70" zoomScaleNormal="70" workbookViewId="0">
      <selection activeCell="E3" sqref="E3:F3"/>
    </sheetView>
  </sheetViews>
  <sheetFormatPr defaultColWidth="9.140625" defaultRowHeight="15" x14ac:dyDescent="0.25"/>
  <cols>
    <col min="1" max="1" width="1.42578125" style="19" customWidth="1"/>
    <col min="2" max="3" width="8.85546875" style="27" customWidth="1"/>
    <col min="4" max="4" width="17.42578125" style="27" customWidth="1"/>
    <col min="5" max="5" width="12.42578125" style="27" bestFit="1" customWidth="1"/>
    <col min="6" max="6" width="97.42578125" style="27" customWidth="1"/>
    <col min="7" max="7" width="14.7109375" style="28" customWidth="1"/>
    <col min="8" max="8" width="7.85546875" style="27" customWidth="1"/>
    <col min="9" max="9" width="11.7109375" style="36" customWidth="1"/>
    <col min="10" max="10" width="19.7109375" style="33" customWidth="1"/>
    <col min="11" max="12" width="18.85546875" style="27" customWidth="1"/>
    <col min="13" max="16384" width="9.140625" style="19"/>
  </cols>
  <sheetData>
    <row r="1" spans="2:12" ht="30" customHeight="1" x14ac:dyDescent="0.25">
      <c r="B1" s="123"/>
      <c r="C1" s="123"/>
      <c r="D1" s="147" t="s">
        <v>256</v>
      </c>
      <c r="E1" s="148"/>
      <c r="F1" s="148"/>
      <c r="G1" s="148"/>
      <c r="H1" s="148"/>
      <c r="I1" s="148"/>
      <c r="J1" s="148"/>
      <c r="K1" s="148"/>
      <c r="L1" s="149"/>
    </row>
    <row r="2" spans="2:12" ht="6" customHeight="1" x14ac:dyDescent="0.25">
      <c r="B2" s="123"/>
      <c r="C2" s="123"/>
      <c r="D2" s="118"/>
      <c r="E2" s="119"/>
      <c r="F2" s="119"/>
      <c r="G2" s="119"/>
      <c r="H2" s="119"/>
      <c r="I2" s="119"/>
      <c r="J2" s="120"/>
      <c r="K2" s="120"/>
      <c r="L2" s="121"/>
    </row>
    <row r="3" spans="2:12" ht="25.5" customHeight="1" x14ac:dyDescent="0.25">
      <c r="B3" s="123"/>
      <c r="C3" s="123"/>
      <c r="D3" s="85" t="s">
        <v>320</v>
      </c>
      <c r="E3" s="125" t="s">
        <v>351</v>
      </c>
      <c r="F3" s="143"/>
      <c r="G3" s="59">
        <v>1.2273000000000001</v>
      </c>
      <c r="H3" s="60"/>
      <c r="I3" s="61"/>
      <c r="J3" s="58" t="s">
        <v>20</v>
      </c>
      <c r="K3" s="122">
        <v>0.2273</v>
      </c>
      <c r="L3" s="122"/>
    </row>
    <row r="4" spans="2:12" ht="25.5" customHeight="1" x14ac:dyDescent="0.25">
      <c r="B4" s="123"/>
      <c r="C4" s="123"/>
      <c r="D4" s="85" t="s">
        <v>7</v>
      </c>
      <c r="E4" s="96" t="s">
        <v>282</v>
      </c>
      <c r="F4" s="97"/>
      <c r="G4" s="62"/>
      <c r="H4" s="60"/>
      <c r="I4" s="61"/>
      <c r="J4" s="58" t="s">
        <v>19</v>
      </c>
      <c r="K4" s="105" t="s">
        <v>22</v>
      </c>
      <c r="L4" s="105"/>
    </row>
    <row r="5" spans="2:12" ht="25.5" customHeight="1" x14ac:dyDescent="0.25">
      <c r="B5" s="123"/>
      <c r="C5" s="123"/>
      <c r="D5" s="85" t="s">
        <v>5</v>
      </c>
      <c r="E5" s="96" t="s">
        <v>255</v>
      </c>
      <c r="F5" s="97"/>
      <c r="G5" s="62"/>
      <c r="H5" s="63"/>
      <c r="I5" s="61"/>
      <c r="J5" s="58" t="s">
        <v>18</v>
      </c>
      <c r="K5" s="107">
        <v>45292</v>
      </c>
      <c r="L5" s="105"/>
    </row>
    <row r="6" spans="2:12" ht="10.5" customHeight="1" x14ac:dyDescent="0.25">
      <c r="B6" s="114"/>
      <c r="C6" s="115"/>
      <c r="D6" s="115"/>
      <c r="E6" s="116"/>
      <c r="F6" s="116"/>
      <c r="G6" s="116"/>
      <c r="H6" s="116"/>
      <c r="I6" s="116"/>
      <c r="J6" s="115"/>
      <c r="K6" s="115"/>
      <c r="L6" s="117"/>
    </row>
    <row r="7" spans="2:12" s="20" customFormat="1" ht="54.75" customHeight="1" x14ac:dyDescent="0.25">
      <c r="B7" s="54" t="s">
        <v>8</v>
      </c>
      <c r="C7" s="106" t="s">
        <v>72</v>
      </c>
      <c r="D7" s="106"/>
      <c r="E7" s="106"/>
      <c r="F7" s="106"/>
      <c r="G7" s="55" t="s">
        <v>10</v>
      </c>
      <c r="H7" s="55" t="s">
        <v>3</v>
      </c>
      <c r="I7" s="56" t="s">
        <v>4</v>
      </c>
      <c r="J7" s="57" t="s">
        <v>331</v>
      </c>
      <c r="K7" s="55" t="s">
        <v>11</v>
      </c>
      <c r="L7" s="55" t="s">
        <v>12</v>
      </c>
    </row>
    <row r="8" spans="2:12" s="20" customFormat="1" ht="33" customHeight="1" x14ac:dyDescent="0.25">
      <c r="B8" s="14">
        <v>1</v>
      </c>
      <c r="C8" s="151" t="s">
        <v>73</v>
      </c>
      <c r="D8" s="152"/>
      <c r="E8" s="152"/>
      <c r="F8" s="152"/>
      <c r="G8" s="152"/>
      <c r="H8" s="152"/>
      <c r="I8" s="152"/>
      <c r="J8" s="152"/>
      <c r="K8" s="152"/>
      <c r="L8" s="153"/>
    </row>
    <row r="9" spans="2:12" s="20" customFormat="1" ht="39.75" customHeight="1" x14ac:dyDescent="0.25">
      <c r="B9" s="12" t="s">
        <v>75</v>
      </c>
      <c r="C9" s="102" t="s">
        <v>330</v>
      </c>
      <c r="D9" s="103"/>
      <c r="E9" s="103"/>
      <c r="F9" s="104"/>
      <c r="G9" s="11">
        <v>92415</v>
      </c>
      <c r="H9" s="11" t="s">
        <v>47</v>
      </c>
      <c r="I9" s="16">
        <f>(0.25+0.25+0.35+0.35)*7.4*18</f>
        <v>159.84</v>
      </c>
      <c r="J9" s="40">
        <v>140.66999999999999</v>
      </c>
      <c r="K9" s="6">
        <f t="shared" ref="K9:K16" si="0">J9*$G$3</f>
        <v>172.64429099999998</v>
      </c>
      <c r="L9" s="7">
        <f>K9*I9</f>
        <v>27595.463473439999</v>
      </c>
    </row>
    <row r="10" spans="2:12" s="20" customFormat="1" ht="39.75" customHeight="1" x14ac:dyDescent="0.25">
      <c r="B10" s="12" t="s">
        <v>0</v>
      </c>
      <c r="C10" s="102" t="s">
        <v>257</v>
      </c>
      <c r="D10" s="103"/>
      <c r="E10" s="103"/>
      <c r="F10" s="104"/>
      <c r="G10" s="11">
        <v>92915</v>
      </c>
      <c r="H10" s="11" t="s">
        <v>48</v>
      </c>
      <c r="I10" s="16">
        <f>1.85*80</f>
        <v>148</v>
      </c>
      <c r="J10" s="40">
        <v>17.97</v>
      </c>
      <c r="K10" s="6">
        <f t="shared" si="0"/>
        <v>22.054580999999999</v>
      </c>
      <c r="L10" s="7">
        <f t="shared" ref="L10" si="1">K10*I10</f>
        <v>3264.077988</v>
      </c>
    </row>
    <row r="11" spans="2:12" s="20" customFormat="1" ht="39.75" customHeight="1" x14ac:dyDescent="0.25">
      <c r="B11" s="12" t="s">
        <v>77</v>
      </c>
      <c r="C11" s="102" t="s">
        <v>263</v>
      </c>
      <c r="D11" s="103"/>
      <c r="E11" s="103"/>
      <c r="F11" s="104"/>
      <c r="G11" s="11">
        <v>92921</v>
      </c>
      <c r="H11" s="11" t="s">
        <v>48</v>
      </c>
      <c r="I11" s="16">
        <f>11.6*115</f>
        <v>1334</v>
      </c>
      <c r="J11" s="40">
        <v>9.61</v>
      </c>
      <c r="K11" s="6">
        <f t="shared" si="0"/>
        <v>11.794352999999999</v>
      </c>
      <c r="L11" s="7">
        <f t="shared" ref="L11:L16" si="2">I11*K11</f>
        <v>15733.666901999999</v>
      </c>
    </row>
    <row r="12" spans="2:12" s="20" customFormat="1" ht="39.75" customHeight="1" x14ac:dyDescent="0.25">
      <c r="B12" s="12" t="s">
        <v>78</v>
      </c>
      <c r="C12" s="102" t="s">
        <v>258</v>
      </c>
      <c r="D12" s="103"/>
      <c r="E12" s="103"/>
      <c r="F12" s="104"/>
      <c r="G12" s="11">
        <v>103688</v>
      </c>
      <c r="H12" s="11" t="s">
        <v>46</v>
      </c>
      <c r="I12" s="16">
        <f>0.25*0.35*7.4*18</f>
        <v>11.654999999999999</v>
      </c>
      <c r="J12" s="40">
        <v>778.48</v>
      </c>
      <c r="K12" s="6">
        <f t="shared" si="0"/>
        <v>955.42850400000009</v>
      </c>
      <c r="L12" s="7">
        <f t="shared" si="2"/>
        <v>11135.51921412</v>
      </c>
    </row>
    <row r="13" spans="2:12" s="20" customFormat="1" ht="39.75" customHeight="1" x14ac:dyDescent="0.25">
      <c r="B13" s="12" t="s">
        <v>79</v>
      </c>
      <c r="C13" s="102" t="s">
        <v>259</v>
      </c>
      <c r="D13" s="103"/>
      <c r="E13" s="103"/>
      <c r="F13" s="104"/>
      <c r="G13" s="11">
        <v>88240</v>
      </c>
      <c r="H13" s="11" t="s">
        <v>40</v>
      </c>
      <c r="I13" s="16">
        <v>12</v>
      </c>
      <c r="J13" s="40">
        <v>27.17</v>
      </c>
      <c r="K13" s="6">
        <f t="shared" si="0"/>
        <v>33.345741000000004</v>
      </c>
      <c r="L13" s="7">
        <f t="shared" si="2"/>
        <v>400.14889200000005</v>
      </c>
    </row>
    <row r="14" spans="2:12" s="20" customFormat="1" ht="39.75" customHeight="1" x14ac:dyDescent="0.25">
      <c r="B14" s="12" t="s">
        <v>80</v>
      </c>
      <c r="C14" s="102" t="s">
        <v>260</v>
      </c>
      <c r="D14" s="103"/>
      <c r="E14" s="103"/>
      <c r="F14" s="104"/>
      <c r="G14" s="11">
        <v>88278</v>
      </c>
      <c r="H14" s="11" t="s">
        <v>40</v>
      </c>
      <c r="I14" s="16">
        <v>12</v>
      </c>
      <c r="J14" s="40">
        <v>30.19</v>
      </c>
      <c r="K14" s="6">
        <f t="shared" si="0"/>
        <v>37.052187000000004</v>
      </c>
      <c r="L14" s="7">
        <f t="shared" si="2"/>
        <v>444.62624400000004</v>
      </c>
    </row>
    <row r="15" spans="2:12" s="20" customFormat="1" ht="39.75" customHeight="1" x14ac:dyDescent="0.25">
      <c r="B15" s="12" t="s">
        <v>81</v>
      </c>
      <c r="C15" s="102" t="s">
        <v>261</v>
      </c>
      <c r="D15" s="103"/>
      <c r="E15" s="103"/>
      <c r="F15" s="104"/>
      <c r="G15" s="11">
        <v>93287</v>
      </c>
      <c r="H15" s="11" t="s">
        <v>40</v>
      </c>
      <c r="I15" s="16">
        <v>6</v>
      </c>
      <c r="J15" s="40">
        <v>352.24</v>
      </c>
      <c r="K15" s="6">
        <f t="shared" si="0"/>
        <v>432.30415200000004</v>
      </c>
      <c r="L15" s="7">
        <f t="shared" si="2"/>
        <v>2593.824912</v>
      </c>
    </row>
    <row r="16" spans="2:12" s="20" customFormat="1" ht="39.75" customHeight="1" x14ac:dyDescent="0.25">
      <c r="B16" s="12" t="s">
        <v>82</v>
      </c>
      <c r="C16" s="102" t="s">
        <v>262</v>
      </c>
      <c r="D16" s="103"/>
      <c r="E16" s="103"/>
      <c r="F16" s="104"/>
      <c r="G16" s="11">
        <v>93288</v>
      </c>
      <c r="H16" s="11" t="s">
        <v>74</v>
      </c>
      <c r="I16" s="16">
        <f>11.66*0.25</f>
        <v>2.915</v>
      </c>
      <c r="J16" s="40">
        <v>186.66</v>
      </c>
      <c r="K16" s="6">
        <f t="shared" si="0"/>
        <v>229.087818</v>
      </c>
      <c r="L16" s="7">
        <f t="shared" si="2"/>
        <v>667.79098947</v>
      </c>
    </row>
    <row r="17" spans="2:12" s="20" customFormat="1" ht="33" customHeight="1" x14ac:dyDescent="0.25">
      <c r="B17" s="90" t="s">
        <v>338</v>
      </c>
      <c r="C17" s="91"/>
      <c r="D17" s="91"/>
      <c r="E17" s="91"/>
      <c r="F17" s="91"/>
      <c r="G17" s="91"/>
      <c r="H17" s="91"/>
      <c r="I17" s="91"/>
      <c r="J17" s="91"/>
      <c r="K17" s="92"/>
      <c r="L17" s="15">
        <f>SUM(L9:L16)</f>
        <v>61835.118615029991</v>
      </c>
    </row>
    <row r="18" spans="2:12" s="20" customFormat="1" ht="33" customHeight="1" x14ac:dyDescent="0.25">
      <c r="B18" s="14">
        <v>2</v>
      </c>
      <c r="C18" s="151" t="s">
        <v>113</v>
      </c>
      <c r="D18" s="152"/>
      <c r="E18" s="152"/>
      <c r="F18" s="152"/>
      <c r="G18" s="152"/>
      <c r="H18" s="152"/>
      <c r="I18" s="152"/>
      <c r="J18" s="152"/>
      <c r="K18" s="152"/>
      <c r="L18" s="153"/>
    </row>
    <row r="19" spans="2:12" s="20" customFormat="1" ht="39.75" customHeight="1" x14ac:dyDescent="0.25">
      <c r="B19" s="12" t="s">
        <v>1</v>
      </c>
      <c r="C19" s="102" t="s">
        <v>264</v>
      </c>
      <c r="D19" s="103"/>
      <c r="E19" s="103"/>
      <c r="F19" s="104"/>
      <c r="G19" s="11">
        <v>3993</v>
      </c>
      <c r="H19" s="11" t="s">
        <v>47</v>
      </c>
      <c r="I19" s="16">
        <f>1.5*1.4</f>
        <v>2.0999999999999996</v>
      </c>
      <c r="J19" s="40">
        <v>134.18</v>
      </c>
      <c r="K19" s="6">
        <f t="shared" ref="K19:K29" si="3">J19*$G$3</f>
        <v>164.67911400000003</v>
      </c>
      <c r="L19" s="7">
        <f t="shared" ref="L19:L29" si="4">I19*K19</f>
        <v>345.82613939999999</v>
      </c>
    </row>
    <row r="20" spans="2:12" s="20" customFormat="1" ht="39.75" customHeight="1" x14ac:dyDescent="0.25">
      <c r="B20" s="12" t="s">
        <v>41</v>
      </c>
      <c r="C20" s="102" t="s">
        <v>265</v>
      </c>
      <c r="D20" s="103"/>
      <c r="E20" s="103"/>
      <c r="F20" s="104"/>
      <c r="G20" s="11">
        <v>5069</v>
      </c>
      <c r="H20" s="11" t="s">
        <v>48</v>
      </c>
      <c r="I20" s="16">
        <f>70*0.004</f>
        <v>0.28000000000000003</v>
      </c>
      <c r="J20" s="40">
        <v>15.55</v>
      </c>
      <c r="K20" s="6">
        <f t="shared" si="3"/>
        <v>19.084515000000003</v>
      </c>
      <c r="L20" s="7">
        <f t="shared" si="4"/>
        <v>5.343664200000001</v>
      </c>
    </row>
    <row r="21" spans="2:12" s="20" customFormat="1" ht="39.75" customHeight="1" x14ac:dyDescent="0.25">
      <c r="B21" s="12" t="s">
        <v>206</v>
      </c>
      <c r="C21" s="102" t="s">
        <v>266</v>
      </c>
      <c r="D21" s="103"/>
      <c r="E21" s="103"/>
      <c r="F21" s="104"/>
      <c r="G21" s="11">
        <v>20209</v>
      </c>
      <c r="H21" s="11" t="s">
        <v>111</v>
      </c>
      <c r="I21" s="16">
        <f>1.5+1.5+1.4+1.4+2</f>
        <v>7.8000000000000007</v>
      </c>
      <c r="J21" s="40">
        <v>29.98</v>
      </c>
      <c r="K21" s="6">
        <f t="shared" si="3"/>
        <v>36.794454000000002</v>
      </c>
      <c r="L21" s="7">
        <f t="shared" si="4"/>
        <v>286.99674120000003</v>
      </c>
    </row>
    <row r="22" spans="2:12" s="20" customFormat="1" ht="39.75" customHeight="1" x14ac:dyDescent="0.25">
      <c r="B22" s="12" t="s">
        <v>207</v>
      </c>
      <c r="C22" s="102" t="s">
        <v>267</v>
      </c>
      <c r="D22" s="103"/>
      <c r="E22" s="103"/>
      <c r="F22" s="104"/>
      <c r="G22" s="11">
        <v>88239</v>
      </c>
      <c r="H22" s="11" t="s">
        <v>40</v>
      </c>
      <c r="I22" s="16">
        <v>2</v>
      </c>
      <c r="J22" s="40">
        <v>28.29</v>
      </c>
      <c r="K22" s="6">
        <f t="shared" si="3"/>
        <v>34.720317000000001</v>
      </c>
      <c r="L22" s="7">
        <f t="shared" si="4"/>
        <v>69.440634000000003</v>
      </c>
    </row>
    <row r="23" spans="2:12" s="20" customFormat="1" ht="39.75" customHeight="1" x14ac:dyDescent="0.25">
      <c r="B23" s="12" t="s">
        <v>208</v>
      </c>
      <c r="C23" s="102" t="s">
        <v>268</v>
      </c>
      <c r="D23" s="103"/>
      <c r="E23" s="103"/>
      <c r="F23" s="104"/>
      <c r="G23" s="11">
        <v>88262</v>
      </c>
      <c r="H23" s="11" t="s">
        <v>40</v>
      </c>
      <c r="I23" s="16">
        <v>2</v>
      </c>
      <c r="J23" s="40">
        <v>34.31</v>
      </c>
      <c r="K23" s="6">
        <f t="shared" si="3"/>
        <v>42.108663000000007</v>
      </c>
      <c r="L23" s="7">
        <f t="shared" si="4"/>
        <v>84.217326000000014</v>
      </c>
    </row>
    <row r="24" spans="2:12" s="20" customFormat="1" ht="39.75" customHeight="1" x14ac:dyDescent="0.25">
      <c r="B24" s="12" t="s">
        <v>209</v>
      </c>
      <c r="C24" s="102" t="s">
        <v>269</v>
      </c>
      <c r="D24" s="103"/>
      <c r="E24" s="103"/>
      <c r="F24" s="104"/>
      <c r="G24" s="11">
        <v>91692</v>
      </c>
      <c r="H24" s="11" t="s">
        <v>40</v>
      </c>
      <c r="I24" s="16">
        <v>0.1</v>
      </c>
      <c r="J24" s="40">
        <v>34.01</v>
      </c>
      <c r="K24" s="6">
        <f t="shared" si="3"/>
        <v>41.740473000000001</v>
      </c>
      <c r="L24" s="7">
        <f t="shared" si="4"/>
        <v>4.1740473000000007</v>
      </c>
    </row>
    <row r="25" spans="2:12" s="20" customFormat="1" ht="54" customHeight="1" x14ac:dyDescent="0.25">
      <c r="B25" s="12" t="s">
        <v>210</v>
      </c>
      <c r="C25" s="102" t="s">
        <v>270</v>
      </c>
      <c r="D25" s="103"/>
      <c r="E25" s="103"/>
      <c r="F25" s="104"/>
      <c r="G25" s="11">
        <v>20017</v>
      </c>
      <c r="H25" s="11" t="s">
        <v>42</v>
      </c>
      <c r="I25" s="16">
        <f>(1.5+1.5+1.4+1.4)*2</f>
        <v>11.600000000000001</v>
      </c>
      <c r="J25" s="40">
        <v>10.18</v>
      </c>
      <c r="K25" s="6">
        <f t="shared" si="3"/>
        <v>12.493914</v>
      </c>
      <c r="L25" s="7">
        <f t="shared" si="4"/>
        <v>144.92940240000001</v>
      </c>
    </row>
    <row r="26" spans="2:12" s="20" customFormat="1" ht="39.75" customHeight="1" x14ac:dyDescent="0.25">
      <c r="B26" s="12" t="s">
        <v>211</v>
      </c>
      <c r="C26" s="102" t="s">
        <v>271</v>
      </c>
      <c r="D26" s="103"/>
      <c r="E26" s="103"/>
      <c r="F26" s="104"/>
      <c r="G26" s="11">
        <v>100708</v>
      </c>
      <c r="H26" s="11" t="s">
        <v>3</v>
      </c>
      <c r="I26" s="16">
        <v>1</v>
      </c>
      <c r="J26" s="40">
        <v>193.88</v>
      </c>
      <c r="K26" s="6">
        <f t="shared" si="3"/>
        <v>237.94892400000001</v>
      </c>
      <c r="L26" s="7">
        <f t="shared" si="4"/>
        <v>237.94892400000001</v>
      </c>
    </row>
    <row r="27" spans="2:12" s="20" customFormat="1" ht="39.75" customHeight="1" x14ac:dyDescent="0.25">
      <c r="B27" s="12" t="s">
        <v>212</v>
      </c>
      <c r="C27" s="102" t="s">
        <v>272</v>
      </c>
      <c r="D27" s="103"/>
      <c r="E27" s="103"/>
      <c r="F27" s="104"/>
      <c r="G27" s="11">
        <v>4777</v>
      </c>
      <c r="H27" s="11" t="s">
        <v>48</v>
      </c>
      <c r="I27" s="16">
        <f>1.52*6</f>
        <v>9.120000000000001</v>
      </c>
      <c r="J27" s="40">
        <v>7.36</v>
      </c>
      <c r="K27" s="6">
        <f t="shared" si="3"/>
        <v>9.0329280000000001</v>
      </c>
      <c r="L27" s="7">
        <f t="shared" si="4"/>
        <v>82.380303360000013</v>
      </c>
    </row>
    <row r="28" spans="2:12" s="20" customFormat="1" ht="39.75" customHeight="1" x14ac:dyDescent="0.25">
      <c r="B28" s="12" t="s">
        <v>213</v>
      </c>
      <c r="C28" s="102" t="s">
        <v>273</v>
      </c>
      <c r="D28" s="103"/>
      <c r="E28" s="103"/>
      <c r="F28" s="104"/>
      <c r="G28" s="11">
        <v>7568</v>
      </c>
      <c r="H28" s="11" t="s">
        <v>3</v>
      </c>
      <c r="I28" s="16">
        <v>12</v>
      </c>
      <c r="J28" s="40">
        <v>0.49</v>
      </c>
      <c r="K28" s="6">
        <f t="shared" si="3"/>
        <v>0.60137700000000005</v>
      </c>
      <c r="L28" s="7">
        <f t="shared" si="4"/>
        <v>7.2165240000000006</v>
      </c>
    </row>
    <row r="29" spans="2:12" s="20" customFormat="1" ht="39.75" customHeight="1" x14ac:dyDescent="0.25">
      <c r="B29" s="12" t="s">
        <v>214</v>
      </c>
      <c r="C29" s="102" t="s">
        <v>274</v>
      </c>
      <c r="D29" s="103"/>
      <c r="E29" s="103"/>
      <c r="F29" s="104"/>
      <c r="G29" s="11">
        <v>90801</v>
      </c>
      <c r="H29" s="11" t="s">
        <v>3</v>
      </c>
      <c r="I29" s="16">
        <v>1</v>
      </c>
      <c r="J29" s="40">
        <v>407.2</v>
      </c>
      <c r="K29" s="6">
        <f t="shared" si="3"/>
        <v>499.75656000000004</v>
      </c>
      <c r="L29" s="7">
        <f t="shared" si="4"/>
        <v>499.75656000000004</v>
      </c>
    </row>
    <row r="30" spans="2:12" s="20" customFormat="1" ht="33" customHeight="1" x14ac:dyDescent="0.25">
      <c r="B30" s="90" t="s">
        <v>339</v>
      </c>
      <c r="C30" s="91"/>
      <c r="D30" s="91"/>
      <c r="E30" s="91"/>
      <c r="F30" s="91"/>
      <c r="G30" s="91"/>
      <c r="H30" s="91"/>
      <c r="I30" s="91"/>
      <c r="J30" s="91"/>
      <c r="K30" s="92"/>
      <c r="L30" s="15">
        <f>SUM(L19:L29)</f>
        <v>1768.2302658600001</v>
      </c>
    </row>
    <row r="31" spans="2:12" s="20" customFormat="1" ht="33" customHeight="1" x14ac:dyDescent="0.25">
      <c r="B31" s="14">
        <v>3</v>
      </c>
      <c r="C31" s="151" t="s">
        <v>112</v>
      </c>
      <c r="D31" s="152"/>
      <c r="E31" s="152"/>
      <c r="F31" s="152"/>
      <c r="G31" s="152"/>
      <c r="H31" s="152"/>
      <c r="I31" s="152"/>
      <c r="J31" s="152"/>
      <c r="K31" s="152"/>
      <c r="L31" s="153"/>
    </row>
    <row r="32" spans="2:12" s="20" customFormat="1" ht="39.75" customHeight="1" x14ac:dyDescent="0.25">
      <c r="B32" s="12" t="s">
        <v>43</v>
      </c>
      <c r="C32" s="102" t="s">
        <v>264</v>
      </c>
      <c r="D32" s="103"/>
      <c r="E32" s="103"/>
      <c r="F32" s="104"/>
      <c r="G32" s="11">
        <v>3993</v>
      </c>
      <c r="H32" s="11" t="s">
        <v>47</v>
      </c>
      <c r="I32" s="16">
        <f>1.5*2.1</f>
        <v>3.1500000000000004</v>
      </c>
      <c r="J32" s="40">
        <v>134.18</v>
      </c>
      <c r="K32" s="6">
        <f t="shared" ref="K32:K42" si="5">J32*$G$3</f>
        <v>164.67911400000003</v>
      </c>
      <c r="L32" s="7">
        <f t="shared" ref="L32:L42" si="6">I32*K32</f>
        <v>518.73920910000015</v>
      </c>
    </row>
    <row r="33" spans="2:12" s="20" customFormat="1" ht="39.75" customHeight="1" x14ac:dyDescent="0.25">
      <c r="B33" s="12" t="s">
        <v>215</v>
      </c>
      <c r="C33" s="102" t="s">
        <v>275</v>
      </c>
      <c r="D33" s="103"/>
      <c r="E33" s="103"/>
      <c r="F33" s="104"/>
      <c r="G33" s="11">
        <v>5068</v>
      </c>
      <c r="H33" s="11" t="s">
        <v>48</v>
      </c>
      <c r="I33" s="16">
        <f>90*0.004</f>
        <v>0.36</v>
      </c>
      <c r="J33" s="40">
        <v>15.26</v>
      </c>
      <c r="K33" s="6">
        <f t="shared" si="5"/>
        <v>18.728598000000002</v>
      </c>
      <c r="L33" s="7">
        <f t="shared" si="6"/>
        <v>6.7422952800000004</v>
      </c>
    </row>
    <row r="34" spans="2:12" s="20" customFormat="1" ht="39.75" customHeight="1" x14ac:dyDescent="0.25">
      <c r="B34" s="12" t="s">
        <v>216</v>
      </c>
      <c r="C34" s="102" t="s">
        <v>266</v>
      </c>
      <c r="D34" s="103"/>
      <c r="E34" s="103"/>
      <c r="F34" s="104"/>
      <c r="G34" s="11">
        <v>20209</v>
      </c>
      <c r="H34" s="11" t="s">
        <v>111</v>
      </c>
      <c r="I34" s="16">
        <f>2.1+2.1+1.5+1.5+3+1.5</f>
        <v>11.7</v>
      </c>
      <c r="J34" s="40">
        <v>29.98</v>
      </c>
      <c r="K34" s="6">
        <f t="shared" si="5"/>
        <v>36.794454000000002</v>
      </c>
      <c r="L34" s="7">
        <f t="shared" si="6"/>
        <v>430.49511180000002</v>
      </c>
    </row>
    <row r="35" spans="2:12" s="20" customFormat="1" ht="39.75" customHeight="1" x14ac:dyDescent="0.25">
      <c r="B35" s="12" t="s">
        <v>217</v>
      </c>
      <c r="C35" s="102" t="s">
        <v>267</v>
      </c>
      <c r="D35" s="103"/>
      <c r="E35" s="103"/>
      <c r="F35" s="104"/>
      <c r="G35" s="11">
        <v>88239</v>
      </c>
      <c r="H35" s="11" t="s">
        <v>40</v>
      </c>
      <c r="I35" s="16">
        <v>3</v>
      </c>
      <c r="J35" s="40">
        <v>28.29</v>
      </c>
      <c r="K35" s="6">
        <f t="shared" si="5"/>
        <v>34.720317000000001</v>
      </c>
      <c r="L35" s="7">
        <f t="shared" si="6"/>
        <v>104.16095100000001</v>
      </c>
    </row>
    <row r="36" spans="2:12" s="20" customFormat="1" ht="39.75" customHeight="1" x14ac:dyDescent="0.25">
      <c r="B36" s="12" t="s">
        <v>218</v>
      </c>
      <c r="C36" s="102" t="s">
        <v>268</v>
      </c>
      <c r="D36" s="103"/>
      <c r="E36" s="103"/>
      <c r="F36" s="104"/>
      <c r="G36" s="11">
        <v>88262</v>
      </c>
      <c r="H36" s="11" t="s">
        <v>40</v>
      </c>
      <c r="I36" s="16">
        <v>3</v>
      </c>
      <c r="J36" s="40">
        <v>34.31</v>
      </c>
      <c r="K36" s="6">
        <f t="shared" si="5"/>
        <v>42.108663000000007</v>
      </c>
      <c r="L36" s="7">
        <f t="shared" si="6"/>
        <v>126.32598900000002</v>
      </c>
    </row>
    <row r="37" spans="2:12" s="20" customFormat="1" ht="39.75" customHeight="1" x14ac:dyDescent="0.25">
      <c r="B37" s="12" t="s">
        <v>219</v>
      </c>
      <c r="C37" s="102" t="s">
        <v>269</v>
      </c>
      <c r="D37" s="103"/>
      <c r="E37" s="103"/>
      <c r="F37" s="104"/>
      <c r="G37" s="11">
        <v>91692</v>
      </c>
      <c r="H37" s="11" t="s">
        <v>40</v>
      </c>
      <c r="I37" s="16">
        <v>0.1</v>
      </c>
      <c r="J37" s="40">
        <v>34.01</v>
      </c>
      <c r="K37" s="6">
        <f t="shared" si="5"/>
        <v>41.740473000000001</v>
      </c>
      <c r="L37" s="7">
        <f t="shared" si="6"/>
        <v>4.1740473000000007</v>
      </c>
    </row>
    <row r="38" spans="2:12" s="20" customFormat="1" ht="54" customHeight="1" x14ac:dyDescent="0.25">
      <c r="B38" s="12" t="s">
        <v>220</v>
      </c>
      <c r="C38" s="102" t="s">
        <v>270</v>
      </c>
      <c r="D38" s="103"/>
      <c r="E38" s="103"/>
      <c r="F38" s="104"/>
      <c r="G38" s="11">
        <v>20017</v>
      </c>
      <c r="H38" s="11" t="s">
        <v>42</v>
      </c>
      <c r="I38" s="16">
        <f>(2.1+2.1+1.5+1.5)*2</f>
        <v>14.4</v>
      </c>
      <c r="J38" s="40">
        <v>10.18</v>
      </c>
      <c r="K38" s="6">
        <f t="shared" si="5"/>
        <v>12.493914</v>
      </c>
      <c r="L38" s="7">
        <f t="shared" si="6"/>
        <v>179.9123616</v>
      </c>
    </row>
    <row r="39" spans="2:12" s="20" customFormat="1" ht="39.75" customHeight="1" x14ac:dyDescent="0.25">
      <c r="B39" s="12" t="s">
        <v>221</v>
      </c>
      <c r="C39" s="102" t="s">
        <v>271</v>
      </c>
      <c r="D39" s="103"/>
      <c r="E39" s="103"/>
      <c r="F39" s="104"/>
      <c r="G39" s="11">
        <v>100708</v>
      </c>
      <c r="H39" s="11" t="s">
        <v>3</v>
      </c>
      <c r="I39" s="16">
        <v>1</v>
      </c>
      <c r="J39" s="40">
        <v>193.88</v>
      </c>
      <c r="K39" s="6">
        <f t="shared" si="5"/>
        <v>237.94892400000001</v>
      </c>
      <c r="L39" s="7">
        <f t="shared" si="6"/>
        <v>237.94892400000001</v>
      </c>
    </row>
    <row r="40" spans="2:12" s="20" customFormat="1" ht="39.75" customHeight="1" x14ac:dyDescent="0.25">
      <c r="B40" s="12" t="s">
        <v>222</v>
      </c>
      <c r="C40" s="102" t="s">
        <v>272</v>
      </c>
      <c r="D40" s="103"/>
      <c r="E40" s="103"/>
      <c r="F40" s="104"/>
      <c r="G40" s="11">
        <v>4777</v>
      </c>
      <c r="H40" s="11" t="s">
        <v>48</v>
      </c>
      <c r="I40" s="16">
        <f>1.52*6</f>
        <v>9.120000000000001</v>
      </c>
      <c r="J40" s="40">
        <v>7.36</v>
      </c>
      <c r="K40" s="6">
        <f t="shared" si="5"/>
        <v>9.0329280000000001</v>
      </c>
      <c r="L40" s="7">
        <f t="shared" si="6"/>
        <v>82.380303360000013</v>
      </c>
    </row>
    <row r="41" spans="2:12" s="20" customFormat="1" ht="39.75" customHeight="1" x14ac:dyDescent="0.25">
      <c r="B41" s="12" t="s">
        <v>223</v>
      </c>
      <c r="C41" s="102" t="s">
        <v>273</v>
      </c>
      <c r="D41" s="103"/>
      <c r="E41" s="103"/>
      <c r="F41" s="104"/>
      <c r="G41" s="11">
        <v>7568</v>
      </c>
      <c r="H41" s="11" t="s">
        <v>3</v>
      </c>
      <c r="I41" s="16">
        <v>16</v>
      </c>
      <c r="J41" s="40">
        <v>0.49</v>
      </c>
      <c r="K41" s="6">
        <f t="shared" si="5"/>
        <v>0.60137700000000005</v>
      </c>
      <c r="L41" s="7">
        <f t="shared" si="6"/>
        <v>9.6220320000000008</v>
      </c>
    </row>
    <row r="42" spans="2:12" s="20" customFormat="1" ht="39.75" customHeight="1" x14ac:dyDescent="0.25">
      <c r="B42" s="12" t="s">
        <v>224</v>
      </c>
      <c r="C42" s="102" t="s">
        <v>274</v>
      </c>
      <c r="D42" s="103"/>
      <c r="E42" s="103"/>
      <c r="F42" s="104"/>
      <c r="G42" s="11">
        <v>90801</v>
      </c>
      <c r="H42" s="11" t="s">
        <v>3</v>
      </c>
      <c r="I42" s="16">
        <v>1</v>
      </c>
      <c r="J42" s="40">
        <v>407.2</v>
      </c>
      <c r="K42" s="6">
        <f t="shared" si="5"/>
        <v>499.75656000000004</v>
      </c>
      <c r="L42" s="7">
        <f t="shared" si="6"/>
        <v>499.75656000000004</v>
      </c>
    </row>
    <row r="43" spans="2:12" s="20" customFormat="1" ht="33" customHeight="1" x14ac:dyDescent="0.25">
      <c r="B43" s="90" t="s">
        <v>340</v>
      </c>
      <c r="C43" s="91"/>
      <c r="D43" s="91"/>
      <c r="E43" s="91"/>
      <c r="F43" s="91"/>
      <c r="G43" s="91"/>
      <c r="H43" s="91"/>
      <c r="I43" s="91"/>
      <c r="J43" s="91"/>
      <c r="K43" s="92"/>
      <c r="L43" s="15">
        <f>SUM(L32:L42)</f>
        <v>2200.2577844400003</v>
      </c>
    </row>
    <row r="44" spans="2:12" s="20" customFormat="1" ht="33" customHeight="1" x14ac:dyDescent="0.25">
      <c r="B44" s="14">
        <v>4</v>
      </c>
      <c r="C44" s="151" t="s">
        <v>114</v>
      </c>
      <c r="D44" s="152"/>
      <c r="E44" s="152"/>
      <c r="F44" s="152"/>
      <c r="G44" s="152"/>
      <c r="H44" s="152"/>
      <c r="I44" s="152"/>
      <c r="J44" s="152"/>
      <c r="K44" s="152"/>
      <c r="L44" s="153"/>
    </row>
    <row r="45" spans="2:12" s="20" customFormat="1" ht="39.75" customHeight="1" x14ac:dyDescent="0.25">
      <c r="B45" s="12" t="s">
        <v>6</v>
      </c>
      <c r="C45" s="102" t="s">
        <v>264</v>
      </c>
      <c r="D45" s="103"/>
      <c r="E45" s="103"/>
      <c r="F45" s="104"/>
      <c r="G45" s="11">
        <v>3993</v>
      </c>
      <c r="H45" s="11" t="s">
        <v>47</v>
      </c>
      <c r="I45" s="16">
        <f>1.2+2.1</f>
        <v>3.3</v>
      </c>
      <c r="J45" s="40">
        <v>134.18</v>
      </c>
      <c r="K45" s="6">
        <f t="shared" ref="K45:K55" si="7">J45*$G$3</f>
        <v>164.67911400000003</v>
      </c>
      <c r="L45" s="7">
        <f t="shared" ref="L45:L55" si="8">I45*K45</f>
        <v>543.44107620000011</v>
      </c>
    </row>
    <row r="46" spans="2:12" s="20" customFormat="1" ht="39.75" customHeight="1" x14ac:dyDescent="0.25">
      <c r="B46" s="12" t="s">
        <v>98</v>
      </c>
      <c r="C46" s="102" t="s">
        <v>275</v>
      </c>
      <c r="D46" s="103"/>
      <c r="E46" s="103"/>
      <c r="F46" s="104"/>
      <c r="G46" s="11">
        <v>5068</v>
      </c>
      <c r="H46" s="11" t="s">
        <v>48</v>
      </c>
      <c r="I46" s="16">
        <f>80*0.004</f>
        <v>0.32</v>
      </c>
      <c r="J46" s="40">
        <v>15.26</v>
      </c>
      <c r="K46" s="6">
        <f t="shared" si="7"/>
        <v>18.728598000000002</v>
      </c>
      <c r="L46" s="7">
        <f t="shared" si="8"/>
        <v>5.9931513600000006</v>
      </c>
    </row>
    <row r="47" spans="2:12" s="20" customFormat="1" ht="39.75" customHeight="1" x14ac:dyDescent="0.25">
      <c r="B47" s="12" t="s">
        <v>225</v>
      </c>
      <c r="C47" s="102" t="s">
        <v>266</v>
      </c>
      <c r="D47" s="103"/>
      <c r="E47" s="103"/>
      <c r="F47" s="104"/>
      <c r="G47" s="11">
        <v>20209</v>
      </c>
      <c r="H47" s="11" t="s">
        <v>111</v>
      </c>
      <c r="I47" s="16">
        <f>2.1+2.1+1.2+1.2+3+1.2</f>
        <v>10.8</v>
      </c>
      <c r="J47" s="40">
        <v>29.98</v>
      </c>
      <c r="K47" s="6">
        <f t="shared" si="7"/>
        <v>36.794454000000002</v>
      </c>
      <c r="L47" s="7">
        <f t="shared" si="8"/>
        <v>397.38010320000006</v>
      </c>
    </row>
    <row r="48" spans="2:12" s="20" customFormat="1" ht="39.75" customHeight="1" x14ac:dyDescent="0.25">
      <c r="B48" s="12" t="s">
        <v>226</v>
      </c>
      <c r="C48" s="102" t="s">
        <v>267</v>
      </c>
      <c r="D48" s="103"/>
      <c r="E48" s="103"/>
      <c r="F48" s="104"/>
      <c r="G48" s="11">
        <v>88239</v>
      </c>
      <c r="H48" s="11" t="s">
        <v>40</v>
      </c>
      <c r="I48" s="16">
        <v>3</v>
      </c>
      <c r="J48" s="40">
        <v>28.29</v>
      </c>
      <c r="K48" s="6">
        <f t="shared" si="7"/>
        <v>34.720317000000001</v>
      </c>
      <c r="L48" s="7">
        <f t="shared" si="8"/>
        <v>104.16095100000001</v>
      </c>
    </row>
    <row r="49" spans="2:12" s="20" customFormat="1" ht="39.75" customHeight="1" x14ac:dyDescent="0.25">
      <c r="B49" s="12" t="s">
        <v>227</v>
      </c>
      <c r="C49" s="102" t="s">
        <v>268</v>
      </c>
      <c r="D49" s="103"/>
      <c r="E49" s="103"/>
      <c r="F49" s="104"/>
      <c r="G49" s="11">
        <v>88262</v>
      </c>
      <c r="H49" s="11" t="s">
        <v>40</v>
      </c>
      <c r="I49" s="16">
        <v>3</v>
      </c>
      <c r="J49" s="40">
        <v>34.31</v>
      </c>
      <c r="K49" s="6">
        <f t="shared" si="7"/>
        <v>42.108663000000007</v>
      </c>
      <c r="L49" s="7">
        <f t="shared" si="8"/>
        <v>126.32598900000002</v>
      </c>
    </row>
    <row r="50" spans="2:12" s="20" customFormat="1" ht="39.75" customHeight="1" x14ac:dyDescent="0.25">
      <c r="B50" s="12" t="s">
        <v>228</v>
      </c>
      <c r="C50" s="102" t="s">
        <v>269</v>
      </c>
      <c r="D50" s="103"/>
      <c r="E50" s="103"/>
      <c r="F50" s="104"/>
      <c r="G50" s="11">
        <v>91692</v>
      </c>
      <c r="H50" s="11" t="s">
        <v>40</v>
      </c>
      <c r="I50" s="16">
        <v>0.1</v>
      </c>
      <c r="J50" s="40">
        <v>34.01</v>
      </c>
      <c r="K50" s="6">
        <f t="shared" si="7"/>
        <v>41.740473000000001</v>
      </c>
      <c r="L50" s="7">
        <f t="shared" si="8"/>
        <v>4.1740473000000007</v>
      </c>
    </row>
    <row r="51" spans="2:12" s="20" customFormat="1" ht="54" customHeight="1" x14ac:dyDescent="0.25">
      <c r="B51" s="12" t="s">
        <v>229</v>
      </c>
      <c r="C51" s="102" t="s">
        <v>270</v>
      </c>
      <c r="D51" s="103"/>
      <c r="E51" s="103"/>
      <c r="F51" s="104"/>
      <c r="G51" s="11">
        <v>20017</v>
      </c>
      <c r="H51" s="11" t="s">
        <v>42</v>
      </c>
      <c r="I51" s="16">
        <f>(1.2+1.2+2.1+2.1)*2</f>
        <v>13.2</v>
      </c>
      <c r="J51" s="40">
        <v>10.18</v>
      </c>
      <c r="K51" s="6">
        <f t="shared" si="7"/>
        <v>12.493914</v>
      </c>
      <c r="L51" s="7">
        <f t="shared" si="8"/>
        <v>164.91966479999999</v>
      </c>
    </row>
    <row r="52" spans="2:12" s="20" customFormat="1" ht="39.75" customHeight="1" x14ac:dyDescent="0.25">
      <c r="B52" s="12" t="s">
        <v>230</v>
      </c>
      <c r="C52" s="102" t="s">
        <v>271</v>
      </c>
      <c r="D52" s="103"/>
      <c r="E52" s="103"/>
      <c r="F52" s="104"/>
      <c r="G52" s="11">
        <v>100708</v>
      </c>
      <c r="H52" s="11" t="s">
        <v>3</v>
      </c>
      <c r="I52" s="16">
        <v>1</v>
      </c>
      <c r="J52" s="40">
        <v>193.88</v>
      </c>
      <c r="K52" s="6">
        <f t="shared" si="7"/>
        <v>237.94892400000001</v>
      </c>
      <c r="L52" s="7">
        <f t="shared" si="8"/>
        <v>237.94892400000001</v>
      </c>
    </row>
    <row r="53" spans="2:12" s="20" customFormat="1" ht="39.75" customHeight="1" x14ac:dyDescent="0.25">
      <c r="B53" s="12" t="s">
        <v>231</v>
      </c>
      <c r="C53" s="102" t="s">
        <v>272</v>
      </c>
      <c r="D53" s="103"/>
      <c r="E53" s="103"/>
      <c r="F53" s="104"/>
      <c r="G53" s="11">
        <v>4777</v>
      </c>
      <c r="H53" s="11" t="s">
        <v>48</v>
      </c>
      <c r="I53" s="16">
        <f>1.52*4.8</f>
        <v>7.2959999999999994</v>
      </c>
      <c r="J53" s="40">
        <v>7.36</v>
      </c>
      <c r="K53" s="6">
        <f t="shared" si="7"/>
        <v>9.0329280000000001</v>
      </c>
      <c r="L53" s="7">
        <f t="shared" si="8"/>
        <v>65.904242687999997</v>
      </c>
    </row>
    <row r="54" spans="2:12" s="20" customFormat="1" ht="39.75" customHeight="1" x14ac:dyDescent="0.25">
      <c r="B54" s="12" t="s">
        <v>232</v>
      </c>
      <c r="C54" s="102" t="s">
        <v>273</v>
      </c>
      <c r="D54" s="103"/>
      <c r="E54" s="103"/>
      <c r="F54" s="104"/>
      <c r="G54" s="11">
        <v>7568</v>
      </c>
      <c r="H54" s="11" t="s">
        <v>3</v>
      </c>
      <c r="I54" s="16">
        <v>16</v>
      </c>
      <c r="J54" s="40">
        <v>0.49</v>
      </c>
      <c r="K54" s="6">
        <f t="shared" si="7"/>
        <v>0.60137700000000005</v>
      </c>
      <c r="L54" s="7">
        <f t="shared" si="8"/>
        <v>9.6220320000000008</v>
      </c>
    </row>
    <row r="55" spans="2:12" s="20" customFormat="1" ht="39.75" customHeight="1" x14ac:dyDescent="0.25">
      <c r="B55" s="12" t="s">
        <v>233</v>
      </c>
      <c r="C55" s="102" t="s">
        <v>274</v>
      </c>
      <c r="D55" s="103"/>
      <c r="E55" s="103"/>
      <c r="F55" s="104"/>
      <c r="G55" s="11">
        <v>90801</v>
      </c>
      <c r="H55" s="11" t="s">
        <v>3</v>
      </c>
      <c r="I55" s="16">
        <v>1</v>
      </c>
      <c r="J55" s="40">
        <v>407.2</v>
      </c>
      <c r="K55" s="6">
        <f t="shared" si="7"/>
        <v>499.75656000000004</v>
      </c>
      <c r="L55" s="7">
        <f t="shared" si="8"/>
        <v>499.75656000000004</v>
      </c>
    </row>
    <row r="56" spans="2:12" s="20" customFormat="1" ht="33" customHeight="1" x14ac:dyDescent="0.25">
      <c r="B56" s="90" t="s">
        <v>341</v>
      </c>
      <c r="C56" s="91"/>
      <c r="D56" s="91"/>
      <c r="E56" s="91"/>
      <c r="F56" s="91"/>
      <c r="G56" s="91"/>
      <c r="H56" s="91"/>
      <c r="I56" s="91"/>
      <c r="J56" s="91"/>
      <c r="K56" s="92"/>
      <c r="L56" s="15">
        <f>SUM(L45:L55)</f>
        <v>2159.6267415480002</v>
      </c>
    </row>
    <row r="57" spans="2:12" s="20" customFormat="1" ht="33" customHeight="1" x14ac:dyDescent="0.25">
      <c r="B57" s="14">
        <v>5</v>
      </c>
      <c r="C57" s="151" t="s">
        <v>115</v>
      </c>
      <c r="D57" s="152"/>
      <c r="E57" s="152"/>
      <c r="F57" s="152"/>
      <c r="G57" s="152"/>
      <c r="H57" s="152"/>
      <c r="I57" s="152"/>
      <c r="J57" s="152"/>
      <c r="K57" s="152"/>
      <c r="L57" s="153"/>
    </row>
    <row r="58" spans="2:12" s="20" customFormat="1" ht="54" customHeight="1" x14ac:dyDescent="0.25">
      <c r="B58" s="12" t="s">
        <v>234</v>
      </c>
      <c r="C58" s="102" t="s">
        <v>276</v>
      </c>
      <c r="D58" s="103"/>
      <c r="E58" s="103"/>
      <c r="F58" s="104"/>
      <c r="G58" s="11">
        <v>90844</v>
      </c>
      <c r="H58" s="11" t="s">
        <v>3</v>
      </c>
      <c r="I58" s="16">
        <f>1.11*2</f>
        <v>2.2200000000000002</v>
      </c>
      <c r="J58" s="40">
        <v>1322.03</v>
      </c>
      <c r="K58" s="6">
        <f t="shared" ref="K58" si="9">J58*$G$3</f>
        <v>1622.527419</v>
      </c>
      <c r="L58" s="7">
        <f t="shared" ref="L58" si="10">I58*K58</f>
        <v>3602.0108701800004</v>
      </c>
    </row>
    <row r="59" spans="2:12" s="20" customFormat="1" ht="33" customHeight="1" x14ac:dyDescent="0.25">
      <c r="B59" s="90" t="s">
        <v>342</v>
      </c>
      <c r="C59" s="91"/>
      <c r="D59" s="91"/>
      <c r="E59" s="91"/>
      <c r="F59" s="91"/>
      <c r="G59" s="91"/>
      <c r="H59" s="91"/>
      <c r="I59" s="91"/>
      <c r="J59" s="91"/>
      <c r="K59" s="92"/>
      <c r="L59" s="15">
        <f>SUM(L58)</f>
        <v>3602.0108701800004</v>
      </c>
    </row>
    <row r="60" spans="2:12" s="20" customFormat="1" ht="33" customHeight="1" x14ac:dyDescent="0.25">
      <c r="B60" s="14">
        <v>6</v>
      </c>
      <c r="C60" s="151" t="s">
        <v>116</v>
      </c>
      <c r="D60" s="152"/>
      <c r="E60" s="152"/>
      <c r="F60" s="152"/>
      <c r="G60" s="152"/>
      <c r="H60" s="152"/>
      <c r="I60" s="152"/>
      <c r="J60" s="152"/>
      <c r="K60" s="152"/>
      <c r="L60" s="153"/>
    </row>
    <row r="61" spans="2:12" s="20" customFormat="1" ht="54" customHeight="1" x14ac:dyDescent="0.25">
      <c r="B61" s="12" t="s">
        <v>63</v>
      </c>
      <c r="C61" s="102" t="s">
        <v>276</v>
      </c>
      <c r="D61" s="103"/>
      <c r="E61" s="103"/>
      <c r="F61" s="104"/>
      <c r="G61" s="11">
        <v>90844</v>
      </c>
      <c r="H61" s="11" t="s">
        <v>3</v>
      </c>
      <c r="I61" s="16">
        <f>1.11</f>
        <v>1.1100000000000001</v>
      </c>
      <c r="J61" s="40">
        <v>1322.03</v>
      </c>
      <c r="K61" s="6">
        <f t="shared" ref="K61" si="11">J61*$G$3</f>
        <v>1622.527419</v>
      </c>
      <c r="L61" s="7">
        <f t="shared" ref="L61" si="12">I61*K61</f>
        <v>1801.0054350900002</v>
      </c>
    </row>
    <row r="62" spans="2:12" s="20" customFormat="1" ht="33" customHeight="1" x14ac:dyDescent="0.25">
      <c r="B62" s="90" t="s">
        <v>343</v>
      </c>
      <c r="C62" s="91"/>
      <c r="D62" s="91"/>
      <c r="E62" s="91"/>
      <c r="F62" s="91"/>
      <c r="G62" s="91"/>
      <c r="H62" s="91"/>
      <c r="I62" s="91"/>
      <c r="J62" s="91"/>
      <c r="K62" s="92"/>
      <c r="L62" s="15">
        <f>SUM(L61)</f>
        <v>1801.0054350900002</v>
      </c>
    </row>
    <row r="63" spans="2:12" s="20" customFormat="1" ht="33" customHeight="1" x14ac:dyDescent="0.25">
      <c r="B63" s="14">
        <v>7</v>
      </c>
      <c r="C63" s="151" t="s">
        <v>117</v>
      </c>
      <c r="D63" s="152"/>
      <c r="E63" s="152"/>
      <c r="F63" s="152"/>
      <c r="G63" s="152"/>
      <c r="H63" s="152"/>
      <c r="I63" s="152"/>
      <c r="J63" s="152"/>
      <c r="K63" s="152"/>
      <c r="L63" s="153"/>
    </row>
    <row r="64" spans="2:12" s="20" customFormat="1" ht="54" customHeight="1" x14ac:dyDescent="0.25">
      <c r="B64" s="12" t="s">
        <v>15</v>
      </c>
      <c r="C64" s="102" t="s">
        <v>277</v>
      </c>
      <c r="D64" s="103"/>
      <c r="E64" s="103"/>
      <c r="F64" s="104"/>
      <c r="G64" s="11">
        <v>91336</v>
      </c>
      <c r="H64" s="11" t="s">
        <v>3</v>
      </c>
      <c r="I64" s="16">
        <v>2</v>
      </c>
      <c r="J64" s="40">
        <v>2194.58</v>
      </c>
      <c r="K64" s="6">
        <f t="shared" ref="K64" si="13">J64*$G$3</f>
        <v>2693.408034</v>
      </c>
      <c r="L64" s="7">
        <f t="shared" ref="L64" si="14">I64*K64</f>
        <v>5386.8160680000001</v>
      </c>
    </row>
    <row r="65" spans="2:12" s="20" customFormat="1" ht="33" customHeight="1" x14ac:dyDescent="0.25">
      <c r="B65" s="90" t="s">
        <v>344</v>
      </c>
      <c r="C65" s="91"/>
      <c r="D65" s="91"/>
      <c r="E65" s="91"/>
      <c r="F65" s="91"/>
      <c r="G65" s="91"/>
      <c r="H65" s="91"/>
      <c r="I65" s="91"/>
      <c r="J65" s="91"/>
      <c r="K65" s="92"/>
      <c r="L65" s="15">
        <f>SUM(L64)</f>
        <v>5386.8160680000001</v>
      </c>
    </row>
    <row r="66" spans="2:12" s="20" customFormat="1" ht="33" customHeight="1" x14ac:dyDescent="0.25">
      <c r="B66" s="14">
        <v>8</v>
      </c>
      <c r="C66" s="151" t="s">
        <v>118</v>
      </c>
      <c r="D66" s="152"/>
      <c r="E66" s="152"/>
      <c r="F66" s="152"/>
      <c r="G66" s="152"/>
      <c r="H66" s="152"/>
      <c r="I66" s="152"/>
      <c r="J66" s="152"/>
      <c r="K66" s="152"/>
      <c r="L66" s="153"/>
    </row>
    <row r="67" spans="2:12" s="20" customFormat="1" ht="54" customHeight="1" x14ac:dyDescent="0.25">
      <c r="B67" s="12" t="s">
        <v>58</v>
      </c>
      <c r="C67" s="102" t="s">
        <v>276</v>
      </c>
      <c r="D67" s="103"/>
      <c r="E67" s="103"/>
      <c r="F67" s="104"/>
      <c r="G67" s="11">
        <v>90844</v>
      </c>
      <c r="H67" s="11" t="s">
        <v>3</v>
      </c>
      <c r="I67" s="16">
        <f>1.11</f>
        <v>1.1100000000000001</v>
      </c>
      <c r="J67" s="40">
        <v>1322.03</v>
      </c>
      <c r="K67" s="6">
        <f t="shared" ref="K67:K72" si="15">J67*$G$3</f>
        <v>1622.527419</v>
      </c>
      <c r="L67" s="7">
        <f t="shared" ref="L67:L72" si="16">I67*K67</f>
        <v>1801.0054350900002</v>
      </c>
    </row>
    <row r="68" spans="2:12" s="20" customFormat="1" ht="39.75" customHeight="1" x14ac:dyDescent="0.25">
      <c r="B68" s="12" t="s">
        <v>59</v>
      </c>
      <c r="C68" s="102" t="s">
        <v>272</v>
      </c>
      <c r="D68" s="103"/>
      <c r="E68" s="103"/>
      <c r="F68" s="104"/>
      <c r="G68" s="11">
        <v>4777</v>
      </c>
      <c r="H68" s="11" t="s">
        <v>48</v>
      </c>
      <c r="I68" s="16">
        <f>1.52*3.6</f>
        <v>5.4720000000000004</v>
      </c>
      <c r="J68" s="40">
        <v>7.36</v>
      </c>
      <c r="K68" s="6">
        <f t="shared" si="15"/>
        <v>9.0329280000000001</v>
      </c>
      <c r="L68" s="7">
        <f t="shared" si="16"/>
        <v>49.428182016000001</v>
      </c>
    </row>
    <row r="69" spans="2:12" s="20" customFormat="1" ht="39.75" customHeight="1" x14ac:dyDescent="0.25">
      <c r="B69" s="12" t="s">
        <v>142</v>
      </c>
      <c r="C69" s="102" t="s">
        <v>273</v>
      </c>
      <c r="D69" s="103"/>
      <c r="E69" s="103"/>
      <c r="F69" s="104"/>
      <c r="G69" s="11">
        <v>7568</v>
      </c>
      <c r="H69" s="11" t="s">
        <v>3</v>
      </c>
      <c r="I69" s="16">
        <v>16</v>
      </c>
      <c r="J69" s="40">
        <v>0.49</v>
      </c>
      <c r="K69" s="6">
        <f t="shared" si="15"/>
        <v>0.60137700000000005</v>
      </c>
      <c r="L69" s="7">
        <f t="shared" si="16"/>
        <v>9.6220320000000008</v>
      </c>
    </row>
    <row r="70" spans="2:12" s="20" customFormat="1" ht="39.75" customHeight="1" x14ac:dyDescent="0.25">
      <c r="B70" s="12" t="s">
        <v>143</v>
      </c>
      <c r="C70" s="102" t="s">
        <v>274</v>
      </c>
      <c r="D70" s="103"/>
      <c r="E70" s="103"/>
      <c r="F70" s="104"/>
      <c r="G70" s="11">
        <v>90801</v>
      </c>
      <c r="H70" s="11" t="s">
        <v>3</v>
      </c>
      <c r="I70" s="16">
        <v>1</v>
      </c>
      <c r="J70" s="40">
        <v>407.2</v>
      </c>
      <c r="K70" s="6">
        <f t="shared" si="15"/>
        <v>499.75656000000004</v>
      </c>
      <c r="L70" s="7">
        <f t="shared" si="16"/>
        <v>499.75656000000004</v>
      </c>
    </row>
    <row r="71" spans="2:12" s="20" customFormat="1" ht="39.75" customHeight="1" x14ac:dyDescent="0.25">
      <c r="B71" s="12" t="s">
        <v>144</v>
      </c>
      <c r="C71" s="102" t="s">
        <v>267</v>
      </c>
      <c r="D71" s="103"/>
      <c r="E71" s="103"/>
      <c r="F71" s="104"/>
      <c r="G71" s="11">
        <v>88239</v>
      </c>
      <c r="H71" s="11" t="s">
        <v>40</v>
      </c>
      <c r="I71" s="16">
        <v>1.5</v>
      </c>
      <c r="J71" s="40">
        <v>28.29</v>
      </c>
      <c r="K71" s="6">
        <f t="shared" si="15"/>
        <v>34.720317000000001</v>
      </c>
      <c r="L71" s="7">
        <f t="shared" si="16"/>
        <v>52.080475500000006</v>
      </c>
    </row>
    <row r="72" spans="2:12" s="20" customFormat="1" ht="39.75" customHeight="1" x14ac:dyDescent="0.25">
      <c r="B72" s="12" t="s">
        <v>145</v>
      </c>
      <c r="C72" s="102" t="s">
        <v>268</v>
      </c>
      <c r="D72" s="103"/>
      <c r="E72" s="103"/>
      <c r="F72" s="104"/>
      <c r="G72" s="11">
        <v>88262</v>
      </c>
      <c r="H72" s="11" t="s">
        <v>40</v>
      </c>
      <c r="I72" s="16">
        <v>1.5</v>
      </c>
      <c r="J72" s="40">
        <v>34.31</v>
      </c>
      <c r="K72" s="6">
        <f t="shared" si="15"/>
        <v>42.108663000000007</v>
      </c>
      <c r="L72" s="7">
        <f t="shared" si="16"/>
        <v>63.162994500000011</v>
      </c>
    </row>
    <row r="73" spans="2:12" s="20" customFormat="1" ht="33" customHeight="1" x14ac:dyDescent="0.25">
      <c r="B73" s="90" t="s">
        <v>345</v>
      </c>
      <c r="C73" s="91"/>
      <c r="D73" s="91"/>
      <c r="E73" s="91"/>
      <c r="F73" s="91"/>
      <c r="G73" s="91"/>
      <c r="H73" s="91"/>
      <c r="I73" s="91"/>
      <c r="J73" s="91"/>
      <c r="K73" s="92"/>
      <c r="L73" s="15">
        <f>SUM(L67:L72)</f>
        <v>2475.0556791060003</v>
      </c>
    </row>
    <row r="74" spans="2:12" s="20" customFormat="1" ht="33" customHeight="1" x14ac:dyDescent="0.25">
      <c r="B74" s="14">
        <v>9</v>
      </c>
      <c r="C74" s="151" t="s">
        <v>119</v>
      </c>
      <c r="D74" s="152"/>
      <c r="E74" s="152"/>
      <c r="F74" s="152"/>
      <c r="G74" s="152"/>
      <c r="H74" s="152"/>
      <c r="I74" s="152"/>
      <c r="J74" s="152"/>
      <c r="K74" s="152"/>
      <c r="L74" s="153"/>
    </row>
    <row r="75" spans="2:12" s="20" customFormat="1" ht="54" customHeight="1" x14ac:dyDescent="0.25">
      <c r="B75" s="12" t="s">
        <v>64</v>
      </c>
      <c r="C75" s="102" t="s">
        <v>278</v>
      </c>
      <c r="D75" s="103"/>
      <c r="E75" s="103"/>
      <c r="F75" s="104"/>
      <c r="G75" s="11">
        <v>94570</v>
      </c>
      <c r="H75" s="11" t="s">
        <v>47</v>
      </c>
      <c r="I75" s="16">
        <f>1.5*1.2</f>
        <v>1.7999999999999998</v>
      </c>
      <c r="J75" s="40">
        <v>692.4</v>
      </c>
      <c r="K75" s="6">
        <f t="shared" ref="K75:K78" si="17">J75*$G$3</f>
        <v>849.78251999999998</v>
      </c>
      <c r="L75" s="7">
        <f t="shared" ref="L75:L78" si="18">I75*K75</f>
        <v>1529.6085359999997</v>
      </c>
    </row>
    <row r="76" spans="2:12" s="20" customFormat="1" ht="54" customHeight="1" x14ac:dyDescent="0.25">
      <c r="B76" s="12" t="s">
        <v>65</v>
      </c>
      <c r="C76" s="102" t="s">
        <v>270</v>
      </c>
      <c r="D76" s="103"/>
      <c r="E76" s="103"/>
      <c r="F76" s="104"/>
      <c r="G76" s="11">
        <v>20017</v>
      </c>
      <c r="H76" s="11" t="s">
        <v>42</v>
      </c>
      <c r="I76" s="16">
        <f>(1.5+1.5+1.2+1.2)*2</f>
        <v>10.8</v>
      </c>
      <c r="J76" s="40">
        <v>10.18</v>
      </c>
      <c r="K76" s="6">
        <f t="shared" si="17"/>
        <v>12.493914</v>
      </c>
      <c r="L76" s="7">
        <f t="shared" si="18"/>
        <v>134.93427120000001</v>
      </c>
    </row>
    <row r="77" spans="2:12" s="20" customFormat="1" ht="39.75" customHeight="1" x14ac:dyDescent="0.25">
      <c r="B77" s="12" t="s">
        <v>137</v>
      </c>
      <c r="C77" s="102" t="s">
        <v>274</v>
      </c>
      <c r="D77" s="103"/>
      <c r="E77" s="103"/>
      <c r="F77" s="104"/>
      <c r="G77" s="11">
        <v>90801</v>
      </c>
      <c r="H77" s="11" t="s">
        <v>3</v>
      </c>
      <c r="I77" s="16">
        <v>1.08</v>
      </c>
      <c r="J77" s="40">
        <v>407.2</v>
      </c>
      <c r="K77" s="6">
        <f t="shared" si="17"/>
        <v>499.75656000000004</v>
      </c>
      <c r="L77" s="7">
        <f t="shared" si="18"/>
        <v>539.73708480000005</v>
      </c>
    </row>
    <row r="78" spans="2:12" s="20" customFormat="1" ht="39.75" customHeight="1" x14ac:dyDescent="0.25">
      <c r="B78" s="12" t="s">
        <v>235</v>
      </c>
      <c r="C78" s="102" t="s">
        <v>273</v>
      </c>
      <c r="D78" s="103"/>
      <c r="E78" s="103"/>
      <c r="F78" s="104"/>
      <c r="G78" s="11">
        <v>7568</v>
      </c>
      <c r="H78" s="11" t="s">
        <v>3</v>
      </c>
      <c r="I78" s="16">
        <v>12</v>
      </c>
      <c r="J78" s="40">
        <v>0.49</v>
      </c>
      <c r="K78" s="6">
        <f t="shared" si="17"/>
        <v>0.60137700000000005</v>
      </c>
      <c r="L78" s="7">
        <f t="shared" si="18"/>
        <v>7.2165240000000006</v>
      </c>
    </row>
    <row r="79" spans="2:12" s="20" customFormat="1" ht="33" customHeight="1" x14ac:dyDescent="0.25">
      <c r="B79" s="90" t="s">
        <v>346</v>
      </c>
      <c r="C79" s="91"/>
      <c r="D79" s="91"/>
      <c r="E79" s="91"/>
      <c r="F79" s="91"/>
      <c r="G79" s="91"/>
      <c r="H79" s="91"/>
      <c r="I79" s="91"/>
      <c r="J79" s="91"/>
      <c r="K79" s="92"/>
      <c r="L79" s="15">
        <f>SUM(L75:L78)</f>
        <v>2211.4964159999995</v>
      </c>
    </row>
    <row r="80" spans="2:12" s="20" customFormat="1" ht="33" customHeight="1" x14ac:dyDescent="0.25">
      <c r="B80" s="14">
        <v>10</v>
      </c>
      <c r="C80" s="151" t="s">
        <v>120</v>
      </c>
      <c r="D80" s="152"/>
      <c r="E80" s="152"/>
      <c r="F80" s="152"/>
      <c r="G80" s="152"/>
      <c r="H80" s="152"/>
      <c r="I80" s="152"/>
      <c r="J80" s="152"/>
      <c r="K80" s="152"/>
      <c r="L80" s="153"/>
    </row>
    <row r="81" spans="2:12" s="20" customFormat="1" ht="39.75" customHeight="1" x14ac:dyDescent="0.25">
      <c r="B81" s="12" t="s">
        <v>133</v>
      </c>
      <c r="C81" s="102" t="s">
        <v>279</v>
      </c>
      <c r="D81" s="103"/>
      <c r="E81" s="103"/>
      <c r="F81" s="104"/>
      <c r="G81" s="11">
        <v>94569</v>
      </c>
      <c r="H81" s="11" t="s">
        <v>47</v>
      </c>
      <c r="I81" s="16">
        <f>0.8*0.6</f>
        <v>0.48</v>
      </c>
      <c r="J81" s="40">
        <v>1320.01</v>
      </c>
      <c r="K81" s="6">
        <f t="shared" ref="K81:K84" si="19">J81*$G$3</f>
        <v>1620.0482730000001</v>
      </c>
      <c r="L81" s="7">
        <f t="shared" ref="L81:L84" si="20">I81*K81</f>
        <v>777.62317103999999</v>
      </c>
    </row>
    <row r="82" spans="2:12" s="20" customFormat="1" ht="54" customHeight="1" x14ac:dyDescent="0.25">
      <c r="B82" s="12" t="s">
        <v>236</v>
      </c>
      <c r="C82" s="102" t="s">
        <v>270</v>
      </c>
      <c r="D82" s="103"/>
      <c r="E82" s="103"/>
      <c r="F82" s="104"/>
      <c r="G82" s="11">
        <v>20017</v>
      </c>
      <c r="H82" s="11" t="s">
        <v>42</v>
      </c>
      <c r="I82" s="16">
        <f>(1.5+1.5+1.2+1.2)*2</f>
        <v>10.8</v>
      </c>
      <c r="J82" s="40">
        <v>10.18</v>
      </c>
      <c r="K82" s="6">
        <f t="shared" si="19"/>
        <v>12.493914</v>
      </c>
      <c r="L82" s="7">
        <f t="shared" si="20"/>
        <v>134.93427120000001</v>
      </c>
    </row>
    <row r="83" spans="2:12" s="20" customFormat="1" ht="39.75" customHeight="1" x14ac:dyDescent="0.25">
      <c r="B83" s="12" t="s">
        <v>237</v>
      </c>
      <c r="C83" s="102" t="s">
        <v>274</v>
      </c>
      <c r="D83" s="103"/>
      <c r="E83" s="103"/>
      <c r="F83" s="104"/>
      <c r="G83" s="11">
        <v>90801</v>
      </c>
      <c r="H83" s="11" t="s">
        <v>3</v>
      </c>
      <c r="I83" s="16">
        <v>0.56000000000000005</v>
      </c>
      <c r="J83" s="40">
        <v>407.2</v>
      </c>
      <c r="K83" s="6">
        <f t="shared" si="19"/>
        <v>499.75656000000004</v>
      </c>
      <c r="L83" s="7">
        <f t="shared" si="20"/>
        <v>279.86367360000003</v>
      </c>
    </row>
    <row r="84" spans="2:12" s="20" customFormat="1" ht="39.75" customHeight="1" x14ac:dyDescent="0.25">
      <c r="B84" s="12" t="s">
        <v>238</v>
      </c>
      <c r="C84" s="102" t="s">
        <v>273</v>
      </c>
      <c r="D84" s="103"/>
      <c r="E84" s="103"/>
      <c r="F84" s="104"/>
      <c r="G84" s="11">
        <v>7568</v>
      </c>
      <c r="H84" s="11" t="s">
        <v>3</v>
      </c>
      <c r="I84" s="16">
        <v>12</v>
      </c>
      <c r="J84" s="40">
        <v>0.49</v>
      </c>
      <c r="K84" s="6">
        <f t="shared" si="19"/>
        <v>0.60137700000000005</v>
      </c>
      <c r="L84" s="7">
        <f t="shared" si="20"/>
        <v>7.2165240000000006</v>
      </c>
    </row>
    <row r="85" spans="2:12" s="20" customFormat="1" ht="33" customHeight="1" x14ac:dyDescent="0.25">
      <c r="B85" s="90" t="s">
        <v>347</v>
      </c>
      <c r="C85" s="91"/>
      <c r="D85" s="91"/>
      <c r="E85" s="91"/>
      <c r="F85" s="91"/>
      <c r="G85" s="91"/>
      <c r="H85" s="91"/>
      <c r="I85" s="91"/>
      <c r="J85" s="91"/>
      <c r="K85" s="92"/>
      <c r="L85" s="15">
        <f>SUM(L81:L84)</f>
        <v>1199.63763984</v>
      </c>
    </row>
    <row r="86" spans="2:12" s="21" customFormat="1" ht="23.25" customHeight="1" x14ac:dyDescent="0.25">
      <c r="B86" s="14">
        <v>11</v>
      </c>
      <c r="C86" s="154" t="s">
        <v>121</v>
      </c>
      <c r="D86" s="155"/>
      <c r="E86" s="155"/>
      <c r="F86" s="155"/>
      <c r="G86" s="155"/>
      <c r="H86" s="155"/>
      <c r="I86" s="155"/>
      <c r="J86" s="155"/>
      <c r="K86" s="155"/>
      <c r="L86" s="156"/>
    </row>
    <row r="87" spans="2:12" s="20" customFormat="1" ht="35.25" customHeight="1" x14ac:dyDescent="0.25">
      <c r="B87" s="41" t="s">
        <v>155</v>
      </c>
      <c r="C87" s="96" t="s">
        <v>280</v>
      </c>
      <c r="D87" s="97"/>
      <c r="E87" s="97"/>
      <c r="F87" s="98"/>
      <c r="G87" s="39">
        <v>102181</v>
      </c>
      <c r="H87" s="4" t="s">
        <v>47</v>
      </c>
      <c r="I87" s="37">
        <f>3*1.55</f>
        <v>4.6500000000000004</v>
      </c>
      <c r="J87" s="38">
        <v>541.75</v>
      </c>
      <c r="K87" s="6">
        <f t="shared" ref="K87:K90" si="21">J87*$G$3</f>
        <v>664.88977499999999</v>
      </c>
      <c r="L87" s="7">
        <f t="shared" ref="L87:L90" si="22">I87*K87</f>
        <v>3091.73745375</v>
      </c>
    </row>
    <row r="88" spans="2:12" s="20" customFormat="1" ht="54" customHeight="1" x14ac:dyDescent="0.25">
      <c r="B88" s="12" t="s">
        <v>157</v>
      </c>
      <c r="C88" s="102" t="s">
        <v>270</v>
      </c>
      <c r="D88" s="103"/>
      <c r="E88" s="103"/>
      <c r="F88" s="104"/>
      <c r="G88" s="11">
        <v>20017</v>
      </c>
      <c r="H88" s="11" t="s">
        <v>42</v>
      </c>
      <c r="I88" s="16">
        <f>(3+3+1.55+1.55)*2</f>
        <v>18.2</v>
      </c>
      <c r="J88" s="40">
        <v>10.18</v>
      </c>
      <c r="K88" s="6">
        <f t="shared" si="21"/>
        <v>12.493914</v>
      </c>
      <c r="L88" s="7">
        <f t="shared" si="22"/>
        <v>227.3892348</v>
      </c>
    </row>
    <row r="89" spans="2:12" s="20" customFormat="1" ht="39.75" customHeight="1" x14ac:dyDescent="0.25">
      <c r="B89" s="12" t="s">
        <v>158</v>
      </c>
      <c r="C89" s="102" t="s">
        <v>274</v>
      </c>
      <c r="D89" s="103"/>
      <c r="E89" s="103"/>
      <c r="F89" s="104"/>
      <c r="G89" s="11">
        <v>90801</v>
      </c>
      <c r="H89" s="11" t="s">
        <v>3</v>
      </c>
      <c r="I89" s="16">
        <v>1.82</v>
      </c>
      <c r="J89" s="40">
        <v>407.2</v>
      </c>
      <c r="K89" s="6">
        <f t="shared" si="21"/>
        <v>499.75656000000004</v>
      </c>
      <c r="L89" s="7">
        <f t="shared" si="22"/>
        <v>909.5569392000001</v>
      </c>
    </row>
    <row r="90" spans="2:12" s="20" customFormat="1" ht="39.75" customHeight="1" x14ac:dyDescent="0.25">
      <c r="B90" s="12" t="s">
        <v>239</v>
      </c>
      <c r="C90" s="102" t="s">
        <v>273</v>
      </c>
      <c r="D90" s="103"/>
      <c r="E90" s="103"/>
      <c r="F90" s="104"/>
      <c r="G90" s="11">
        <v>7568</v>
      </c>
      <c r="H90" s="11" t="s">
        <v>3</v>
      </c>
      <c r="I90" s="16">
        <v>12</v>
      </c>
      <c r="J90" s="40">
        <v>0.49</v>
      </c>
      <c r="K90" s="6">
        <f t="shared" si="21"/>
        <v>0.60137700000000005</v>
      </c>
      <c r="L90" s="7">
        <f t="shared" si="22"/>
        <v>7.2165240000000006</v>
      </c>
    </row>
    <row r="91" spans="2:12" s="20" customFormat="1" ht="33" customHeight="1" x14ac:dyDescent="0.25">
      <c r="B91" s="90" t="s">
        <v>348</v>
      </c>
      <c r="C91" s="91"/>
      <c r="D91" s="91"/>
      <c r="E91" s="91"/>
      <c r="F91" s="91"/>
      <c r="G91" s="91"/>
      <c r="H91" s="91"/>
      <c r="I91" s="91"/>
      <c r="J91" s="91"/>
      <c r="K91" s="92"/>
      <c r="L91" s="15">
        <f>SUM(L87:L90)</f>
        <v>4235.9001517500001</v>
      </c>
    </row>
    <row r="92" spans="2:12" s="20" customFormat="1" ht="33" customHeight="1" x14ac:dyDescent="0.25">
      <c r="B92" s="14">
        <v>12</v>
      </c>
      <c r="C92" s="151" t="s">
        <v>122</v>
      </c>
      <c r="D92" s="152"/>
      <c r="E92" s="152"/>
      <c r="F92" s="152"/>
      <c r="G92" s="152"/>
      <c r="H92" s="152"/>
      <c r="I92" s="152"/>
      <c r="J92" s="152"/>
      <c r="K92" s="152"/>
      <c r="L92" s="153"/>
    </row>
    <row r="93" spans="2:12" s="20" customFormat="1" ht="35.25" customHeight="1" x14ac:dyDescent="0.25">
      <c r="B93" s="41" t="s">
        <v>156</v>
      </c>
      <c r="C93" s="96" t="s">
        <v>280</v>
      </c>
      <c r="D93" s="97"/>
      <c r="E93" s="97"/>
      <c r="F93" s="98"/>
      <c r="G93" s="39">
        <v>102181</v>
      </c>
      <c r="H93" s="4" t="s">
        <v>47</v>
      </c>
      <c r="I93" s="37">
        <f>1.5*0.8</f>
        <v>1.2000000000000002</v>
      </c>
      <c r="J93" s="38">
        <v>541.75</v>
      </c>
      <c r="K93" s="6">
        <f t="shared" ref="K93:K96" si="23">J93*$G$3</f>
        <v>664.88977499999999</v>
      </c>
      <c r="L93" s="7">
        <f t="shared" ref="L93:L96" si="24">I93*K93</f>
        <v>797.86773000000005</v>
      </c>
    </row>
    <row r="94" spans="2:12" s="20" customFormat="1" ht="54" customHeight="1" x14ac:dyDescent="0.25">
      <c r="B94" s="12" t="s">
        <v>240</v>
      </c>
      <c r="C94" s="102" t="s">
        <v>270</v>
      </c>
      <c r="D94" s="103"/>
      <c r="E94" s="103"/>
      <c r="F94" s="104"/>
      <c r="G94" s="11">
        <v>20017</v>
      </c>
      <c r="H94" s="11" t="s">
        <v>42</v>
      </c>
      <c r="I94" s="16">
        <f>(1.5+1.5+0.8+0.8)*2</f>
        <v>9.1999999999999993</v>
      </c>
      <c r="J94" s="40">
        <v>10.18</v>
      </c>
      <c r="K94" s="6">
        <f t="shared" si="23"/>
        <v>12.493914</v>
      </c>
      <c r="L94" s="7">
        <f t="shared" si="24"/>
        <v>114.94400879999999</v>
      </c>
    </row>
    <row r="95" spans="2:12" s="20" customFormat="1" ht="39.75" customHeight="1" x14ac:dyDescent="0.25">
      <c r="B95" s="12" t="s">
        <v>241</v>
      </c>
      <c r="C95" s="102" t="s">
        <v>274</v>
      </c>
      <c r="D95" s="103"/>
      <c r="E95" s="103"/>
      <c r="F95" s="104"/>
      <c r="G95" s="11">
        <v>90801</v>
      </c>
      <c r="H95" s="11" t="s">
        <v>3</v>
      </c>
      <c r="I95" s="16">
        <v>0.92</v>
      </c>
      <c r="J95" s="40">
        <v>407.2</v>
      </c>
      <c r="K95" s="6">
        <f t="shared" si="23"/>
        <v>499.75656000000004</v>
      </c>
      <c r="L95" s="7">
        <f t="shared" si="24"/>
        <v>459.77603520000008</v>
      </c>
    </row>
    <row r="96" spans="2:12" s="20" customFormat="1" ht="39.75" customHeight="1" x14ac:dyDescent="0.25">
      <c r="B96" s="12" t="s">
        <v>242</v>
      </c>
      <c r="C96" s="102" t="s">
        <v>273</v>
      </c>
      <c r="D96" s="103"/>
      <c r="E96" s="103"/>
      <c r="F96" s="104"/>
      <c r="G96" s="11">
        <v>7568</v>
      </c>
      <c r="H96" s="11" t="s">
        <v>3</v>
      </c>
      <c r="I96" s="16">
        <v>12</v>
      </c>
      <c r="J96" s="40">
        <v>0.49</v>
      </c>
      <c r="K96" s="6">
        <f t="shared" si="23"/>
        <v>0.60137700000000005</v>
      </c>
      <c r="L96" s="7">
        <f t="shared" si="24"/>
        <v>7.2165240000000006</v>
      </c>
    </row>
    <row r="97" spans="2:78" s="20" customFormat="1" ht="33" customHeight="1" x14ac:dyDescent="0.25">
      <c r="B97" s="90" t="s">
        <v>349</v>
      </c>
      <c r="C97" s="91"/>
      <c r="D97" s="91"/>
      <c r="E97" s="91"/>
      <c r="F97" s="91"/>
      <c r="G97" s="91"/>
      <c r="H97" s="91"/>
      <c r="I97" s="91"/>
      <c r="J97" s="91"/>
      <c r="K97" s="92"/>
      <c r="L97" s="15">
        <f>SUM(L93:L96)</f>
        <v>1379.804298</v>
      </c>
    </row>
    <row r="98" spans="2:78" s="20" customFormat="1" ht="33" customHeight="1" x14ac:dyDescent="0.25">
      <c r="B98" s="14">
        <v>13</v>
      </c>
      <c r="C98" s="151" t="s">
        <v>125</v>
      </c>
      <c r="D98" s="152"/>
      <c r="E98" s="152"/>
      <c r="F98" s="152"/>
      <c r="G98" s="152"/>
      <c r="H98" s="152"/>
      <c r="I98" s="152"/>
      <c r="J98" s="152"/>
      <c r="K98" s="152"/>
      <c r="L98" s="153"/>
    </row>
    <row r="99" spans="2:78" s="20" customFormat="1" ht="39.75" customHeight="1" x14ac:dyDescent="0.25">
      <c r="B99" s="12" t="s">
        <v>243</v>
      </c>
      <c r="C99" s="102" t="s">
        <v>264</v>
      </c>
      <c r="D99" s="103"/>
      <c r="E99" s="103"/>
      <c r="F99" s="104"/>
      <c r="G99" s="11">
        <v>3993</v>
      </c>
      <c r="H99" s="11" t="s">
        <v>47</v>
      </c>
      <c r="I99" s="16">
        <f>2.98*1.4</f>
        <v>4.1719999999999997</v>
      </c>
      <c r="J99" s="40">
        <v>134.18</v>
      </c>
      <c r="K99" s="6">
        <f t="shared" ref="K99:K107" si="25">J99*$G$3</f>
        <v>164.67911400000003</v>
      </c>
      <c r="L99" s="7">
        <f t="shared" ref="L99:L107" si="26">I99*K99</f>
        <v>687.04126360800001</v>
      </c>
    </row>
    <row r="100" spans="2:78" s="20" customFormat="1" ht="39.75" customHeight="1" x14ac:dyDescent="0.25">
      <c r="B100" s="12" t="s">
        <v>244</v>
      </c>
      <c r="C100" s="102" t="s">
        <v>275</v>
      </c>
      <c r="D100" s="103"/>
      <c r="E100" s="103"/>
      <c r="F100" s="104"/>
      <c r="G100" s="11">
        <v>5068</v>
      </c>
      <c r="H100" s="11" t="s">
        <v>48</v>
      </c>
      <c r="I100" s="16">
        <f>80*0.004</f>
        <v>0.32</v>
      </c>
      <c r="J100" s="40">
        <v>15.26</v>
      </c>
      <c r="K100" s="6">
        <f t="shared" si="25"/>
        <v>18.728598000000002</v>
      </c>
      <c r="L100" s="7">
        <f t="shared" si="26"/>
        <v>5.9931513600000006</v>
      </c>
    </row>
    <row r="101" spans="2:78" s="20" customFormat="1" ht="39.75" customHeight="1" x14ac:dyDescent="0.25">
      <c r="B101" s="12" t="s">
        <v>245</v>
      </c>
      <c r="C101" s="102" t="s">
        <v>266</v>
      </c>
      <c r="D101" s="103"/>
      <c r="E101" s="103"/>
      <c r="F101" s="104"/>
      <c r="G101" s="11">
        <v>20209</v>
      </c>
      <c r="H101" s="11" t="s">
        <v>111</v>
      </c>
      <c r="I101" s="16">
        <f>2.1+2.1+1.2+1.2+3+1.2</f>
        <v>10.8</v>
      </c>
      <c r="J101" s="40">
        <v>29.98</v>
      </c>
      <c r="K101" s="6">
        <f t="shared" si="25"/>
        <v>36.794454000000002</v>
      </c>
      <c r="L101" s="7">
        <f t="shared" si="26"/>
        <v>397.38010320000006</v>
      </c>
    </row>
    <row r="102" spans="2:78" s="20" customFormat="1" ht="39.75" customHeight="1" x14ac:dyDescent="0.25">
      <c r="B102" s="12" t="s">
        <v>246</v>
      </c>
      <c r="C102" s="102" t="s">
        <v>267</v>
      </c>
      <c r="D102" s="103"/>
      <c r="E102" s="103"/>
      <c r="F102" s="104"/>
      <c r="G102" s="11">
        <v>88239</v>
      </c>
      <c r="H102" s="11" t="s">
        <v>40</v>
      </c>
      <c r="I102" s="16">
        <v>3</v>
      </c>
      <c r="J102" s="40">
        <v>28.29</v>
      </c>
      <c r="K102" s="6">
        <f t="shared" si="25"/>
        <v>34.720317000000001</v>
      </c>
      <c r="L102" s="7">
        <f t="shared" si="26"/>
        <v>104.16095100000001</v>
      </c>
    </row>
    <row r="103" spans="2:78" s="20" customFormat="1" ht="39.75" customHeight="1" x14ac:dyDescent="0.25">
      <c r="B103" s="12" t="s">
        <v>247</v>
      </c>
      <c r="C103" s="102" t="s">
        <v>268</v>
      </c>
      <c r="D103" s="103"/>
      <c r="E103" s="103"/>
      <c r="F103" s="104"/>
      <c r="G103" s="11">
        <v>88262</v>
      </c>
      <c r="H103" s="11" t="s">
        <v>40</v>
      </c>
      <c r="I103" s="16">
        <v>3</v>
      </c>
      <c r="J103" s="40">
        <v>34.31</v>
      </c>
      <c r="K103" s="6">
        <f t="shared" si="25"/>
        <v>42.108663000000007</v>
      </c>
      <c r="L103" s="7">
        <f t="shared" si="26"/>
        <v>126.32598900000002</v>
      </c>
    </row>
    <row r="104" spans="2:78" s="20" customFormat="1" ht="39.75" customHeight="1" x14ac:dyDescent="0.25">
      <c r="B104" s="12" t="s">
        <v>248</v>
      </c>
      <c r="C104" s="102" t="s">
        <v>269</v>
      </c>
      <c r="D104" s="103"/>
      <c r="E104" s="103"/>
      <c r="F104" s="104"/>
      <c r="G104" s="11">
        <v>91692</v>
      </c>
      <c r="H104" s="11" t="s">
        <v>40</v>
      </c>
      <c r="I104" s="16">
        <v>0.1</v>
      </c>
      <c r="J104" s="40">
        <v>34.01</v>
      </c>
      <c r="K104" s="6">
        <f t="shared" si="25"/>
        <v>41.740473000000001</v>
      </c>
      <c r="L104" s="7">
        <f t="shared" si="26"/>
        <v>4.1740473000000007</v>
      </c>
    </row>
    <row r="105" spans="2:78" s="20" customFormat="1" ht="39.75" customHeight="1" x14ac:dyDescent="0.25">
      <c r="B105" s="12" t="s">
        <v>249</v>
      </c>
      <c r="C105" s="102" t="s">
        <v>271</v>
      </c>
      <c r="D105" s="103"/>
      <c r="E105" s="103"/>
      <c r="F105" s="104"/>
      <c r="G105" s="11">
        <v>100708</v>
      </c>
      <c r="H105" s="11" t="s">
        <v>3</v>
      </c>
      <c r="I105" s="16">
        <v>1</v>
      </c>
      <c r="J105" s="40">
        <v>193.88</v>
      </c>
      <c r="K105" s="6">
        <f t="shared" si="25"/>
        <v>237.94892400000001</v>
      </c>
      <c r="L105" s="7">
        <f t="shared" si="26"/>
        <v>237.94892400000001</v>
      </c>
    </row>
    <row r="106" spans="2:78" s="20" customFormat="1" ht="39.75" customHeight="1" x14ac:dyDescent="0.25">
      <c r="B106" s="12" t="s">
        <v>250</v>
      </c>
      <c r="C106" s="102" t="s">
        <v>273</v>
      </c>
      <c r="D106" s="103"/>
      <c r="E106" s="103"/>
      <c r="F106" s="104"/>
      <c r="G106" s="11">
        <v>7568</v>
      </c>
      <c r="H106" s="11" t="s">
        <v>3</v>
      </c>
      <c r="I106" s="16">
        <v>16</v>
      </c>
      <c r="J106" s="40">
        <v>0.49</v>
      </c>
      <c r="K106" s="6">
        <f t="shared" si="25"/>
        <v>0.60137700000000005</v>
      </c>
      <c r="L106" s="7">
        <f t="shared" si="26"/>
        <v>9.6220320000000008</v>
      </c>
    </row>
    <row r="107" spans="2:78" s="20" customFormat="1" ht="39.75" customHeight="1" x14ac:dyDescent="0.25">
      <c r="B107" s="12" t="s">
        <v>251</v>
      </c>
      <c r="C107" s="102" t="s">
        <v>281</v>
      </c>
      <c r="D107" s="103"/>
      <c r="E107" s="103"/>
      <c r="F107" s="104"/>
      <c r="G107" s="11">
        <v>100709</v>
      </c>
      <c r="H107" s="11" t="s">
        <v>3</v>
      </c>
      <c r="I107" s="16">
        <v>8</v>
      </c>
      <c r="J107" s="40">
        <v>58.29</v>
      </c>
      <c r="K107" s="6">
        <f t="shared" si="25"/>
        <v>71.539316999999997</v>
      </c>
      <c r="L107" s="7">
        <f t="shared" si="26"/>
        <v>572.31453599999998</v>
      </c>
    </row>
    <row r="108" spans="2:78" s="20" customFormat="1" ht="33" customHeight="1" x14ac:dyDescent="0.25">
      <c r="B108" s="90" t="s">
        <v>350</v>
      </c>
      <c r="C108" s="91"/>
      <c r="D108" s="91"/>
      <c r="E108" s="91"/>
      <c r="F108" s="91"/>
      <c r="G108" s="91"/>
      <c r="H108" s="91"/>
      <c r="I108" s="91"/>
      <c r="J108" s="91"/>
      <c r="K108" s="92"/>
      <c r="L108" s="15">
        <f>SUM(L99:L107)</f>
        <v>2144.9609974680002</v>
      </c>
    </row>
    <row r="109" spans="2:78" s="68" customFormat="1" ht="31.5" customHeight="1" x14ac:dyDescent="0.25">
      <c r="I109" s="69"/>
      <c r="J109" s="70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  <c r="AD109" s="67"/>
      <c r="AE109" s="67"/>
      <c r="AF109" s="67"/>
      <c r="AG109" s="67"/>
      <c r="AH109" s="67"/>
      <c r="AI109" s="67"/>
      <c r="AJ109" s="67"/>
      <c r="AK109" s="67"/>
      <c r="AL109" s="67"/>
      <c r="AM109" s="67"/>
      <c r="AN109" s="67"/>
      <c r="AO109" s="67"/>
      <c r="AP109" s="67"/>
      <c r="AQ109" s="67"/>
      <c r="AR109" s="67"/>
      <c r="AS109" s="67"/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/>
      <c r="BH109" s="67"/>
      <c r="BI109" s="67"/>
      <c r="BJ109" s="67"/>
      <c r="BK109" s="67"/>
      <c r="BL109" s="67"/>
      <c r="BM109" s="67"/>
      <c r="BN109" s="67"/>
      <c r="BO109" s="67"/>
      <c r="BP109" s="67"/>
      <c r="BQ109" s="67"/>
      <c r="BR109" s="67"/>
      <c r="BS109" s="67"/>
      <c r="BT109" s="67"/>
      <c r="BU109" s="67"/>
      <c r="BV109" s="67"/>
      <c r="BW109" s="67"/>
      <c r="BX109" s="67"/>
      <c r="BY109" s="67"/>
      <c r="BZ109" s="67"/>
    </row>
    <row r="110" spans="2:78" s="68" customFormat="1" ht="33" customHeight="1" x14ac:dyDescent="0.25">
      <c r="B110" s="89" t="s">
        <v>327</v>
      </c>
      <c r="C110" s="89"/>
      <c r="D110" s="89"/>
      <c r="E110" s="89"/>
      <c r="F110" s="89"/>
      <c r="G110" s="73"/>
      <c r="H110" s="73"/>
      <c r="I110" s="71"/>
      <c r="J110" s="72"/>
      <c r="K110" s="73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67"/>
      <c r="AE110" s="67"/>
      <c r="AF110" s="67"/>
      <c r="AG110" s="67"/>
      <c r="AH110" s="67"/>
      <c r="AI110" s="67"/>
      <c r="AJ110" s="67"/>
      <c r="AK110" s="67"/>
      <c r="AL110" s="67"/>
      <c r="AM110" s="67"/>
      <c r="AN110" s="67"/>
      <c r="AO110" s="67"/>
      <c r="AP110" s="67"/>
      <c r="AQ110" s="67"/>
      <c r="AR110" s="67"/>
      <c r="AS110" s="67"/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/>
      <c r="BH110" s="67"/>
      <c r="BI110" s="67"/>
      <c r="BJ110" s="67"/>
      <c r="BK110" s="67"/>
      <c r="BL110" s="67"/>
      <c r="BM110" s="67"/>
      <c r="BN110" s="67"/>
      <c r="BO110" s="67"/>
      <c r="BP110" s="67"/>
      <c r="BQ110" s="67"/>
      <c r="BR110" s="67"/>
      <c r="BS110" s="67"/>
      <c r="BT110" s="67"/>
      <c r="BU110" s="67"/>
      <c r="BV110" s="67"/>
      <c r="BW110" s="67"/>
      <c r="BX110" s="67"/>
      <c r="BY110" s="67"/>
      <c r="BZ110" s="67"/>
    </row>
    <row r="111" spans="2:78" s="8" customFormat="1" ht="23.25" customHeight="1" x14ac:dyDescent="0.25"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</row>
    <row r="112" spans="2:78" s="1" customFormat="1" ht="21.75" customHeight="1" x14ac:dyDescent="0.25">
      <c r="G112" s="51"/>
      <c r="H112" s="51"/>
      <c r="I112" s="51"/>
      <c r="J112" s="51"/>
      <c r="K112" s="51"/>
      <c r="L112" s="51"/>
      <c r="M112" s="51"/>
      <c r="N112" s="51"/>
      <c r="O112" s="51"/>
      <c r="P112" s="51"/>
    </row>
    <row r="113" spans="2:16" s="1" customFormat="1" ht="20.25" customHeight="1" x14ac:dyDescent="0.25">
      <c r="F113" s="81" t="s">
        <v>37</v>
      </c>
      <c r="G113" s="82" t="s">
        <v>37</v>
      </c>
      <c r="H113" s="81"/>
      <c r="J113" s="81"/>
      <c r="L113" s="81"/>
      <c r="M113" s="81"/>
      <c r="N113" s="81"/>
      <c r="O113" s="51"/>
      <c r="P113" s="51"/>
    </row>
    <row r="114" spans="2:16" s="1" customFormat="1" ht="20.25" customHeight="1" x14ac:dyDescent="0.25">
      <c r="F114" s="81" t="s">
        <v>36</v>
      </c>
      <c r="G114" s="82" t="s">
        <v>69</v>
      </c>
      <c r="H114" s="81"/>
      <c r="J114" s="81"/>
      <c r="L114" s="81"/>
      <c r="M114" s="81"/>
      <c r="N114" s="81"/>
      <c r="O114" s="51"/>
      <c r="P114" s="51"/>
    </row>
    <row r="115" spans="2:16" s="1" customFormat="1" ht="20.25" customHeight="1" x14ac:dyDescent="0.25">
      <c r="F115" s="81" t="s">
        <v>38</v>
      </c>
      <c r="G115" s="82" t="s">
        <v>253</v>
      </c>
      <c r="H115" s="81"/>
      <c r="J115" s="81"/>
      <c r="L115" s="81"/>
      <c r="M115" s="81"/>
      <c r="N115" s="81"/>
      <c r="O115" s="51"/>
      <c r="P115" s="51"/>
    </row>
    <row r="116" spans="2:16" s="1" customFormat="1" ht="20.25" customHeight="1" x14ac:dyDescent="0.25">
      <c r="F116" s="81" t="s">
        <v>16</v>
      </c>
      <c r="G116" s="82" t="s">
        <v>254</v>
      </c>
      <c r="H116" s="81"/>
      <c r="J116" s="81"/>
      <c r="L116" s="81"/>
      <c r="M116" s="81"/>
      <c r="N116" s="81"/>
      <c r="O116" s="51"/>
      <c r="P116" s="51"/>
    </row>
    <row r="117" spans="2:16" s="1" customFormat="1" ht="20.25" customHeight="1" x14ac:dyDescent="0.25">
      <c r="F117" s="81" t="s">
        <v>17</v>
      </c>
      <c r="G117" s="81"/>
      <c r="H117" s="81"/>
      <c r="I117" s="81"/>
      <c r="J117" s="81"/>
      <c r="K117" s="82"/>
      <c r="L117" s="81"/>
      <c r="M117" s="81"/>
      <c r="N117" s="81"/>
      <c r="O117" s="51"/>
      <c r="P117" s="51"/>
    </row>
    <row r="118" spans="2:16" s="1" customFormat="1" ht="15" customHeight="1" x14ac:dyDescent="0.25">
      <c r="G118" s="51"/>
      <c r="H118" s="51"/>
      <c r="I118" s="51"/>
      <c r="J118" s="51"/>
      <c r="K118" s="51"/>
      <c r="L118" s="51"/>
      <c r="M118" s="51"/>
      <c r="N118" s="51"/>
      <c r="O118" s="51"/>
      <c r="P118" s="51"/>
    </row>
    <row r="119" spans="2:16" s="20" customFormat="1" ht="15" customHeight="1" x14ac:dyDescent="0.25">
      <c r="B119" s="23"/>
      <c r="C119" s="23"/>
      <c r="D119" s="23"/>
      <c r="E119" s="23"/>
      <c r="F119" s="46"/>
      <c r="G119" s="150"/>
      <c r="H119" s="150"/>
      <c r="I119" s="150"/>
      <c r="J119" s="150"/>
      <c r="K119" s="150"/>
      <c r="L119" s="150"/>
    </row>
    <row r="120" spans="2:16" x14ac:dyDescent="0.25">
      <c r="B120" s="19"/>
      <c r="C120" s="25"/>
      <c r="D120" s="25"/>
      <c r="E120" s="25"/>
      <c r="F120" s="25"/>
      <c r="G120" s="25"/>
      <c r="H120" s="25"/>
      <c r="I120" s="22"/>
      <c r="J120" s="31"/>
      <c r="K120" s="25"/>
      <c r="L120" s="25"/>
    </row>
    <row r="121" spans="2:16" ht="15.75" x14ac:dyDescent="0.25">
      <c r="B121" s="19"/>
      <c r="C121" s="23"/>
      <c r="D121" s="23"/>
      <c r="E121" s="23"/>
      <c r="F121" s="23"/>
      <c r="G121" s="23"/>
      <c r="H121" s="23"/>
      <c r="I121" s="34"/>
      <c r="J121" s="30"/>
      <c r="K121" s="23"/>
      <c r="L121" s="19"/>
    </row>
    <row r="122" spans="2:16" x14ac:dyDescent="0.25">
      <c r="B122" s="19"/>
      <c r="C122" s="19"/>
      <c r="D122" s="19"/>
      <c r="E122" s="19"/>
      <c r="F122" s="19"/>
      <c r="G122" s="19"/>
      <c r="H122" s="19"/>
      <c r="I122" s="35"/>
      <c r="J122" s="32"/>
      <c r="K122" s="19"/>
      <c r="L122" s="19"/>
    </row>
    <row r="123" spans="2:16" x14ac:dyDescent="0.25">
      <c r="B123" s="19"/>
      <c r="C123" s="19"/>
      <c r="D123" s="19"/>
      <c r="E123" s="19"/>
      <c r="F123" s="19"/>
      <c r="G123" s="19"/>
      <c r="H123" s="19"/>
      <c r="I123" s="35"/>
      <c r="J123" s="32"/>
      <c r="K123" s="19"/>
      <c r="L123" s="19"/>
    </row>
    <row r="124" spans="2:16" x14ac:dyDescent="0.25">
      <c r="B124" s="19"/>
      <c r="C124" s="19"/>
      <c r="D124" s="19"/>
      <c r="E124" s="19"/>
      <c r="F124" s="19"/>
      <c r="G124" s="19"/>
      <c r="H124" s="19"/>
      <c r="I124" s="35"/>
      <c r="J124" s="32"/>
      <c r="K124" s="19"/>
      <c r="L124" s="19"/>
    </row>
    <row r="125" spans="2:16" x14ac:dyDescent="0.25">
      <c r="B125" s="19"/>
      <c r="C125" s="19"/>
      <c r="D125" s="19"/>
      <c r="E125" s="19"/>
      <c r="F125" s="19"/>
      <c r="G125" s="26"/>
      <c r="H125" s="19"/>
      <c r="I125" s="35"/>
      <c r="J125" s="32"/>
      <c r="K125" s="19"/>
      <c r="L125" s="19"/>
    </row>
    <row r="126" spans="2:16" x14ac:dyDescent="0.25">
      <c r="B126" s="19"/>
      <c r="C126" s="19"/>
      <c r="D126" s="19"/>
      <c r="E126" s="19"/>
      <c r="F126" s="19"/>
      <c r="G126" s="26"/>
      <c r="H126" s="19"/>
      <c r="I126" s="35"/>
      <c r="J126" s="32"/>
      <c r="K126" s="19"/>
      <c r="L126" s="19"/>
    </row>
    <row r="127" spans="2:16" x14ac:dyDescent="0.25">
      <c r="B127" s="19"/>
      <c r="C127" s="19"/>
      <c r="D127" s="19"/>
      <c r="E127" s="19"/>
      <c r="F127" s="19"/>
      <c r="G127" s="26"/>
      <c r="H127" s="19"/>
      <c r="I127" s="35"/>
      <c r="J127" s="32"/>
      <c r="K127" s="19"/>
      <c r="L127" s="19"/>
    </row>
    <row r="128" spans="2:16" x14ac:dyDescent="0.25">
      <c r="B128" s="19"/>
      <c r="C128" s="19"/>
      <c r="D128" s="19"/>
      <c r="E128" s="19"/>
      <c r="F128" s="19"/>
      <c r="G128" s="26"/>
      <c r="H128" s="19"/>
      <c r="I128" s="35"/>
      <c r="J128" s="32"/>
      <c r="K128" s="19"/>
      <c r="L128" s="19"/>
    </row>
    <row r="129" spans="2:12" x14ac:dyDescent="0.25">
      <c r="B129" s="19"/>
      <c r="C129" s="19"/>
      <c r="D129" s="19"/>
      <c r="E129" s="19"/>
      <c r="F129" s="19"/>
      <c r="G129" s="26"/>
      <c r="H129" s="19"/>
      <c r="I129" s="35"/>
      <c r="J129" s="32"/>
      <c r="K129" s="19"/>
      <c r="L129" s="19"/>
    </row>
    <row r="130" spans="2:12" x14ac:dyDescent="0.25">
      <c r="B130" s="19"/>
      <c r="C130" s="19"/>
      <c r="D130" s="19"/>
      <c r="E130" s="19"/>
      <c r="F130" s="19"/>
      <c r="G130" s="26"/>
      <c r="H130" s="19"/>
      <c r="I130" s="35"/>
      <c r="J130" s="32"/>
      <c r="K130" s="19"/>
      <c r="L130" s="19"/>
    </row>
    <row r="131" spans="2:12" x14ac:dyDescent="0.25">
      <c r="B131" s="19"/>
      <c r="C131" s="19"/>
      <c r="D131" s="19"/>
      <c r="E131" s="19"/>
      <c r="F131" s="19"/>
      <c r="G131" s="26"/>
      <c r="H131" s="19"/>
      <c r="I131" s="35"/>
      <c r="J131" s="32"/>
      <c r="K131" s="19"/>
      <c r="L131" s="19"/>
    </row>
    <row r="132" spans="2:12" x14ac:dyDescent="0.25">
      <c r="B132" s="19"/>
      <c r="C132" s="19"/>
      <c r="D132" s="19"/>
      <c r="E132" s="19"/>
      <c r="F132" s="19"/>
      <c r="G132" s="26"/>
      <c r="H132" s="19"/>
      <c r="I132" s="35"/>
      <c r="J132" s="32"/>
      <c r="K132" s="19"/>
      <c r="L132" s="19"/>
    </row>
    <row r="133" spans="2:12" x14ac:dyDescent="0.25">
      <c r="B133" s="19"/>
      <c r="C133" s="19"/>
      <c r="D133" s="19"/>
      <c r="E133" s="19"/>
      <c r="F133" s="19"/>
      <c r="G133" s="26"/>
      <c r="H133" s="19"/>
      <c r="I133" s="35"/>
      <c r="J133" s="32"/>
      <c r="K133" s="19"/>
      <c r="L133" s="19"/>
    </row>
    <row r="134" spans="2:12" x14ac:dyDescent="0.25">
      <c r="B134" s="19"/>
      <c r="C134" s="19"/>
      <c r="D134" s="19"/>
      <c r="E134" s="19"/>
      <c r="F134" s="19"/>
      <c r="G134" s="26"/>
      <c r="H134" s="19"/>
      <c r="I134" s="35"/>
      <c r="J134" s="32"/>
      <c r="K134" s="19"/>
      <c r="L134" s="19"/>
    </row>
    <row r="135" spans="2:12" x14ac:dyDescent="0.25">
      <c r="B135" s="19"/>
      <c r="C135" s="19"/>
      <c r="D135" s="19"/>
      <c r="E135" s="19"/>
      <c r="F135" s="19"/>
      <c r="G135" s="26"/>
      <c r="H135" s="19"/>
      <c r="I135" s="35"/>
      <c r="J135" s="32"/>
      <c r="K135" s="19"/>
      <c r="L135" s="19"/>
    </row>
    <row r="136" spans="2:12" x14ac:dyDescent="0.25">
      <c r="B136" s="19"/>
      <c r="C136" s="19"/>
      <c r="D136" s="19"/>
      <c r="E136" s="19"/>
      <c r="F136" s="19"/>
      <c r="G136" s="26"/>
      <c r="H136" s="19"/>
      <c r="I136" s="35"/>
      <c r="J136" s="32"/>
      <c r="K136" s="19"/>
      <c r="L136" s="19"/>
    </row>
    <row r="137" spans="2:12" x14ac:dyDescent="0.25">
      <c r="B137" s="19"/>
      <c r="C137" s="19"/>
      <c r="D137" s="19"/>
      <c r="E137" s="19"/>
      <c r="F137" s="19"/>
      <c r="G137" s="26"/>
      <c r="H137" s="19"/>
      <c r="I137" s="35"/>
      <c r="J137" s="32"/>
      <c r="K137" s="19"/>
      <c r="L137" s="19"/>
    </row>
    <row r="138" spans="2:12" x14ac:dyDescent="0.25">
      <c r="B138" s="19"/>
      <c r="C138" s="19"/>
      <c r="D138" s="19"/>
      <c r="E138" s="19"/>
      <c r="F138" s="19"/>
      <c r="G138" s="26"/>
      <c r="H138" s="19"/>
      <c r="I138" s="35"/>
      <c r="J138" s="32"/>
      <c r="K138" s="19"/>
      <c r="L138" s="19"/>
    </row>
    <row r="139" spans="2:12" x14ac:dyDescent="0.25">
      <c r="B139" s="19"/>
      <c r="C139" s="19"/>
      <c r="D139" s="19"/>
      <c r="E139" s="19"/>
      <c r="F139" s="19"/>
      <c r="G139" s="26"/>
      <c r="H139" s="19"/>
      <c r="I139" s="35"/>
      <c r="J139" s="32"/>
      <c r="K139" s="19"/>
      <c r="L139" s="19"/>
    </row>
    <row r="140" spans="2:12" x14ac:dyDescent="0.25">
      <c r="B140" s="19"/>
      <c r="C140" s="19"/>
      <c r="D140" s="19"/>
      <c r="E140" s="19"/>
      <c r="F140" s="19"/>
      <c r="G140" s="26"/>
      <c r="H140" s="19"/>
      <c r="I140" s="35"/>
      <c r="J140" s="32"/>
      <c r="K140" s="19"/>
      <c r="L140" s="19"/>
    </row>
    <row r="141" spans="2:12" x14ac:dyDescent="0.25">
      <c r="B141" s="19"/>
      <c r="C141" s="19"/>
      <c r="D141" s="19"/>
      <c r="E141" s="19"/>
      <c r="F141" s="19"/>
      <c r="G141" s="26"/>
      <c r="H141" s="19"/>
      <c r="I141" s="35"/>
      <c r="J141" s="32"/>
      <c r="K141" s="19"/>
      <c r="L141" s="19"/>
    </row>
    <row r="142" spans="2:12" x14ac:dyDescent="0.25">
      <c r="B142" s="19"/>
      <c r="C142" s="19"/>
      <c r="D142" s="19"/>
      <c r="E142" s="19"/>
      <c r="F142" s="19"/>
      <c r="G142" s="26"/>
      <c r="H142" s="19"/>
      <c r="I142" s="35"/>
      <c r="J142" s="32"/>
      <c r="K142" s="19"/>
      <c r="L142" s="19"/>
    </row>
    <row r="143" spans="2:12" x14ac:dyDescent="0.25">
      <c r="B143" s="19"/>
      <c r="C143" s="19"/>
      <c r="D143" s="19"/>
      <c r="E143" s="19"/>
      <c r="F143" s="19"/>
      <c r="G143" s="26"/>
      <c r="H143" s="19"/>
      <c r="I143" s="35"/>
      <c r="J143" s="32"/>
      <c r="K143" s="19"/>
      <c r="L143" s="19"/>
    </row>
    <row r="144" spans="2:12" x14ac:dyDescent="0.25">
      <c r="B144" s="19"/>
      <c r="C144" s="19"/>
      <c r="D144" s="19"/>
      <c r="E144" s="19"/>
      <c r="F144" s="19"/>
      <c r="G144" s="26"/>
      <c r="H144" s="19"/>
      <c r="I144" s="35"/>
      <c r="J144" s="32"/>
      <c r="K144" s="19"/>
      <c r="L144" s="19"/>
    </row>
    <row r="145" spans="2:12" x14ac:dyDescent="0.25">
      <c r="B145" s="19"/>
      <c r="C145" s="19"/>
      <c r="D145" s="19"/>
      <c r="E145" s="19"/>
      <c r="F145" s="19"/>
      <c r="G145" s="26"/>
      <c r="H145" s="19"/>
      <c r="I145" s="35"/>
      <c r="J145" s="32"/>
      <c r="K145" s="19"/>
      <c r="L145" s="19"/>
    </row>
    <row r="146" spans="2:12" x14ac:dyDescent="0.25">
      <c r="B146" s="19"/>
      <c r="C146" s="19"/>
      <c r="D146" s="19"/>
      <c r="E146" s="19"/>
      <c r="F146" s="19"/>
      <c r="G146" s="26"/>
      <c r="H146" s="19"/>
      <c r="I146" s="35"/>
      <c r="J146" s="32"/>
      <c r="K146" s="19"/>
      <c r="L146" s="19"/>
    </row>
    <row r="147" spans="2:12" x14ac:dyDescent="0.25">
      <c r="B147" s="19"/>
      <c r="C147" s="19"/>
      <c r="D147" s="19"/>
      <c r="E147" s="19"/>
      <c r="F147" s="19"/>
      <c r="G147" s="26"/>
      <c r="H147" s="19"/>
      <c r="I147" s="35"/>
      <c r="J147" s="32"/>
      <c r="K147" s="19"/>
      <c r="L147" s="19"/>
    </row>
    <row r="148" spans="2:12" x14ac:dyDescent="0.25">
      <c r="B148" s="19"/>
      <c r="C148" s="19"/>
      <c r="D148" s="19"/>
      <c r="E148" s="19"/>
      <c r="F148" s="19"/>
      <c r="G148" s="26"/>
      <c r="H148" s="19"/>
      <c r="I148" s="35"/>
      <c r="J148" s="32"/>
      <c r="K148" s="19"/>
      <c r="L148" s="19"/>
    </row>
    <row r="149" spans="2:12" x14ac:dyDescent="0.25">
      <c r="B149" s="19"/>
      <c r="C149" s="19"/>
      <c r="D149" s="19"/>
      <c r="E149" s="19"/>
      <c r="F149" s="19"/>
      <c r="G149" s="26"/>
      <c r="H149" s="19"/>
      <c r="I149" s="35"/>
      <c r="J149" s="32"/>
      <c r="K149" s="19"/>
      <c r="L149" s="19"/>
    </row>
    <row r="150" spans="2:12" x14ac:dyDescent="0.25">
      <c r="B150" s="19"/>
      <c r="C150" s="19"/>
      <c r="D150" s="19"/>
      <c r="E150" s="19"/>
      <c r="F150" s="19"/>
      <c r="G150" s="26"/>
      <c r="H150" s="19"/>
      <c r="I150" s="35"/>
      <c r="J150" s="32"/>
      <c r="K150" s="19"/>
      <c r="L150" s="19"/>
    </row>
    <row r="151" spans="2:12" x14ac:dyDescent="0.25">
      <c r="B151" s="19"/>
      <c r="C151" s="19"/>
      <c r="D151" s="19"/>
      <c r="E151" s="19"/>
      <c r="F151" s="19"/>
      <c r="G151" s="26"/>
      <c r="H151" s="19"/>
      <c r="I151" s="35"/>
      <c r="J151" s="32"/>
      <c r="K151" s="19"/>
      <c r="L151" s="19"/>
    </row>
    <row r="152" spans="2:12" x14ac:dyDescent="0.25">
      <c r="B152" s="19"/>
      <c r="C152" s="19"/>
      <c r="D152" s="19"/>
      <c r="E152" s="19"/>
      <c r="F152" s="19"/>
      <c r="G152" s="26"/>
      <c r="H152" s="19"/>
      <c r="I152" s="35"/>
      <c r="J152" s="32"/>
      <c r="K152" s="19"/>
      <c r="L152" s="19"/>
    </row>
    <row r="153" spans="2:12" x14ac:dyDescent="0.25">
      <c r="B153" s="19"/>
      <c r="C153" s="19"/>
      <c r="D153" s="19"/>
      <c r="E153" s="19"/>
      <c r="F153" s="19"/>
      <c r="G153" s="26"/>
      <c r="H153" s="19"/>
      <c r="I153" s="35"/>
      <c r="J153" s="32"/>
      <c r="K153" s="19"/>
      <c r="L153" s="19"/>
    </row>
    <row r="154" spans="2:12" x14ac:dyDescent="0.25">
      <c r="B154" s="19"/>
      <c r="C154" s="19"/>
      <c r="D154" s="19"/>
      <c r="E154" s="19"/>
      <c r="F154" s="19"/>
      <c r="G154" s="26"/>
      <c r="H154" s="19"/>
      <c r="I154" s="35"/>
      <c r="J154" s="32"/>
      <c r="K154" s="19"/>
      <c r="L154" s="19"/>
    </row>
    <row r="155" spans="2:12" x14ac:dyDescent="0.25">
      <c r="B155" s="19"/>
      <c r="C155" s="19"/>
      <c r="D155" s="19"/>
      <c r="E155" s="19"/>
      <c r="F155" s="19"/>
      <c r="G155" s="26"/>
      <c r="H155" s="19"/>
      <c r="I155" s="35"/>
      <c r="J155" s="32"/>
      <c r="K155" s="19"/>
      <c r="L155" s="19"/>
    </row>
    <row r="156" spans="2:12" x14ac:dyDescent="0.25">
      <c r="B156" s="19"/>
      <c r="C156" s="19"/>
      <c r="D156" s="19"/>
      <c r="E156" s="19"/>
      <c r="F156" s="19"/>
      <c r="G156" s="26"/>
      <c r="H156" s="19"/>
      <c r="I156" s="35"/>
      <c r="J156" s="32"/>
      <c r="K156" s="19"/>
      <c r="L156" s="19"/>
    </row>
    <row r="157" spans="2:12" x14ac:dyDescent="0.25">
      <c r="B157" s="19"/>
      <c r="C157" s="19"/>
      <c r="D157" s="19"/>
      <c r="E157" s="19"/>
      <c r="F157" s="19"/>
      <c r="G157" s="26"/>
      <c r="H157" s="19"/>
      <c r="I157" s="35"/>
      <c r="J157" s="32"/>
      <c r="K157" s="19"/>
      <c r="L157" s="19"/>
    </row>
    <row r="158" spans="2:12" x14ac:dyDescent="0.25">
      <c r="B158" s="19"/>
      <c r="C158" s="19"/>
      <c r="D158" s="19"/>
      <c r="E158" s="19"/>
      <c r="F158" s="19"/>
      <c r="G158" s="26"/>
      <c r="H158" s="19"/>
      <c r="I158" s="35"/>
      <c r="J158" s="32"/>
      <c r="K158" s="19"/>
      <c r="L158" s="19"/>
    </row>
    <row r="159" spans="2:12" x14ac:dyDescent="0.25">
      <c r="B159" s="19"/>
      <c r="C159" s="19"/>
      <c r="D159" s="19"/>
      <c r="E159" s="19"/>
      <c r="F159" s="19"/>
      <c r="G159" s="26"/>
      <c r="H159" s="19"/>
      <c r="I159" s="35"/>
      <c r="J159" s="32"/>
      <c r="K159" s="19"/>
      <c r="L159" s="19"/>
    </row>
    <row r="160" spans="2:12" x14ac:dyDescent="0.25">
      <c r="B160" s="19"/>
      <c r="C160" s="19"/>
      <c r="D160" s="19"/>
      <c r="E160" s="19"/>
      <c r="F160" s="19"/>
      <c r="G160" s="26"/>
      <c r="H160" s="19"/>
      <c r="I160" s="35"/>
      <c r="J160" s="32"/>
      <c r="K160" s="19"/>
      <c r="L160" s="19"/>
    </row>
    <row r="161" spans="2:12" x14ac:dyDescent="0.25">
      <c r="B161" s="19"/>
      <c r="C161" s="19"/>
      <c r="D161" s="19"/>
      <c r="E161" s="19"/>
      <c r="F161" s="19"/>
      <c r="G161" s="26"/>
      <c r="H161" s="19"/>
      <c r="I161" s="35"/>
      <c r="J161" s="32"/>
      <c r="K161" s="19"/>
      <c r="L161" s="19"/>
    </row>
    <row r="162" spans="2:12" x14ac:dyDescent="0.25">
      <c r="B162" s="19"/>
      <c r="C162" s="19"/>
      <c r="D162" s="19"/>
      <c r="E162" s="19"/>
      <c r="F162" s="19"/>
      <c r="G162" s="26"/>
      <c r="H162" s="19"/>
      <c r="I162" s="35"/>
      <c r="J162" s="32"/>
      <c r="K162" s="19"/>
      <c r="L162" s="19"/>
    </row>
    <row r="163" spans="2:12" x14ac:dyDescent="0.25">
      <c r="B163" s="19"/>
      <c r="C163" s="19"/>
      <c r="D163" s="19"/>
      <c r="E163" s="19"/>
      <c r="F163" s="19"/>
      <c r="G163" s="26"/>
      <c r="H163" s="19"/>
      <c r="I163" s="35"/>
      <c r="J163" s="32"/>
      <c r="K163" s="19"/>
      <c r="L163" s="19"/>
    </row>
    <row r="164" spans="2:12" x14ac:dyDescent="0.25">
      <c r="B164" s="19"/>
      <c r="C164" s="19"/>
      <c r="D164" s="19"/>
      <c r="E164" s="19"/>
      <c r="F164" s="19"/>
      <c r="G164" s="26"/>
      <c r="H164" s="19"/>
      <c r="I164" s="35"/>
      <c r="J164" s="32"/>
      <c r="K164" s="19"/>
      <c r="L164" s="19"/>
    </row>
    <row r="165" spans="2:12" x14ac:dyDescent="0.25">
      <c r="B165" s="19"/>
      <c r="C165" s="19"/>
      <c r="D165" s="19"/>
      <c r="E165" s="19"/>
      <c r="F165" s="19"/>
      <c r="G165" s="26"/>
      <c r="H165" s="19"/>
      <c r="I165" s="35"/>
      <c r="J165" s="32"/>
      <c r="K165" s="19"/>
      <c r="L165" s="19"/>
    </row>
    <row r="166" spans="2:12" x14ac:dyDescent="0.25">
      <c r="B166" s="19"/>
      <c r="C166" s="19"/>
      <c r="D166" s="19"/>
      <c r="E166" s="19"/>
      <c r="F166" s="19"/>
      <c r="G166" s="26"/>
      <c r="H166" s="19"/>
      <c r="I166" s="35"/>
      <c r="J166" s="32"/>
      <c r="K166" s="19"/>
      <c r="L166" s="19"/>
    </row>
    <row r="167" spans="2:12" x14ac:dyDescent="0.25">
      <c r="B167" s="19"/>
      <c r="C167" s="19"/>
      <c r="D167" s="19"/>
      <c r="E167" s="19"/>
      <c r="F167" s="19"/>
      <c r="G167" s="26"/>
      <c r="H167" s="19"/>
      <c r="I167" s="35"/>
      <c r="J167" s="32"/>
      <c r="K167" s="19"/>
      <c r="L167" s="19"/>
    </row>
    <row r="168" spans="2:12" x14ac:dyDescent="0.25">
      <c r="B168" s="19"/>
      <c r="C168" s="19"/>
      <c r="D168" s="19"/>
      <c r="E168" s="19"/>
      <c r="F168" s="19"/>
      <c r="G168" s="26"/>
      <c r="H168" s="19"/>
      <c r="I168" s="35"/>
      <c r="J168" s="32"/>
      <c r="K168" s="19"/>
      <c r="L168" s="19"/>
    </row>
    <row r="169" spans="2:12" x14ac:dyDescent="0.25">
      <c r="B169" s="19"/>
      <c r="C169" s="19"/>
      <c r="D169" s="19"/>
      <c r="E169" s="19"/>
      <c r="F169" s="19"/>
      <c r="G169" s="26"/>
      <c r="H169" s="19"/>
      <c r="I169" s="35"/>
      <c r="J169" s="32"/>
      <c r="K169" s="19"/>
      <c r="L169" s="19"/>
    </row>
    <row r="170" spans="2:12" x14ac:dyDescent="0.25">
      <c r="B170" s="19"/>
      <c r="C170" s="19"/>
      <c r="D170" s="19"/>
      <c r="E170" s="19"/>
      <c r="F170" s="19"/>
      <c r="G170" s="26"/>
      <c r="H170" s="19"/>
      <c r="I170" s="35"/>
      <c r="J170" s="32"/>
      <c r="K170" s="19"/>
      <c r="L170" s="19"/>
    </row>
    <row r="171" spans="2:12" x14ac:dyDescent="0.25">
      <c r="B171" s="19"/>
      <c r="C171" s="19"/>
      <c r="D171" s="19"/>
      <c r="E171" s="19"/>
      <c r="F171" s="19"/>
      <c r="G171" s="26"/>
      <c r="H171" s="19"/>
      <c r="I171" s="35"/>
      <c r="J171" s="32"/>
      <c r="K171" s="19"/>
      <c r="L171" s="19"/>
    </row>
    <row r="172" spans="2:12" x14ac:dyDescent="0.25">
      <c r="B172" s="19"/>
      <c r="C172" s="19"/>
      <c r="D172" s="19"/>
      <c r="E172" s="19"/>
      <c r="F172" s="19"/>
      <c r="G172" s="26"/>
      <c r="H172" s="19"/>
      <c r="I172" s="35"/>
      <c r="J172" s="32"/>
      <c r="K172" s="19"/>
      <c r="L172" s="19"/>
    </row>
    <row r="173" spans="2:12" x14ac:dyDescent="0.25">
      <c r="B173" s="19"/>
      <c r="C173" s="19"/>
      <c r="D173" s="19"/>
      <c r="E173" s="19"/>
      <c r="F173" s="19"/>
      <c r="G173" s="26"/>
      <c r="H173" s="19"/>
      <c r="I173" s="35"/>
      <c r="J173" s="32"/>
      <c r="K173" s="19"/>
      <c r="L173" s="19"/>
    </row>
    <row r="174" spans="2:12" x14ac:dyDescent="0.25">
      <c r="B174" s="19"/>
      <c r="C174" s="19"/>
      <c r="D174" s="19"/>
      <c r="E174" s="19"/>
      <c r="F174" s="19"/>
      <c r="G174" s="26"/>
      <c r="H174" s="19"/>
      <c r="I174" s="35"/>
      <c r="J174" s="32"/>
      <c r="K174" s="19"/>
      <c r="L174" s="19"/>
    </row>
    <row r="175" spans="2:12" x14ac:dyDescent="0.25">
      <c r="B175" s="19"/>
      <c r="C175" s="19"/>
      <c r="D175" s="19"/>
      <c r="E175" s="19"/>
      <c r="F175" s="19"/>
      <c r="G175" s="26"/>
      <c r="H175" s="19"/>
      <c r="I175" s="35"/>
      <c r="J175" s="32"/>
      <c r="K175" s="19"/>
      <c r="L175" s="19"/>
    </row>
    <row r="176" spans="2:12" x14ac:dyDescent="0.25">
      <c r="B176" s="19"/>
      <c r="C176" s="19"/>
      <c r="D176" s="19"/>
      <c r="E176" s="19"/>
      <c r="F176" s="19"/>
      <c r="G176" s="26"/>
      <c r="H176" s="19"/>
      <c r="I176" s="35"/>
      <c r="J176" s="32"/>
      <c r="K176" s="19"/>
      <c r="L176" s="19"/>
    </row>
    <row r="177" spans="2:12" x14ac:dyDescent="0.25">
      <c r="B177" s="19"/>
      <c r="C177" s="19"/>
      <c r="D177" s="19"/>
      <c r="E177" s="19"/>
      <c r="F177" s="19"/>
      <c r="G177" s="26"/>
      <c r="H177" s="19"/>
      <c r="I177" s="35"/>
      <c r="J177" s="32"/>
      <c r="K177" s="19"/>
      <c r="L177" s="19"/>
    </row>
    <row r="178" spans="2:12" x14ac:dyDescent="0.25">
      <c r="B178" s="19"/>
      <c r="C178" s="19"/>
      <c r="D178" s="19"/>
      <c r="E178" s="19"/>
      <c r="F178" s="19"/>
      <c r="G178" s="26"/>
      <c r="H178" s="19"/>
      <c r="I178" s="35"/>
      <c r="J178" s="32"/>
      <c r="K178" s="19"/>
      <c r="L178" s="19"/>
    </row>
    <row r="179" spans="2:12" x14ac:dyDescent="0.25">
      <c r="B179" s="19"/>
      <c r="C179" s="19"/>
      <c r="D179" s="19"/>
      <c r="E179" s="19"/>
      <c r="F179" s="19"/>
      <c r="G179" s="26"/>
      <c r="H179" s="19"/>
      <c r="I179" s="35"/>
      <c r="J179" s="32"/>
      <c r="K179" s="19"/>
      <c r="L179" s="19"/>
    </row>
    <row r="180" spans="2:12" x14ac:dyDescent="0.25">
      <c r="B180" s="19"/>
      <c r="C180" s="19"/>
      <c r="D180" s="19"/>
      <c r="E180" s="19"/>
      <c r="F180" s="19"/>
      <c r="G180" s="26"/>
      <c r="H180" s="19"/>
      <c r="I180" s="35"/>
      <c r="J180" s="32"/>
      <c r="K180" s="19"/>
      <c r="L180" s="19"/>
    </row>
    <row r="181" spans="2:12" x14ac:dyDescent="0.25">
      <c r="B181" s="19"/>
      <c r="C181" s="19"/>
      <c r="D181" s="19"/>
      <c r="E181" s="19"/>
      <c r="F181" s="19"/>
      <c r="G181" s="26"/>
      <c r="H181" s="19"/>
      <c r="I181" s="35"/>
      <c r="J181" s="32"/>
      <c r="K181" s="19"/>
      <c r="L181" s="19"/>
    </row>
    <row r="182" spans="2:12" x14ac:dyDescent="0.25">
      <c r="B182" s="19"/>
      <c r="C182" s="19"/>
      <c r="D182" s="19"/>
      <c r="E182" s="19"/>
      <c r="F182" s="19"/>
      <c r="G182" s="26"/>
      <c r="H182" s="19"/>
      <c r="I182" s="35"/>
      <c r="J182" s="32"/>
      <c r="K182" s="19"/>
      <c r="L182" s="19"/>
    </row>
    <row r="183" spans="2:12" x14ac:dyDescent="0.25">
      <c r="B183" s="19"/>
      <c r="C183" s="19"/>
      <c r="D183" s="19"/>
      <c r="E183" s="19"/>
      <c r="F183" s="19"/>
      <c r="G183" s="26"/>
      <c r="H183" s="19"/>
      <c r="I183" s="35"/>
      <c r="J183" s="32"/>
      <c r="K183" s="19"/>
      <c r="L183" s="19"/>
    </row>
    <row r="184" spans="2:12" x14ac:dyDescent="0.25">
      <c r="B184" s="19"/>
      <c r="C184" s="19"/>
      <c r="D184" s="19"/>
      <c r="E184" s="19"/>
      <c r="F184" s="19"/>
      <c r="G184" s="26"/>
      <c r="H184" s="19"/>
      <c r="I184" s="35"/>
      <c r="J184" s="32"/>
      <c r="K184" s="19"/>
      <c r="L184" s="19"/>
    </row>
    <row r="185" spans="2:12" x14ac:dyDescent="0.25">
      <c r="B185" s="19"/>
      <c r="C185" s="19"/>
      <c r="D185" s="19"/>
      <c r="E185" s="19"/>
      <c r="F185" s="19"/>
      <c r="G185" s="26"/>
      <c r="H185" s="19"/>
      <c r="I185" s="35"/>
      <c r="J185" s="32"/>
      <c r="K185" s="19"/>
      <c r="L185" s="19"/>
    </row>
    <row r="186" spans="2:12" x14ac:dyDescent="0.25">
      <c r="B186" s="19"/>
      <c r="C186" s="19"/>
      <c r="D186" s="19"/>
      <c r="E186" s="19"/>
      <c r="F186" s="19"/>
      <c r="G186" s="26"/>
      <c r="H186" s="19"/>
      <c r="I186" s="35"/>
      <c r="J186" s="32"/>
      <c r="K186" s="19"/>
      <c r="L186" s="19"/>
    </row>
    <row r="187" spans="2:12" x14ac:dyDescent="0.25">
      <c r="B187" s="19"/>
      <c r="C187" s="19"/>
      <c r="D187" s="19"/>
      <c r="E187" s="19"/>
      <c r="F187" s="19"/>
      <c r="G187" s="26"/>
      <c r="H187" s="19"/>
      <c r="I187" s="35"/>
      <c r="J187" s="32"/>
      <c r="K187" s="19"/>
      <c r="L187" s="19"/>
    </row>
    <row r="188" spans="2:12" x14ac:dyDescent="0.25">
      <c r="B188" s="19"/>
      <c r="C188" s="19"/>
      <c r="D188" s="19"/>
      <c r="E188" s="19"/>
      <c r="F188" s="19"/>
      <c r="G188" s="26"/>
      <c r="H188" s="19"/>
      <c r="I188" s="35"/>
      <c r="J188" s="32"/>
      <c r="K188" s="19"/>
      <c r="L188" s="19"/>
    </row>
    <row r="189" spans="2:12" x14ac:dyDescent="0.25">
      <c r="B189" s="19"/>
      <c r="C189" s="19"/>
      <c r="D189" s="19"/>
      <c r="E189" s="19"/>
      <c r="F189" s="19"/>
      <c r="G189" s="26"/>
      <c r="H189" s="19"/>
      <c r="I189" s="35"/>
      <c r="J189" s="32"/>
      <c r="K189" s="19"/>
      <c r="L189" s="19"/>
    </row>
    <row r="190" spans="2:12" x14ac:dyDescent="0.25">
      <c r="B190" s="19"/>
      <c r="C190" s="19"/>
      <c r="D190" s="19"/>
      <c r="E190" s="19"/>
      <c r="F190" s="19"/>
      <c r="G190" s="26"/>
      <c r="H190" s="19"/>
      <c r="I190" s="35"/>
      <c r="J190" s="32"/>
      <c r="K190" s="19"/>
      <c r="L190" s="19"/>
    </row>
    <row r="191" spans="2:12" x14ac:dyDescent="0.25">
      <c r="B191" s="19"/>
      <c r="C191" s="19"/>
      <c r="D191" s="19"/>
      <c r="E191" s="19"/>
      <c r="F191" s="19"/>
      <c r="G191" s="26"/>
      <c r="H191" s="19"/>
      <c r="I191" s="35"/>
      <c r="J191" s="32"/>
      <c r="K191" s="19"/>
      <c r="L191" s="19"/>
    </row>
    <row r="192" spans="2:12" x14ac:dyDescent="0.25">
      <c r="B192" s="19"/>
      <c r="C192" s="19"/>
      <c r="D192" s="19"/>
      <c r="E192" s="19"/>
      <c r="F192" s="19"/>
      <c r="G192" s="26"/>
      <c r="H192" s="19"/>
      <c r="I192" s="35"/>
      <c r="J192" s="32"/>
      <c r="K192" s="19"/>
      <c r="L192" s="19"/>
    </row>
    <row r="193" spans="2:12" x14ac:dyDescent="0.25">
      <c r="B193" s="19"/>
      <c r="C193" s="19"/>
      <c r="D193" s="19"/>
      <c r="E193" s="19"/>
      <c r="F193" s="19"/>
      <c r="G193" s="26"/>
      <c r="H193" s="19"/>
      <c r="I193" s="35"/>
      <c r="J193" s="32"/>
      <c r="K193" s="19"/>
      <c r="L193" s="19"/>
    </row>
    <row r="194" spans="2:12" x14ac:dyDescent="0.25">
      <c r="B194" s="19"/>
      <c r="C194" s="19"/>
      <c r="D194" s="19"/>
      <c r="E194" s="19"/>
      <c r="F194" s="19"/>
      <c r="G194" s="26"/>
      <c r="H194" s="19"/>
      <c r="I194" s="35"/>
      <c r="J194" s="32"/>
      <c r="K194" s="19"/>
      <c r="L194" s="19"/>
    </row>
    <row r="195" spans="2:12" x14ac:dyDescent="0.25">
      <c r="B195" s="19"/>
      <c r="C195" s="19"/>
      <c r="D195" s="19"/>
      <c r="E195" s="19"/>
      <c r="F195" s="19"/>
      <c r="G195" s="26"/>
      <c r="H195" s="19"/>
      <c r="I195" s="35"/>
      <c r="J195" s="32"/>
      <c r="K195" s="19"/>
      <c r="L195" s="19"/>
    </row>
    <row r="196" spans="2:12" x14ac:dyDescent="0.25">
      <c r="B196" s="19"/>
      <c r="C196" s="19"/>
      <c r="D196" s="19"/>
      <c r="E196" s="19"/>
      <c r="F196" s="19"/>
      <c r="G196" s="26"/>
      <c r="H196" s="19"/>
      <c r="I196" s="35"/>
      <c r="J196" s="32"/>
      <c r="K196" s="19"/>
      <c r="L196" s="19"/>
    </row>
    <row r="197" spans="2:12" x14ac:dyDescent="0.25">
      <c r="B197" s="19"/>
      <c r="C197" s="19"/>
      <c r="D197" s="19"/>
      <c r="E197" s="19"/>
      <c r="F197" s="19"/>
      <c r="G197" s="26"/>
      <c r="H197" s="19"/>
      <c r="I197" s="35"/>
      <c r="J197" s="32"/>
      <c r="K197" s="19"/>
      <c r="L197" s="19"/>
    </row>
    <row r="198" spans="2:12" x14ac:dyDescent="0.25">
      <c r="B198" s="19"/>
      <c r="C198" s="19"/>
      <c r="D198" s="19"/>
      <c r="E198" s="19"/>
      <c r="F198" s="19"/>
      <c r="G198" s="26"/>
      <c r="H198" s="19"/>
      <c r="I198" s="35"/>
      <c r="J198" s="32"/>
      <c r="K198" s="19"/>
      <c r="L198" s="19"/>
    </row>
    <row r="199" spans="2:12" x14ac:dyDescent="0.25">
      <c r="B199" s="19"/>
      <c r="C199" s="19"/>
      <c r="D199" s="19"/>
      <c r="E199" s="19"/>
      <c r="F199" s="19"/>
      <c r="G199" s="26"/>
      <c r="H199" s="19"/>
      <c r="I199" s="35"/>
      <c r="J199" s="32"/>
      <c r="K199" s="19"/>
      <c r="L199" s="19"/>
    </row>
    <row r="200" spans="2:12" x14ac:dyDescent="0.25">
      <c r="B200" s="19"/>
      <c r="C200" s="19"/>
      <c r="D200" s="19"/>
      <c r="E200" s="19"/>
      <c r="F200" s="19"/>
      <c r="G200" s="26"/>
      <c r="H200" s="19"/>
      <c r="I200" s="35"/>
      <c r="J200" s="32"/>
      <c r="K200" s="19"/>
      <c r="L200" s="19"/>
    </row>
    <row r="201" spans="2:12" x14ac:dyDescent="0.25">
      <c r="B201" s="19"/>
      <c r="C201" s="19"/>
      <c r="D201" s="19"/>
      <c r="E201" s="19"/>
      <c r="F201" s="19"/>
      <c r="G201" s="26"/>
      <c r="H201" s="19"/>
      <c r="I201" s="35"/>
      <c r="J201" s="32"/>
      <c r="K201" s="19"/>
      <c r="L201" s="19"/>
    </row>
    <row r="202" spans="2:12" x14ac:dyDescent="0.25">
      <c r="B202" s="19"/>
      <c r="C202" s="19"/>
      <c r="D202" s="19"/>
      <c r="E202" s="19"/>
      <c r="F202" s="19"/>
      <c r="G202" s="26"/>
      <c r="H202" s="19"/>
      <c r="I202" s="35"/>
      <c r="J202" s="32"/>
      <c r="K202" s="19"/>
      <c r="L202" s="19"/>
    </row>
    <row r="203" spans="2:12" x14ac:dyDescent="0.25">
      <c r="B203" s="19"/>
      <c r="C203" s="19"/>
      <c r="D203" s="19"/>
      <c r="E203" s="19"/>
      <c r="F203" s="19"/>
      <c r="G203" s="26"/>
      <c r="H203" s="19"/>
      <c r="I203" s="35"/>
      <c r="J203" s="32"/>
      <c r="K203" s="19"/>
      <c r="L203" s="19"/>
    </row>
    <row r="204" spans="2:12" x14ac:dyDescent="0.25">
      <c r="B204" s="19"/>
      <c r="C204" s="19"/>
      <c r="D204" s="19"/>
      <c r="E204" s="19"/>
      <c r="F204" s="19"/>
      <c r="G204" s="26"/>
      <c r="H204" s="19"/>
      <c r="I204" s="35"/>
      <c r="J204" s="32"/>
      <c r="K204" s="19"/>
      <c r="L204" s="19"/>
    </row>
    <row r="205" spans="2:12" x14ac:dyDescent="0.25">
      <c r="B205" s="19"/>
      <c r="C205" s="19"/>
      <c r="D205" s="19"/>
      <c r="E205" s="19"/>
      <c r="F205" s="19"/>
      <c r="G205" s="26"/>
      <c r="H205" s="19"/>
      <c r="I205" s="35"/>
      <c r="J205" s="32"/>
      <c r="K205" s="19"/>
      <c r="L205" s="19"/>
    </row>
    <row r="206" spans="2:12" x14ac:dyDescent="0.25">
      <c r="B206" s="19"/>
      <c r="C206" s="19"/>
      <c r="D206" s="19"/>
      <c r="E206" s="19"/>
      <c r="F206" s="19"/>
      <c r="G206" s="26"/>
      <c r="H206" s="19"/>
      <c r="I206" s="35"/>
      <c r="J206" s="32"/>
      <c r="K206" s="19"/>
      <c r="L206" s="19"/>
    </row>
    <row r="207" spans="2:12" x14ac:dyDescent="0.25">
      <c r="B207" s="19"/>
      <c r="C207" s="19"/>
      <c r="D207" s="19"/>
      <c r="E207" s="19"/>
      <c r="F207" s="19"/>
      <c r="G207" s="26"/>
      <c r="H207" s="19"/>
      <c r="I207" s="35"/>
      <c r="J207" s="32"/>
      <c r="K207" s="19"/>
      <c r="L207" s="19"/>
    </row>
    <row r="208" spans="2:12" x14ac:dyDescent="0.25">
      <c r="B208" s="19"/>
      <c r="C208" s="19"/>
      <c r="D208" s="19"/>
      <c r="E208" s="19"/>
      <c r="F208" s="19"/>
      <c r="G208" s="26"/>
      <c r="H208" s="19"/>
      <c r="I208" s="35"/>
      <c r="J208" s="32"/>
      <c r="K208" s="19"/>
      <c r="L208" s="19"/>
    </row>
    <row r="209" spans="2:12" x14ac:dyDescent="0.25">
      <c r="B209" s="19"/>
      <c r="C209" s="19"/>
      <c r="D209" s="19"/>
      <c r="E209" s="19"/>
      <c r="F209" s="19"/>
      <c r="G209" s="26"/>
      <c r="H209" s="19"/>
      <c r="I209" s="35"/>
      <c r="J209" s="32"/>
      <c r="K209" s="19"/>
      <c r="L209" s="19"/>
    </row>
    <row r="210" spans="2:12" x14ac:dyDescent="0.25">
      <c r="B210" s="19"/>
      <c r="C210" s="19"/>
      <c r="D210" s="19"/>
      <c r="E210" s="19"/>
      <c r="F210" s="19"/>
      <c r="G210" s="26"/>
      <c r="H210" s="19"/>
      <c r="I210" s="35"/>
      <c r="J210" s="32"/>
      <c r="K210" s="19"/>
      <c r="L210" s="19"/>
    </row>
    <row r="211" spans="2:12" x14ac:dyDescent="0.25">
      <c r="B211" s="19"/>
      <c r="C211" s="19"/>
      <c r="D211" s="19"/>
      <c r="E211" s="19"/>
      <c r="F211" s="19"/>
      <c r="G211" s="26"/>
      <c r="H211" s="19"/>
      <c r="I211" s="35"/>
      <c r="J211" s="32"/>
      <c r="K211" s="19"/>
      <c r="L211" s="19"/>
    </row>
    <row r="212" spans="2:12" x14ac:dyDescent="0.25">
      <c r="B212" s="19"/>
      <c r="C212" s="19"/>
      <c r="D212" s="19"/>
      <c r="E212" s="19"/>
      <c r="F212" s="19"/>
      <c r="G212" s="26"/>
      <c r="H212" s="19"/>
      <c r="I212" s="35"/>
      <c r="J212" s="32"/>
      <c r="K212" s="19"/>
      <c r="L212" s="19"/>
    </row>
    <row r="213" spans="2:12" x14ac:dyDescent="0.25">
      <c r="B213" s="19"/>
      <c r="C213" s="19"/>
      <c r="D213" s="19"/>
      <c r="E213" s="19"/>
      <c r="F213" s="19"/>
      <c r="G213" s="26"/>
      <c r="H213" s="19"/>
      <c r="I213" s="35"/>
      <c r="J213" s="32"/>
      <c r="K213" s="19"/>
      <c r="L213" s="19"/>
    </row>
    <row r="214" spans="2:12" x14ac:dyDescent="0.25">
      <c r="B214" s="19"/>
      <c r="C214" s="19"/>
      <c r="D214" s="19"/>
      <c r="E214" s="19"/>
      <c r="F214" s="19"/>
      <c r="G214" s="26"/>
      <c r="H214" s="19"/>
      <c r="I214" s="35"/>
      <c r="J214" s="32"/>
      <c r="K214" s="19"/>
      <c r="L214" s="19"/>
    </row>
    <row r="215" spans="2:12" x14ac:dyDescent="0.25">
      <c r="B215" s="19"/>
      <c r="C215" s="19"/>
      <c r="D215" s="19"/>
      <c r="E215" s="19"/>
      <c r="F215" s="19"/>
      <c r="G215" s="26"/>
      <c r="H215" s="19"/>
      <c r="I215" s="35"/>
      <c r="J215" s="32"/>
      <c r="K215" s="19"/>
      <c r="L215" s="19"/>
    </row>
    <row r="216" spans="2:12" x14ac:dyDescent="0.25">
      <c r="B216" s="19"/>
      <c r="C216" s="19"/>
      <c r="D216" s="19"/>
      <c r="E216" s="19"/>
      <c r="F216" s="19"/>
      <c r="G216" s="26"/>
      <c r="H216" s="19"/>
      <c r="I216" s="35"/>
      <c r="J216" s="32"/>
      <c r="K216" s="19"/>
      <c r="L216" s="19"/>
    </row>
    <row r="217" spans="2:12" x14ac:dyDescent="0.25">
      <c r="B217" s="19"/>
      <c r="C217" s="19"/>
      <c r="D217" s="19"/>
      <c r="E217" s="19"/>
      <c r="F217" s="19"/>
      <c r="G217" s="26"/>
      <c r="H217" s="19"/>
      <c r="I217" s="35"/>
      <c r="J217" s="32"/>
      <c r="K217" s="19"/>
      <c r="L217" s="19"/>
    </row>
    <row r="218" spans="2:12" x14ac:dyDescent="0.25">
      <c r="B218" s="19"/>
      <c r="C218" s="19"/>
      <c r="D218" s="19"/>
      <c r="E218" s="19"/>
      <c r="F218" s="19"/>
      <c r="G218" s="26"/>
      <c r="H218" s="19"/>
      <c r="I218" s="35"/>
      <c r="J218" s="32"/>
      <c r="K218" s="19"/>
      <c r="L218" s="19"/>
    </row>
    <row r="219" spans="2:12" x14ac:dyDescent="0.25">
      <c r="B219" s="19"/>
      <c r="C219" s="19"/>
      <c r="D219" s="19"/>
      <c r="E219" s="19"/>
      <c r="F219" s="19"/>
      <c r="G219" s="26"/>
      <c r="H219" s="19"/>
      <c r="I219" s="35"/>
      <c r="J219" s="32"/>
      <c r="K219" s="19"/>
      <c r="L219" s="19"/>
    </row>
    <row r="220" spans="2:12" x14ac:dyDescent="0.25">
      <c r="B220" s="19"/>
      <c r="C220" s="19"/>
      <c r="D220" s="19"/>
      <c r="E220" s="19"/>
      <c r="F220" s="19"/>
      <c r="G220" s="26"/>
      <c r="H220" s="19"/>
      <c r="I220" s="35"/>
      <c r="J220" s="32"/>
      <c r="K220" s="19"/>
      <c r="L220" s="19"/>
    </row>
    <row r="221" spans="2:12" x14ac:dyDescent="0.25">
      <c r="B221" s="19"/>
      <c r="C221" s="19"/>
      <c r="D221" s="19"/>
      <c r="E221" s="19"/>
      <c r="F221" s="19"/>
      <c r="G221" s="26"/>
      <c r="H221" s="19"/>
      <c r="I221" s="35"/>
      <c r="J221" s="32"/>
      <c r="K221" s="19"/>
      <c r="L221" s="19"/>
    </row>
    <row r="222" spans="2:12" x14ac:dyDescent="0.25">
      <c r="B222" s="19"/>
      <c r="C222" s="19"/>
      <c r="D222" s="19"/>
      <c r="E222" s="19"/>
      <c r="F222" s="19"/>
      <c r="G222" s="26"/>
      <c r="H222" s="19"/>
      <c r="I222" s="35"/>
      <c r="J222" s="32"/>
      <c r="K222" s="19"/>
      <c r="L222" s="19"/>
    </row>
    <row r="223" spans="2:12" x14ac:dyDescent="0.25">
      <c r="B223" s="19"/>
      <c r="C223" s="19"/>
      <c r="D223" s="19"/>
      <c r="E223" s="19"/>
      <c r="F223" s="19"/>
      <c r="G223" s="26"/>
      <c r="H223" s="19"/>
      <c r="I223" s="35"/>
      <c r="J223" s="32"/>
      <c r="K223" s="19"/>
      <c r="L223" s="19"/>
    </row>
    <row r="224" spans="2:12" x14ac:dyDescent="0.25">
      <c r="B224" s="19"/>
      <c r="C224" s="19"/>
      <c r="D224" s="19"/>
      <c r="E224" s="19"/>
      <c r="F224" s="19"/>
      <c r="G224" s="26"/>
      <c r="H224" s="19"/>
      <c r="I224" s="35"/>
      <c r="J224" s="32"/>
      <c r="K224" s="19"/>
      <c r="L224" s="19"/>
    </row>
    <row r="225" spans="2:12" x14ac:dyDescent="0.25">
      <c r="B225" s="19"/>
      <c r="C225" s="19"/>
      <c r="D225" s="19"/>
      <c r="E225" s="19"/>
      <c r="F225" s="19"/>
      <c r="G225" s="26"/>
      <c r="H225" s="19"/>
      <c r="I225" s="35"/>
      <c r="J225" s="32"/>
      <c r="K225" s="19"/>
      <c r="L225" s="19"/>
    </row>
    <row r="226" spans="2:12" x14ac:dyDescent="0.25">
      <c r="B226" s="19"/>
      <c r="C226" s="19"/>
      <c r="D226" s="19"/>
      <c r="E226" s="19"/>
      <c r="F226" s="19"/>
      <c r="G226" s="26"/>
      <c r="H226" s="19"/>
      <c r="I226" s="35"/>
      <c r="J226" s="32"/>
      <c r="K226" s="19"/>
      <c r="L226" s="19"/>
    </row>
    <row r="227" spans="2:12" x14ac:dyDescent="0.25">
      <c r="B227" s="19"/>
      <c r="C227" s="19"/>
      <c r="D227" s="19"/>
      <c r="E227" s="19"/>
      <c r="F227" s="19"/>
      <c r="G227" s="26"/>
      <c r="H227" s="19"/>
      <c r="I227" s="35"/>
      <c r="J227" s="32"/>
      <c r="K227" s="19"/>
      <c r="L227" s="19"/>
    </row>
    <row r="228" spans="2:12" x14ac:dyDescent="0.25">
      <c r="B228" s="19"/>
      <c r="C228" s="19"/>
      <c r="D228" s="19"/>
      <c r="E228" s="19"/>
      <c r="F228" s="19"/>
      <c r="G228" s="26"/>
      <c r="H228" s="19"/>
      <c r="I228" s="35"/>
      <c r="J228" s="32"/>
      <c r="K228" s="19"/>
      <c r="L228" s="19"/>
    </row>
    <row r="229" spans="2:12" x14ac:dyDescent="0.25">
      <c r="B229" s="19"/>
      <c r="C229" s="19"/>
      <c r="D229" s="19"/>
      <c r="E229" s="19"/>
      <c r="F229" s="19"/>
      <c r="G229" s="26"/>
      <c r="H229" s="19"/>
      <c r="I229" s="35"/>
      <c r="J229" s="32"/>
      <c r="K229" s="19"/>
      <c r="L229" s="19"/>
    </row>
    <row r="230" spans="2:12" x14ac:dyDescent="0.25">
      <c r="B230" s="19"/>
      <c r="C230" s="19"/>
      <c r="D230" s="19"/>
      <c r="E230" s="19"/>
      <c r="F230" s="19"/>
      <c r="G230" s="26"/>
      <c r="H230" s="19"/>
      <c r="I230" s="35"/>
      <c r="J230" s="32"/>
      <c r="K230" s="19"/>
      <c r="L230" s="19"/>
    </row>
    <row r="231" spans="2:12" x14ac:dyDescent="0.25">
      <c r="B231" s="19"/>
      <c r="C231" s="19"/>
      <c r="D231" s="19"/>
      <c r="E231" s="19"/>
      <c r="F231" s="19"/>
      <c r="G231" s="26"/>
      <c r="H231" s="19"/>
      <c r="I231" s="35"/>
      <c r="J231" s="32"/>
      <c r="K231" s="19"/>
      <c r="L231" s="19"/>
    </row>
    <row r="232" spans="2:12" x14ac:dyDescent="0.25">
      <c r="B232" s="19"/>
      <c r="C232" s="19"/>
      <c r="D232" s="19"/>
      <c r="E232" s="19"/>
      <c r="F232" s="19"/>
      <c r="G232" s="26"/>
      <c r="H232" s="19"/>
      <c r="I232" s="35"/>
      <c r="J232" s="32"/>
      <c r="K232" s="19"/>
      <c r="L232" s="19"/>
    </row>
    <row r="233" spans="2:12" x14ac:dyDescent="0.25">
      <c r="B233" s="19"/>
      <c r="C233" s="19"/>
      <c r="D233" s="19"/>
      <c r="E233" s="19"/>
      <c r="F233" s="19"/>
      <c r="G233" s="26"/>
      <c r="H233" s="19"/>
      <c r="I233" s="35"/>
      <c r="J233" s="32"/>
      <c r="K233" s="19"/>
      <c r="L233" s="19"/>
    </row>
    <row r="234" spans="2:12" x14ac:dyDescent="0.25">
      <c r="B234" s="19"/>
      <c r="C234" s="19"/>
      <c r="D234" s="19"/>
      <c r="E234" s="19"/>
      <c r="F234" s="19"/>
      <c r="G234" s="26"/>
      <c r="H234" s="19"/>
      <c r="I234" s="35"/>
      <c r="J234" s="32"/>
      <c r="K234" s="19"/>
      <c r="L234" s="19"/>
    </row>
    <row r="235" spans="2:12" x14ac:dyDescent="0.25">
      <c r="B235" s="19"/>
      <c r="C235" s="19"/>
      <c r="D235" s="19"/>
      <c r="E235" s="19"/>
      <c r="F235" s="19"/>
      <c r="G235" s="26"/>
      <c r="H235" s="19"/>
      <c r="I235" s="35"/>
      <c r="J235" s="32"/>
      <c r="K235" s="19"/>
      <c r="L235" s="19"/>
    </row>
    <row r="236" spans="2:12" x14ac:dyDescent="0.25">
      <c r="B236" s="19"/>
      <c r="C236" s="19"/>
      <c r="D236" s="19"/>
      <c r="E236" s="19"/>
      <c r="F236" s="19"/>
      <c r="G236" s="26"/>
      <c r="H236" s="19"/>
      <c r="I236" s="35"/>
      <c r="J236" s="32"/>
      <c r="K236" s="19"/>
      <c r="L236" s="19"/>
    </row>
    <row r="237" spans="2:12" x14ac:dyDescent="0.25">
      <c r="B237" s="19"/>
      <c r="C237" s="19"/>
      <c r="D237" s="19"/>
      <c r="E237" s="19"/>
      <c r="F237" s="19"/>
      <c r="G237" s="26"/>
      <c r="H237" s="19"/>
      <c r="I237" s="35"/>
      <c r="J237" s="32"/>
      <c r="K237" s="19"/>
      <c r="L237" s="19"/>
    </row>
    <row r="238" spans="2:12" x14ac:dyDescent="0.25">
      <c r="B238" s="19"/>
      <c r="C238" s="19"/>
      <c r="D238" s="19"/>
      <c r="E238" s="19"/>
      <c r="F238" s="19"/>
      <c r="G238" s="26"/>
      <c r="H238" s="19"/>
      <c r="I238" s="35"/>
      <c r="J238" s="32"/>
      <c r="K238" s="19"/>
      <c r="L238" s="19"/>
    </row>
    <row r="239" spans="2:12" x14ac:dyDescent="0.25">
      <c r="B239" s="19"/>
      <c r="C239" s="19"/>
      <c r="D239" s="19"/>
      <c r="E239" s="19"/>
      <c r="F239" s="19"/>
      <c r="G239" s="26"/>
      <c r="H239" s="19"/>
      <c r="I239" s="35"/>
      <c r="J239" s="32"/>
      <c r="K239" s="19"/>
      <c r="L239" s="19"/>
    </row>
    <row r="240" spans="2:12" x14ac:dyDescent="0.25">
      <c r="B240" s="19"/>
      <c r="C240" s="19"/>
      <c r="D240" s="19"/>
      <c r="E240" s="19"/>
      <c r="F240" s="19"/>
      <c r="G240" s="26"/>
      <c r="H240" s="19"/>
      <c r="I240" s="35"/>
      <c r="J240" s="32"/>
      <c r="K240" s="19"/>
      <c r="L240" s="19"/>
    </row>
    <row r="241" spans="2:12" x14ac:dyDescent="0.25">
      <c r="B241" s="19"/>
      <c r="C241" s="19"/>
      <c r="D241" s="19"/>
      <c r="E241" s="19"/>
      <c r="F241" s="19"/>
      <c r="G241" s="26"/>
      <c r="H241" s="19"/>
      <c r="I241" s="35"/>
      <c r="J241" s="32"/>
      <c r="K241" s="19"/>
      <c r="L241" s="19"/>
    </row>
    <row r="242" spans="2:12" x14ac:dyDescent="0.25">
      <c r="B242" s="19"/>
      <c r="C242" s="19"/>
      <c r="D242" s="19"/>
      <c r="E242" s="19"/>
      <c r="F242" s="19"/>
      <c r="G242" s="26"/>
      <c r="H242" s="19"/>
      <c r="I242" s="35"/>
      <c r="J242" s="32"/>
      <c r="K242" s="19"/>
      <c r="L242" s="19"/>
    </row>
    <row r="243" spans="2:12" x14ac:dyDescent="0.25">
      <c r="B243" s="19"/>
      <c r="C243" s="19"/>
      <c r="D243" s="19"/>
      <c r="E243" s="19"/>
      <c r="F243" s="19"/>
      <c r="G243" s="26"/>
      <c r="H243" s="19"/>
      <c r="I243" s="35"/>
      <c r="J243" s="32"/>
      <c r="K243" s="19"/>
      <c r="L243" s="19"/>
    </row>
    <row r="244" spans="2:12" x14ac:dyDescent="0.25">
      <c r="B244" s="19"/>
      <c r="C244" s="19"/>
      <c r="D244" s="19"/>
      <c r="E244" s="19"/>
      <c r="F244" s="19"/>
      <c r="G244" s="26"/>
      <c r="H244" s="19"/>
      <c r="I244" s="35"/>
      <c r="J244" s="32"/>
      <c r="K244" s="19"/>
      <c r="L244" s="19"/>
    </row>
    <row r="245" spans="2:12" x14ac:dyDescent="0.25">
      <c r="B245" s="19"/>
      <c r="C245" s="19"/>
      <c r="D245" s="19"/>
      <c r="E245" s="19"/>
      <c r="F245" s="19"/>
      <c r="G245" s="26"/>
      <c r="H245" s="19"/>
      <c r="I245" s="35"/>
      <c r="J245" s="32"/>
      <c r="K245" s="19"/>
      <c r="L245" s="19"/>
    </row>
    <row r="246" spans="2:12" x14ac:dyDescent="0.25">
      <c r="B246" s="19"/>
      <c r="C246" s="19"/>
      <c r="D246" s="19"/>
      <c r="E246" s="19"/>
      <c r="F246" s="19"/>
      <c r="G246" s="26"/>
      <c r="H246" s="19"/>
      <c r="I246" s="35"/>
      <c r="J246" s="32"/>
      <c r="K246" s="19"/>
      <c r="L246" s="19"/>
    </row>
    <row r="247" spans="2:12" x14ac:dyDescent="0.25">
      <c r="B247" s="19"/>
      <c r="C247" s="19"/>
      <c r="D247" s="19"/>
      <c r="E247" s="19"/>
      <c r="F247" s="19"/>
      <c r="G247" s="26"/>
      <c r="H247" s="19"/>
      <c r="I247" s="35"/>
      <c r="J247" s="32"/>
      <c r="K247" s="19"/>
      <c r="L247" s="19"/>
    </row>
    <row r="248" spans="2:12" x14ac:dyDescent="0.25">
      <c r="B248" s="19"/>
      <c r="C248" s="19"/>
      <c r="D248" s="19"/>
      <c r="E248" s="19"/>
      <c r="F248" s="19"/>
      <c r="G248" s="26"/>
      <c r="H248" s="19"/>
      <c r="I248" s="35"/>
      <c r="J248" s="32"/>
      <c r="K248" s="19"/>
      <c r="L248" s="19"/>
    </row>
    <row r="249" spans="2:12" x14ac:dyDescent="0.25">
      <c r="B249" s="19"/>
      <c r="C249" s="19"/>
      <c r="D249" s="19"/>
      <c r="E249" s="19"/>
      <c r="F249" s="19"/>
      <c r="G249" s="26"/>
      <c r="H249" s="19"/>
      <c r="I249" s="35"/>
      <c r="J249" s="32"/>
      <c r="K249" s="19"/>
      <c r="L249" s="19"/>
    </row>
    <row r="250" spans="2:12" x14ac:dyDescent="0.25">
      <c r="B250" s="19"/>
      <c r="C250" s="19"/>
      <c r="D250" s="19"/>
      <c r="E250" s="19"/>
      <c r="F250" s="19"/>
      <c r="G250" s="26"/>
      <c r="H250" s="19"/>
      <c r="I250" s="35"/>
      <c r="J250" s="32"/>
      <c r="K250" s="19"/>
      <c r="L250" s="19"/>
    </row>
    <row r="251" spans="2:12" x14ac:dyDescent="0.25">
      <c r="B251" s="19"/>
      <c r="C251" s="19"/>
      <c r="D251" s="19"/>
      <c r="E251" s="19"/>
      <c r="F251" s="19"/>
      <c r="G251" s="26"/>
      <c r="H251" s="19"/>
      <c r="I251" s="35"/>
      <c r="J251" s="32"/>
      <c r="K251" s="19"/>
      <c r="L251" s="19"/>
    </row>
    <row r="252" spans="2:12" x14ac:dyDescent="0.25">
      <c r="B252" s="19"/>
      <c r="C252" s="19"/>
      <c r="D252" s="19"/>
      <c r="E252" s="19"/>
      <c r="F252" s="19"/>
      <c r="G252" s="26"/>
      <c r="H252" s="19"/>
      <c r="I252" s="35"/>
      <c r="J252" s="32"/>
      <c r="K252" s="19"/>
      <c r="L252" s="19"/>
    </row>
    <row r="253" spans="2:12" x14ac:dyDescent="0.25">
      <c r="B253" s="19"/>
      <c r="C253" s="19"/>
      <c r="D253" s="19"/>
      <c r="E253" s="19"/>
      <c r="F253" s="19"/>
      <c r="G253" s="26"/>
      <c r="H253" s="19"/>
      <c r="I253" s="35"/>
      <c r="J253" s="32"/>
      <c r="K253" s="19"/>
      <c r="L253" s="19"/>
    </row>
    <row r="254" spans="2:12" x14ac:dyDescent="0.25">
      <c r="B254" s="19"/>
      <c r="C254" s="19"/>
      <c r="D254" s="19"/>
      <c r="E254" s="19"/>
      <c r="F254" s="19"/>
      <c r="G254" s="26"/>
      <c r="H254" s="19"/>
      <c r="I254" s="35"/>
      <c r="J254" s="32"/>
      <c r="K254" s="19"/>
      <c r="L254" s="19"/>
    </row>
    <row r="255" spans="2:12" x14ac:dyDescent="0.25">
      <c r="B255" s="19"/>
      <c r="C255" s="19"/>
      <c r="D255" s="19"/>
      <c r="E255" s="19"/>
      <c r="F255" s="19"/>
      <c r="G255" s="26"/>
      <c r="H255" s="19"/>
      <c r="I255" s="35"/>
      <c r="J255" s="32"/>
      <c r="K255" s="19"/>
      <c r="L255" s="19"/>
    </row>
    <row r="256" spans="2:12" x14ac:dyDescent="0.25">
      <c r="B256" s="19"/>
      <c r="C256" s="19"/>
      <c r="D256" s="19"/>
      <c r="E256" s="19"/>
      <c r="F256" s="19"/>
      <c r="G256" s="26"/>
      <c r="H256" s="19"/>
      <c r="I256" s="35"/>
      <c r="J256" s="32"/>
      <c r="K256" s="19"/>
      <c r="L256" s="19"/>
    </row>
    <row r="257" spans="2:12" x14ac:dyDescent="0.25">
      <c r="B257" s="19"/>
      <c r="C257" s="19"/>
      <c r="D257" s="19"/>
      <c r="E257" s="19"/>
      <c r="F257" s="19"/>
      <c r="G257" s="26"/>
      <c r="H257" s="19"/>
      <c r="I257" s="35"/>
      <c r="J257" s="32"/>
      <c r="K257" s="19"/>
      <c r="L257" s="19"/>
    </row>
    <row r="258" spans="2:12" x14ac:dyDescent="0.25">
      <c r="B258" s="19"/>
      <c r="C258" s="19"/>
      <c r="D258" s="19"/>
      <c r="E258" s="19"/>
      <c r="F258" s="19"/>
      <c r="G258" s="26"/>
      <c r="H258" s="19"/>
      <c r="I258" s="35"/>
      <c r="J258" s="32"/>
      <c r="K258" s="19"/>
      <c r="L258" s="19"/>
    </row>
    <row r="259" spans="2:12" x14ac:dyDescent="0.25">
      <c r="B259" s="19"/>
      <c r="C259" s="19"/>
      <c r="D259" s="19"/>
      <c r="E259" s="19"/>
      <c r="F259" s="19"/>
      <c r="G259" s="26"/>
      <c r="H259" s="19"/>
      <c r="I259" s="35"/>
      <c r="J259" s="32"/>
      <c r="K259" s="19"/>
      <c r="L259" s="19"/>
    </row>
    <row r="260" spans="2:12" x14ac:dyDescent="0.25">
      <c r="B260" s="19"/>
      <c r="C260" s="19"/>
      <c r="D260" s="19"/>
      <c r="E260" s="19"/>
      <c r="F260" s="19"/>
      <c r="G260" s="26"/>
      <c r="H260" s="19"/>
      <c r="I260" s="35"/>
      <c r="J260" s="32"/>
      <c r="K260" s="19"/>
      <c r="L260" s="19"/>
    </row>
    <row r="261" spans="2:12" x14ac:dyDescent="0.25">
      <c r="B261" s="19"/>
      <c r="C261" s="19"/>
      <c r="D261" s="19"/>
      <c r="E261" s="19"/>
      <c r="F261" s="19"/>
      <c r="G261" s="26"/>
      <c r="H261" s="19"/>
      <c r="I261" s="35"/>
      <c r="J261" s="32"/>
      <c r="K261" s="19"/>
      <c r="L261" s="19"/>
    </row>
    <row r="262" spans="2:12" x14ac:dyDescent="0.25">
      <c r="B262" s="19"/>
      <c r="C262" s="19"/>
      <c r="D262" s="19"/>
      <c r="E262" s="19"/>
      <c r="F262" s="19"/>
      <c r="G262" s="26"/>
      <c r="H262" s="19"/>
      <c r="I262" s="35"/>
      <c r="J262" s="32"/>
      <c r="K262" s="19"/>
      <c r="L262" s="19"/>
    </row>
    <row r="263" spans="2:12" x14ac:dyDescent="0.25">
      <c r="B263" s="19"/>
      <c r="C263" s="19"/>
      <c r="D263" s="19"/>
      <c r="E263" s="19"/>
      <c r="F263" s="19"/>
      <c r="G263" s="26"/>
      <c r="H263" s="19"/>
      <c r="I263" s="35"/>
      <c r="J263" s="32"/>
      <c r="K263" s="19"/>
      <c r="L263" s="19"/>
    </row>
    <row r="264" spans="2:12" x14ac:dyDescent="0.25">
      <c r="B264" s="19"/>
      <c r="C264" s="19"/>
      <c r="D264" s="19"/>
      <c r="E264" s="19"/>
      <c r="F264" s="19"/>
      <c r="G264" s="26"/>
      <c r="H264" s="19"/>
      <c r="I264" s="35"/>
      <c r="J264" s="32"/>
      <c r="K264" s="19"/>
      <c r="L264" s="19"/>
    </row>
    <row r="265" spans="2:12" x14ac:dyDescent="0.25">
      <c r="B265" s="19"/>
      <c r="C265" s="19"/>
      <c r="D265" s="19"/>
      <c r="E265" s="19"/>
      <c r="F265" s="19"/>
      <c r="G265" s="26"/>
      <c r="H265" s="19"/>
      <c r="I265" s="35"/>
      <c r="J265" s="32"/>
      <c r="K265" s="19"/>
      <c r="L265" s="19"/>
    </row>
    <row r="266" spans="2:12" x14ac:dyDescent="0.25">
      <c r="B266" s="19"/>
      <c r="C266" s="19"/>
      <c r="D266" s="19"/>
      <c r="E266" s="19"/>
      <c r="F266" s="19"/>
      <c r="G266" s="26"/>
      <c r="H266" s="19"/>
      <c r="I266" s="35"/>
      <c r="J266" s="32"/>
      <c r="K266" s="19"/>
      <c r="L266" s="19"/>
    </row>
    <row r="267" spans="2:12" x14ac:dyDescent="0.25">
      <c r="B267" s="19"/>
      <c r="C267" s="19"/>
      <c r="D267" s="19"/>
      <c r="E267" s="19"/>
      <c r="F267" s="19"/>
      <c r="G267" s="26"/>
      <c r="H267" s="19"/>
      <c r="I267" s="35"/>
      <c r="J267" s="32"/>
      <c r="K267" s="19"/>
      <c r="L267" s="19"/>
    </row>
    <row r="268" spans="2:12" x14ac:dyDescent="0.25">
      <c r="B268" s="19"/>
      <c r="C268" s="19"/>
      <c r="D268" s="19"/>
      <c r="E268" s="19"/>
      <c r="F268" s="19"/>
      <c r="G268" s="26"/>
      <c r="H268" s="19"/>
      <c r="I268" s="35"/>
      <c r="J268" s="32"/>
      <c r="K268" s="19"/>
      <c r="L268" s="19"/>
    </row>
    <row r="269" spans="2:12" x14ac:dyDescent="0.25">
      <c r="B269" s="19"/>
      <c r="C269" s="19"/>
      <c r="D269" s="19"/>
      <c r="E269" s="19"/>
      <c r="F269" s="19"/>
      <c r="G269" s="26"/>
      <c r="H269" s="19"/>
      <c r="I269" s="35"/>
      <c r="J269" s="32"/>
      <c r="K269" s="19"/>
      <c r="L269" s="19"/>
    </row>
    <row r="270" spans="2:12" x14ac:dyDescent="0.25">
      <c r="B270" s="19"/>
      <c r="C270" s="19"/>
      <c r="D270" s="19"/>
      <c r="E270" s="19"/>
      <c r="F270" s="19"/>
      <c r="G270" s="26"/>
      <c r="H270" s="19"/>
      <c r="I270" s="35"/>
      <c r="J270" s="32"/>
      <c r="K270" s="19"/>
      <c r="L270" s="19"/>
    </row>
    <row r="271" spans="2:12" x14ac:dyDescent="0.25">
      <c r="B271" s="19"/>
      <c r="C271" s="19"/>
      <c r="D271" s="19"/>
      <c r="E271" s="19"/>
      <c r="F271" s="19"/>
      <c r="G271" s="26"/>
      <c r="H271" s="19"/>
      <c r="I271" s="35"/>
      <c r="J271" s="32"/>
      <c r="K271" s="19"/>
      <c r="L271" s="19"/>
    </row>
    <row r="272" spans="2:12" x14ac:dyDescent="0.25">
      <c r="B272" s="19"/>
      <c r="C272" s="19"/>
      <c r="D272" s="19"/>
      <c r="E272" s="19"/>
      <c r="F272" s="19"/>
      <c r="G272" s="26"/>
      <c r="H272" s="19"/>
      <c r="I272" s="35"/>
      <c r="J272" s="32"/>
      <c r="K272" s="19"/>
      <c r="L272" s="19"/>
    </row>
    <row r="273" spans="2:12" x14ac:dyDescent="0.25">
      <c r="B273" s="19"/>
      <c r="C273" s="19"/>
      <c r="D273" s="19"/>
      <c r="E273" s="19"/>
      <c r="F273" s="19"/>
      <c r="G273" s="26"/>
      <c r="H273" s="19"/>
      <c r="I273" s="35"/>
      <c r="J273" s="32"/>
      <c r="K273" s="19"/>
      <c r="L273" s="19"/>
    </row>
    <row r="274" spans="2:12" x14ac:dyDescent="0.25">
      <c r="B274" s="19"/>
      <c r="C274" s="19"/>
      <c r="D274" s="19"/>
      <c r="E274" s="19"/>
      <c r="F274" s="19"/>
      <c r="G274" s="26"/>
      <c r="H274" s="19"/>
      <c r="I274" s="35"/>
      <c r="J274" s="32"/>
      <c r="K274" s="19"/>
      <c r="L274" s="19"/>
    </row>
    <row r="275" spans="2:12" x14ac:dyDescent="0.25">
      <c r="B275" s="19"/>
      <c r="C275" s="19"/>
      <c r="D275" s="19"/>
      <c r="E275" s="19"/>
      <c r="F275" s="19"/>
      <c r="G275" s="26"/>
      <c r="H275" s="19"/>
      <c r="I275" s="35"/>
      <c r="J275" s="32"/>
      <c r="K275" s="19"/>
      <c r="L275" s="19"/>
    </row>
    <row r="276" spans="2:12" x14ac:dyDescent="0.25">
      <c r="B276" s="19"/>
      <c r="C276" s="19"/>
      <c r="D276" s="19"/>
      <c r="E276" s="19"/>
      <c r="F276" s="19"/>
      <c r="G276" s="26"/>
      <c r="H276" s="19"/>
      <c r="I276" s="35"/>
      <c r="J276" s="32"/>
      <c r="K276" s="19"/>
      <c r="L276" s="19"/>
    </row>
    <row r="277" spans="2:12" x14ac:dyDescent="0.25">
      <c r="B277" s="19"/>
      <c r="C277" s="19"/>
      <c r="D277" s="19"/>
      <c r="E277" s="19"/>
      <c r="F277" s="19"/>
      <c r="G277" s="26"/>
      <c r="H277" s="19"/>
      <c r="I277" s="35"/>
      <c r="J277" s="32"/>
      <c r="K277" s="19"/>
      <c r="L277" s="19"/>
    </row>
    <row r="278" spans="2:12" x14ac:dyDescent="0.25">
      <c r="B278" s="19"/>
      <c r="C278" s="19"/>
      <c r="D278" s="19"/>
      <c r="E278" s="19"/>
      <c r="F278" s="19"/>
      <c r="G278" s="26"/>
      <c r="H278" s="19"/>
      <c r="I278" s="35"/>
      <c r="J278" s="32"/>
      <c r="K278" s="19"/>
      <c r="L278" s="19"/>
    </row>
    <row r="279" spans="2:12" x14ac:dyDescent="0.25">
      <c r="B279" s="19"/>
      <c r="C279" s="19"/>
      <c r="D279" s="19"/>
      <c r="E279" s="19"/>
      <c r="F279" s="19"/>
      <c r="G279" s="26"/>
      <c r="H279" s="19"/>
      <c r="I279" s="35"/>
      <c r="J279" s="32"/>
      <c r="K279" s="19"/>
      <c r="L279" s="19"/>
    </row>
    <row r="280" spans="2:12" x14ac:dyDescent="0.25">
      <c r="B280" s="19"/>
      <c r="C280" s="19"/>
      <c r="D280" s="19"/>
      <c r="E280" s="19"/>
      <c r="F280" s="19"/>
      <c r="G280" s="26"/>
      <c r="H280" s="19"/>
      <c r="I280" s="35"/>
      <c r="J280" s="32"/>
      <c r="K280" s="19"/>
      <c r="L280" s="19"/>
    </row>
    <row r="281" spans="2:12" x14ac:dyDescent="0.25">
      <c r="B281" s="19"/>
      <c r="C281" s="19"/>
      <c r="D281" s="19"/>
      <c r="E281" s="19"/>
      <c r="F281" s="19"/>
      <c r="G281" s="26"/>
      <c r="H281" s="19"/>
      <c r="I281" s="35"/>
      <c r="J281" s="32"/>
      <c r="K281" s="19"/>
      <c r="L281" s="19"/>
    </row>
    <row r="282" spans="2:12" x14ac:dyDescent="0.25">
      <c r="B282" s="19"/>
      <c r="C282" s="19"/>
      <c r="D282" s="19"/>
      <c r="E282" s="19"/>
      <c r="F282" s="19"/>
      <c r="G282" s="26"/>
      <c r="H282" s="19"/>
      <c r="I282" s="35"/>
      <c r="J282" s="32"/>
      <c r="K282" s="19"/>
      <c r="L282" s="19"/>
    </row>
    <row r="283" spans="2:12" x14ac:dyDescent="0.25">
      <c r="B283" s="19"/>
      <c r="C283" s="19"/>
      <c r="D283" s="19"/>
      <c r="E283" s="19"/>
      <c r="F283" s="19"/>
      <c r="G283" s="26"/>
      <c r="H283" s="19"/>
      <c r="I283" s="35"/>
      <c r="J283" s="32"/>
      <c r="K283" s="19"/>
      <c r="L283" s="19"/>
    </row>
    <row r="284" spans="2:12" x14ac:dyDescent="0.25">
      <c r="B284" s="19"/>
      <c r="C284" s="19"/>
      <c r="D284" s="19"/>
      <c r="E284" s="19"/>
      <c r="F284" s="19"/>
      <c r="G284" s="26"/>
      <c r="H284" s="19"/>
      <c r="I284" s="35"/>
      <c r="J284" s="32"/>
      <c r="K284" s="19"/>
      <c r="L284" s="19"/>
    </row>
    <row r="285" spans="2:12" x14ac:dyDescent="0.25">
      <c r="B285" s="19"/>
      <c r="C285" s="19"/>
      <c r="D285" s="19"/>
      <c r="E285" s="19"/>
      <c r="F285" s="19"/>
      <c r="G285" s="26"/>
      <c r="H285" s="19"/>
      <c r="I285" s="35"/>
      <c r="J285" s="32"/>
      <c r="K285" s="19"/>
      <c r="L285" s="19"/>
    </row>
    <row r="286" spans="2:12" x14ac:dyDescent="0.25">
      <c r="B286" s="19"/>
      <c r="C286" s="19"/>
      <c r="D286" s="19"/>
      <c r="E286" s="19"/>
      <c r="F286" s="19"/>
      <c r="G286" s="26"/>
      <c r="H286" s="19"/>
      <c r="I286" s="35"/>
      <c r="J286" s="32"/>
      <c r="K286" s="19"/>
      <c r="L286" s="19"/>
    </row>
    <row r="287" spans="2:12" x14ac:dyDescent="0.25">
      <c r="B287" s="19"/>
      <c r="C287" s="19"/>
      <c r="D287" s="19"/>
      <c r="E287" s="19"/>
      <c r="F287" s="19"/>
      <c r="G287" s="26"/>
      <c r="H287" s="19"/>
      <c r="I287" s="35"/>
      <c r="J287" s="32"/>
      <c r="K287" s="19"/>
      <c r="L287" s="19"/>
    </row>
    <row r="288" spans="2:12" x14ac:dyDescent="0.25">
      <c r="B288" s="19"/>
      <c r="C288" s="19"/>
      <c r="D288" s="19"/>
      <c r="E288" s="19"/>
      <c r="F288" s="19"/>
      <c r="G288" s="26"/>
      <c r="H288" s="19"/>
      <c r="I288" s="35"/>
      <c r="J288" s="32"/>
      <c r="K288" s="19"/>
      <c r="L288" s="19"/>
    </row>
    <row r="289" spans="2:12" x14ac:dyDescent="0.25">
      <c r="B289" s="19"/>
      <c r="C289" s="19"/>
      <c r="D289" s="19"/>
      <c r="E289" s="19"/>
      <c r="F289" s="19"/>
      <c r="G289" s="26"/>
      <c r="H289" s="19"/>
      <c r="I289" s="35"/>
      <c r="J289" s="32"/>
      <c r="K289" s="19"/>
      <c r="L289" s="19"/>
    </row>
    <row r="290" spans="2:12" x14ac:dyDescent="0.25">
      <c r="B290" s="19"/>
      <c r="C290" s="19"/>
      <c r="D290" s="19"/>
      <c r="E290" s="19"/>
      <c r="F290" s="19"/>
      <c r="G290" s="26"/>
      <c r="H290" s="19"/>
      <c r="I290" s="35"/>
      <c r="J290" s="32"/>
      <c r="K290" s="19"/>
      <c r="L290" s="19"/>
    </row>
    <row r="291" spans="2:12" x14ac:dyDescent="0.25">
      <c r="B291" s="19"/>
      <c r="C291" s="19"/>
      <c r="D291" s="19"/>
      <c r="E291" s="19"/>
      <c r="F291" s="19"/>
      <c r="G291" s="26"/>
      <c r="H291" s="19"/>
      <c r="I291" s="35"/>
      <c r="J291" s="32"/>
      <c r="K291" s="19"/>
      <c r="L291" s="19"/>
    </row>
    <row r="292" spans="2:12" x14ac:dyDescent="0.25">
      <c r="B292" s="19"/>
      <c r="C292" s="19"/>
      <c r="D292" s="19"/>
      <c r="E292" s="19"/>
      <c r="F292" s="19"/>
      <c r="G292" s="26"/>
      <c r="H292" s="19"/>
      <c r="I292" s="35"/>
      <c r="J292" s="32"/>
      <c r="K292" s="19"/>
      <c r="L292" s="19"/>
    </row>
    <row r="293" spans="2:12" x14ac:dyDescent="0.25">
      <c r="B293" s="19"/>
      <c r="C293" s="19"/>
      <c r="D293" s="19"/>
      <c r="E293" s="19"/>
      <c r="F293" s="19"/>
      <c r="G293" s="26"/>
      <c r="H293" s="19"/>
      <c r="I293" s="35"/>
      <c r="J293" s="32"/>
      <c r="K293" s="19"/>
      <c r="L293" s="19"/>
    </row>
    <row r="294" spans="2:12" x14ac:dyDescent="0.25">
      <c r="B294" s="19"/>
      <c r="C294" s="19"/>
      <c r="D294" s="19"/>
      <c r="E294" s="19"/>
      <c r="F294" s="19"/>
      <c r="G294" s="26"/>
      <c r="H294" s="19"/>
      <c r="I294" s="35"/>
      <c r="J294" s="32"/>
      <c r="K294" s="19"/>
      <c r="L294" s="19"/>
    </row>
    <row r="295" spans="2:12" x14ac:dyDescent="0.25">
      <c r="B295" s="19"/>
      <c r="C295" s="19"/>
      <c r="D295" s="19"/>
      <c r="E295" s="19"/>
      <c r="F295" s="19"/>
      <c r="G295" s="26"/>
      <c r="H295" s="19"/>
      <c r="I295" s="35"/>
      <c r="J295" s="32"/>
      <c r="K295" s="19"/>
      <c r="L295" s="19"/>
    </row>
    <row r="296" spans="2:12" x14ac:dyDescent="0.25">
      <c r="B296" s="19"/>
      <c r="C296" s="19"/>
      <c r="D296" s="19"/>
      <c r="E296" s="19"/>
      <c r="F296" s="19"/>
      <c r="G296" s="26"/>
      <c r="H296" s="19"/>
      <c r="I296" s="35"/>
      <c r="J296" s="32"/>
      <c r="K296" s="19"/>
      <c r="L296" s="19"/>
    </row>
    <row r="297" spans="2:12" x14ac:dyDescent="0.25">
      <c r="B297" s="19"/>
      <c r="C297" s="19"/>
      <c r="D297" s="19"/>
      <c r="E297" s="19"/>
      <c r="F297" s="19"/>
      <c r="G297" s="26"/>
      <c r="H297" s="19"/>
      <c r="I297" s="35"/>
      <c r="J297" s="32"/>
      <c r="K297" s="19"/>
      <c r="L297" s="19"/>
    </row>
    <row r="298" spans="2:12" x14ac:dyDescent="0.25">
      <c r="B298" s="19"/>
      <c r="C298" s="19"/>
      <c r="D298" s="19"/>
      <c r="E298" s="19"/>
      <c r="F298" s="19"/>
      <c r="G298" s="26"/>
      <c r="H298" s="19"/>
      <c r="I298" s="35"/>
      <c r="J298" s="32"/>
      <c r="K298" s="19"/>
      <c r="L298" s="19"/>
    </row>
    <row r="299" spans="2:12" x14ac:dyDescent="0.25">
      <c r="B299" s="19"/>
      <c r="C299" s="19"/>
      <c r="D299" s="19"/>
      <c r="E299" s="19"/>
      <c r="F299" s="19"/>
      <c r="G299" s="26"/>
      <c r="H299" s="19"/>
      <c r="I299" s="35"/>
      <c r="J299" s="32"/>
      <c r="K299" s="19"/>
      <c r="L299" s="19"/>
    </row>
    <row r="300" spans="2:12" x14ac:dyDescent="0.25">
      <c r="B300" s="19"/>
      <c r="C300" s="19"/>
      <c r="D300" s="19"/>
      <c r="E300" s="19"/>
      <c r="F300" s="19"/>
      <c r="G300" s="26"/>
      <c r="H300" s="19"/>
      <c r="I300" s="35"/>
      <c r="J300" s="32"/>
      <c r="K300" s="19"/>
      <c r="L300" s="19"/>
    </row>
    <row r="301" spans="2:12" x14ac:dyDescent="0.25">
      <c r="B301" s="19"/>
      <c r="C301" s="19"/>
      <c r="D301" s="19"/>
      <c r="E301" s="19"/>
      <c r="F301" s="19"/>
      <c r="G301" s="26"/>
      <c r="H301" s="19"/>
      <c r="I301" s="35"/>
      <c r="J301" s="32"/>
      <c r="K301" s="19"/>
      <c r="L301" s="19"/>
    </row>
    <row r="302" spans="2:12" x14ac:dyDescent="0.25">
      <c r="B302" s="19"/>
      <c r="C302" s="19"/>
      <c r="D302" s="19"/>
      <c r="E302" s="19"/>
      <c r="F302" s="19"/>
      <c r="G302" s="26"/>
      <c r="H302" s="19"/>
      <c r="I302" s="35"/>
      <c r="J302" s="32"/>
      <c r="K302" s="19"/>
      <c r="L302" s="19"/>
    </row>
    <row r="303" spans="2:12" x14ac:dyDescent="0.25">
      <c r="B303" s="19"/>
      <c r="C303" s="19"/>
      <c r="D303" s="19"/>
      <c r="E303" s="19"/>
      <c r="F303" s="19"/>
      <c r="G303" s="26"/>
      <c r="H303" s="19"/>
      <c r="I303" s="35"/>
      <c r="J303" s="32"/>
      <c r="K303" s="19"/>
      <c r="L303" s="19"/>
    </row>
    <row r="304" spans="2:12" x14ac:dyDescent="0.25">
      <c r="B304" s="19"/>
      <c r="C304" s="19"/>
      <c r="D304" s="19"/>
      <c r="E304" s="19"/>
      <c r="F304" s="19"/>
      <c r="G304" s="26"/>
      <c r="H304" s="19"/>
      <c r="I304" s="35"/>
      <c r="J304" s="32"/>
      <c r="K304" s="19"/>
      <c r="L304" s="19"/>
    </row>
    <row r="305" spans="2:12" x14ac:dyDescent="0.25">
      <c r="B305" s="19"/>
      <c r="C305" s="19"/>
      <c r="D305" s="19"/>
      <c r="E305" s="19"/>
      <c r="F305" s="19"/>
      <c r="G305" s="26"/>
      <c r="H305" s="19"/>
      <c r="I305" s="35"/>
      <c r="J305" s="32"/>
      <c r="K305" s="19"/>
      <c r="L305" s="19"/>
    </row>
    <row r="306" spans="2:12" x14ac:dyDescent="0.25">
      <c r="B306" s="19"/>
      <c r="C306" s="19"/>
      <c r="D306" s="19"/>
      <c r="E306" s="19"/>
      <c r="F306" s="19"/>
      <c r="G306" s="26"/>
      <c r="H306" s="19"/>
      <c r="I306" s="35"/>
      <c r="J306" s="32"/>
      <c r="K306" s="19"/>
      <c r="L306" s="19"/>
    </row>
    <row r="307" spans="2:12" x14ac:dyDescent="0.25">
      <c r="B307" s="19"/>
      <c r="C307" s="19"/>
      <c r="D307" s="19"/>
      <c r="E307" s="19"/>
      <c r="F307" s="19"/>
      <c r="G307" s="26"/>
      <c r="H307" s="19"/>
      <c r="I307" s="35"/>
      <c r="J307" s="32"/>
      <c r="K307" s="19"/>
      <c r="L307" s="19"/>
    </row>
    <row r="308" spans="2:12" x14ac:dyDescent="0.25">
      <c r="B308" s="19"/>
      <c r="C308" s="19"/>
      <c r="D308" s="19"/>
      <c r="E308" s="19"/>
      <c r="F308" s="19"/>
      <c r="G308" s="26"/>
      <c r="H308" s="19"/>
      <c r="I308" s="35"/>
      <c r="J308" s="32"/>
      <c r="K308" s="19"/>
      <c r="L308" s="19"/>
    </row>
    <row r="309" spans="2:12" x14ac:dyDescent="0.25">
      <c r="B309" s="19"/>
      <c r="C309" s="19"/>
      <c r="D309" s="19"/>
      <c r="E309" s="19"/>
      <c r="F309" s="19"/>
      <c r="G309" s="26"/>
      <c r="H309" s="19"/>
      <c r="I309" s="35"/>
      <c r="J309" s="32"/>
      <c r="K309" s="19"/>
      <c r="L309" s="19"/>
    </row>
    <row r="310" spans="2:12" x14ac:dyDescent="0.25">
      <c r="B310" s="19"/>
      <c r="C310" s="19"/>
      <c r="D310" s="19"/>
      <c r="E310" s="19"/>
      <c r="F310" s="19"/>
      <c r="G310" s="26"/>
      <c r="H310" s="19"/>
      <c r="I310" s="35"/>
      <c r="J310" s="32"/>
      <c r="K310" s="19"/>
      <c r="L310" s="19"/>
    </row>
    <row r="311" spans="2:12" x14ac:dyDescent="0.25">
      <c r="B311" s="19"/>
      <c r="C311" s="19"/>
      <c r="D311" s="19"/>
      <c r="E311" s="19"/>
      <c r="F311" s="19"/>
      <c r="G311" s="26"/>
      <c r="H311" s="19"/>
      <c r="I311" s="35"/>
      <c r="J311" s="32"/>
      <c r="K311" s="19"/>
      <c r="L311" s="19"/>
    </row>
    <row r="312" spans="2:12" x14ac:dyDescent="0.25">
      <c r="B312" s="19"/>
      <c r="C312" s="19"/>
      <c r="D312" s="19"/>
      <c r="E312" s="19"/>
      <c r="F312" s="19"/>
      <c r="G312" s="26"/>
      <c r="H312" s="19"/>
      <c r="I312" s="35"/>
      <c r="J312" s="32"/>
      <c r="K312" s="19"/>
      <c r="L312" s="19"/>
    </row>
    <row r="313" spans="2:12" x14ac:dyDescent="0.25">
      <c r="B313" s="19"/>
      <c r="C313" s="19"/>
      <c r="D313" s="19"/>
      <c r="E313" s="19"/>
      <c r="F313" s="19"/>
      <c r="G313" s="26"/>
      <c r="H313" s="19"/>
      <c r="I313" s="35"/>
      <c r="J313" s="32"/>
      <c r="K313" s="19"/>
      <c r="L313" s="19"/>
    </row>
    <row r="314" spans="2:12" x14ac:dyDescent="0.25">
      <c r="B314" s="19"/>
      <c r="C314" s="19"/>
      <c r="D314" s="19"/>
      <c r="E314" s="19"/>
      <c r="F314" s="19"/>
      <c r="G314" s="26"/>
      <c r="H314" s="19"/>
      <c r="I314" s="35"/>
      <c r="J314" s="32"/>
      <c r="K314" s="19"/>
      <c r="L314" s="19"/>
    </row>
    <row r="315" spans="2:12" x14ac:dyDescent="0.25">
      <c r="B315" s="19"/>
      <c r="C315" s="19"/>
      <c r="D315" s="19"/>
      <c r="E315" s="19"/>
      <c r="F315" s="19"/>
      <c r="G315" s="26"/>
      <c r="H315" s="19"/>
      <c r="I315" s="35"/>
      <c r="J315" s="32"/>
      <c r="K315" s="19"/>
      <c r="L315" s="19"/>
    </row>
    <row r="316" spans="2:12" x14ac:dyDescent="0.25">
      <c r="B316" s="19"/>
      <c r="C316" s="19"/>
      <c r="D316" s="19"/>
      <c r="E316" s="19"/>
      <c r="F316" s="19"/>
      <c r="G316" s="26"/>
      <c r="H316" s="19"/>
      <c r="I316" s="35"/>
      <c r="J316" s="32"/>
      <c r="K316" s="19"/>
      <c r="L316" s="19"/>
    </row>
    <row r="317" spans="2:12" x14ac:dyDescent="0.25">
      <c r="B317" s="19"/>
      <c r="C317" s="19"/>
      <c r="D317" s="19"/>
      <c r="E317" s="19"/>
      <c r="F317" s="19"/>
      <c r="G317" s="26"/>
      <c r="H317" s="19"/>
      <c r="I317" s="35"/>
      <c r="J317" s="32"/>
      <c r="K317" s="19"/>
      <c r="L317" s="19"/>
    </row>
    <row r="318" spans="2:12" x14ac:dyDescent="0.25">
      <c r="B318" s="19"/>
      <c r="C318" s="19"/>
      <c r="D318" s="19"/>
      <c r="E318" s="19"/>
      <c r="F318" s="19"/>
      <c r="G318" s="26"/>
      <c r="H318" s="19"/>
      <c r="I318" s="35"/>
      <c r="J318" s="32"/>
      <c r="K318" s="19"/>
      <c r="L318" s="19"/>
    </row>
    <row r="319" spans="2:12" x14ac:dyDescent="0.25">
      <c r="B319" s="19"/>
      <c r="C319" s="19"/>
      <c r="D319" s="19"/>
      <c r="E319" s="19"/>
      <c r="F319" s="19"/>
      <c r="G319" s="26"/>
      <c r="H319" s="19"/>
      <c r="I319" s="35"/>
      <c r="J319" s="32"/>
      <c r="K319" s="19"/>
      <c r="L319" s="19"/>
    </row>
    <row r="320" spans="2:12" x14ac:dyDescent="0.25">
      <c r="B320" s="19"/>
      <c r="C320" s="19"/>
      <c r="D320" s="19"/>
      <c r="E320" s="19"/>
      <c r="F320" s="19"/>
      <c r="G320" s="26"/>
      <c r="H320" s="19"/>
      <c r="I320" s="35"/>
      <c r="J320" s="32"/>
      <c r="K320" s="19"/>
      <c r="L320" s="19"/>
    </row>
    <row r="321" spans="2:12" x14ac:dyDescent="0.25">
      <c r="B321" s="19"/>
      <c r="C321" s="19"/>
      <c r="D321" s="19"/>
      <c r="E321" s="19"/>
      <c r="F321" s="19"/>
      <c r="G321" s="26"/>
      <c r="H321" s="19"/>
      <c r="I321" s="35"/>
      <c r="J321" s="32"/>
      <c r="K321" s="19"/>
      <c r="L321" s="19"/>
    </row>
    <row r="322" spans="2:12" x14ac:dyDescent="0.25">
      <c r="B322" s="19"/>
      <c r="C322" s="19"/>
      <c r="D322" s="19"/>
      <c r="E322" s="19"/>
      <c r="F322" s="19"/>
      <c r="G322" s="26"/>
      <c r="H322" s="19"/>
      <c r="I322" s="35"/>
      <c r="J322" s="32"/>
      <c r="K322" s="19"/>
      <c r="L322" s="19"/>
    </row>
    <row r="323" spans="2:12" x14ac:dyDescent="0.25">
      <c r="B323" s="19"/>
      <c r="C323" s="19"/>
      <c r="D323" s="19"/>
      <c r="E323" s="19"/>
      <c r="F323" s="19"/>
      <c r="G323" s="26"/>
      <c r="H323" s="19"/>
      <c r="I323" s="35"/>
      <c r="J323" s="32"/>
      <c r="K323" s="19"/>
      <c r="L323" s="19"/>
    </row>
    <row r="324" spans="2:12" x14ac:dyDescent="0.25">
      <c r="B324" s="19"/>
      <c r="C324" s="19"/>
      <c r="D324" s="19"/>
      <c r="E324" s="19"/>
      <c r="F324" s="19"/>
      <c r="G324" s="26"/>
      <c r="H324" s="19"/>
      <c r="I324" s="35"/>
      <c r="J324" s="32"/>
      <c r="K324" s="19"/>
      <c r="L324" s="19"/>
    </row>
    <row r="325" spans="2:12" x14ac:dyDescent="0.25">
      <c r="B325" s="19"/>
      <c r="C325" s="19"/>
      <c r="D325" s="19"/>
      <c r="E325" s="19"/>
      <c r="F325" s="19"/>
      <c r="G325" s="26"/>
      <c r="H325" s="19"/>
      <c r="I325" s="35"/>
      <c r="J325" s="32"/>
      <c r="K325" s="19"/>
      <c r="L325" s="19"/>
    </row>
    <row r="326" spans="2:12" x14ac:dyDescent="0.25">
      <c r="B326" s="19"/>
      <c r="C326" s="19"/>
      <c r="D326" s="19"/>
      <c r="E326" s="19"/>
      <c r="F326" s="19"/>
      <c r="G326" s="26"/>
      <c r="H326" s="19"/>
      <c r="I326" s="35"/>
      <c r="J326" s="32"/>
      <c r="K326" s="19"/>
      <c r="L326" s="19"/>
    </row>
    <row r="327" spans="2:12" x14ac:dyDescent="0.25">
      <c r="B327" s="19"/>
      <c r="C327" s="19"/>
      <c r="D327" s="19"/>
      <c r="E327" s="19"/>
      <c r="F327" s="19"/>
      <c r="G327" s="26"/>
      <c r="H327" s="19"/>
      <c r="I327" s="35"/>
      <c r="J327" s="32"/>
      <c r="K327" s="19"/>
      <c r="L327" s="19"/>
    </row>
    <row r="328" spans="2:12" x14ac:dyDescent="0.25">
      <c r="B328" s="19"/>
      <c r="C328" s="19"/>
      <c r="D328" s="19"/>
      <c r="E328" s="19"/>
      <c r="F328" s="19"/>
      <c r="G328" s="26"/>
      <c r="H328" s="19"/>
      <c r="I328" s="35"/>
      <c r="J328" s="32"/>
      <c r="K328" s="19"/>
      <c r="L328" s="19"/>
    </row>
    <row r="329" spans="2:12" x14ac:dyDescent="0.25">
      <c r="B329" s="19"/>
      <c r="C329" s="19"/>
      <c r="D329" s="19"/>
      <c r="E329" s="19"/>
      <c r="F329" s="19"/>
      <c r="G329" s="26"/>
      <c r="H329" s="19"/>
      <c r="I329" s="35"/>
      <c r="J329" s="32"/>
      <c r="K329" s="19"/>
      <c r="L329" s="19"/>
    </row>
    <row r="330" spans="2:12" x14ac:dyDescent="0.25">
      <c r="B330" s="19"/>
      <c r="C330" s="19"/>
      <c r="D330" s="19"/>
      <c r="E330" s="19"/>
      <c r="F330" s="19"/>
      <c r="G330" s="26"/>
      <c r="H330" s="19"/>
      <c r="I330" s="35"/>
      <c r="J330" s="32"/>
      <c r="K330" s="19"/>
      <c r="L330" s="19"/>
    </row>
    <row r="331" spans="2:12" x14ac:dyDescent="0.25">
      <c r="B331" s="19"/>
      <c r="C331" s="19"/>
      <c r="D331" s="19"/>
      <c r="E331" s="19"/>
      <c r="F331" s="19"/>
      <c r="G331" s="26"/>
      <c r="H331" s="19"/>
      <c r="I331" s="35"/>
      <c r="J331" s="32"/>
      <c r="K331" s="19"/>
      <c r="L331" s="19"/>
    </row>
    <row r="332" spans="2:12" x14ac:dyDescent="0.25">
      <c r="B332" s="19"/>
      <c r="C332" s="19"/>
      <c r="D332" s="19"/>
      <c r="E332" s="19"/>
      <c r="F332" s="19"/>
      <c r="G332" s="26"/>
      <c r="H332" s="19"/>
      <c r="I332" s="35"/>
      <c r="J332" s="32"/>
      <c r="K332" s="19"/>
      <c r="L332" s="19"/>
    </row>
    <row r="333" spans="2:12" x14ac:dyDescent="0.25">
      <c r="B333" s="19"/>
      <c r="C333" s="19"/>
      <c r="D333" s="19"/>
      <c r="E333" s="19"/>
      <c r="F333" s="19"/>
      <c r="G333" s="26"/>
      <c r="H333" s="19"/>
      <c r="I333" s="35"/>
      <c r="J333" s="32"/>
      <c r="K333" s="19"/>
      <c r="L333" s="19"/>
    </row>
    <row r="334" spans="2:12" x14ac:dyDescent="0.25">
      <c r="B334" s="19"/>
      <c r="C334" s="19"/>
      <c r="D334" s="19"/>
      <c r="E334" s="19"/>
      <c r="F334" s="19"/>
      <c r="G334" s="26"/>
      <c r="H334" s="19"/>
      <c r="I334" s="35"/>
      <c r="J334" s="32"/>
      <c r="K334" s="19"/>
      <c r="L334" s="19"/>
    </row>
    <row r="335" spans="2:12" x14ac:dyDescent="0.25">
      <c r="B335" s="19"/>
      <c r="C335" s="19"/>
      <c r="D335" s="19"/>
      <c r="E335" s="19"/>
      <c r="F335" s="19"/>
      <c r="G335" s="26"/>
      <c r="H335" s="19"/>
      <c r="I335" s="35"/>
      <c r="J335" s="32"/>
      <c r="K335" s="19"/>
      <c r="L335" s="19"/>
    </row>
    <row r="336" spans="2:12" x14ac:dyDescent="0.25">
      <c r="B336" s="19"/>
      <c r="C336" s="19"/>
      <c r="D336" s="19"/>
      <c r="E336" s="19"/>
      <c r="F336" s="19"/>
      <c r="G336" s="26"/>
      <c r="H336" s="19"/>
      <c r="I336" s="35"/>
      <c r="J336" s="32"/>
      <c r="K336" s="19"/>
      <c r="L336" s="19"/>
    </row>
    <row r="337" spans="2:12" x14ac:dyDescent="0.25">
      <c r="B337" s="19"/>
      <c r="C337" s="19"/>
      <c r="D337" s="19"/>
      <c r="E337" s="19"/>
      <c r="F337" s="19"/>
      <c r="G337" s="26"/>
      <c r="H337" s="19"/>
      <c r="I337" s="35"/>
      <c r="J337" s="32"/>
      <c r="K337" s="19"/>
      <c r="L337" s="19"/>
    </row>
    <row r="338" spans="2:12" x14ac:dyDescent="0.25">
      <c r="B338" s="19"/>
      <c r="C338" s="19"/>
      <c r="D338" s="19"/>
      <c r="E338" s="19"/>
      <c r="F338" s="19"/>
      <c r="G338" s="26"/>
      <c r="H338" s="19"/>
      <c r="I338" s="35"/>
      <c r="J338" s="32"/>
      <c r="K338" s="19"/>
      <c r="L338" s="19"/>
    </row>
    <row r="339" spans="2:12" x14ac:dyDescent="0.25">
      <c r="B339" s="19"/>
      <c r="C339" s="19"/>
      <c r="D339" s="19"/>
      <c r="E339" s="19"/>
      <c r="F339" s="19"/>
      <c r="G339" s="26"/>
      <c r="H339" s="19"/>
      <c r="I339" s="35"/>
      <c r="J339" s="32"/>
      <c r="K339" s="19"/>
      <c r="L339" s="19"/>
    </row>
    <row r="340" spans="2:12" x14ac:dyDescent="0.25">
      <c r="B340" s="19"/>
      <c r="C340" s="19"/>
      <c r="D340" s="19"/>
      <c r="E340" s="19"/>
      <c r="F340" s="19"/>
      <c r="G340" s="26"/>
      <c r="H340" s="19"/>
      <c r="I340" s="35"/>
      <c r="J340" s="32"/>
      <c r="K340" s="19"/>
      <c r="L340" s="19"/>
    </row>
    <row r="341" spans="2:12" x14ac:dyDescent="0.25">
      <c r="B341" s="19"/>
      <c r="C341" s="19"/>
      <c r="D341" s="19"/>
      <c r="E341" s="19"/>
      <c r="F341" s="19"/>
      <c r="G341" s="26"/>
      <c r="H341" s="19"/>
      <c r="I341" s="35"/>
      <c r="J341" s="32"/>
      <c r="K341" s="19"/>
      <c r="L341" s="19"/>
    </row>
    <row r="342" spans="2:12" x14ac:dyDescent="0.25">
      <c r="B342" s="19"/>
      <c r="C342" s="19"/>
      <c r="D342" s="19"/>
      <c r="E342" s="19"/>
      <c r="F342" s="19"/>
      <c r="G342" s="26"/>
      <c r="H342" s="19"/>
      <c r="I342" s="35"/>
      <c r="J342" s="32"/>
      <c r="K342" s="19"/>
      <c r="L342" s="19"/>
    </row>
    <row r="343" spans="2:12" x14ac:dyDescent="0.25">
      <c r="B343" s="19"/>
      <c r="C343" s="19"/>
      <c r="D343" s="19"/>
      <c r="E343" s="19"/>
      <c r="F343" s="19"/>
      <c r="G343" s="26"/>
      <c r="H343" s="19"/>
      <c r="I343" s="35"/>
      <c r="J343" s="32"/>
      <c r="K343" s="19"/>
      <c r="L343" s="19"/>
    </row>
    <row r="344" spans="2:12" x14ac:dyDescent="0.25">
      <c r="B344" s="19"/>
      <c r="C344" s="19"/>
      <c r="D344" s="19"/>
      <c r="E344" s="19"/>
      <c r="F344" s="19"/>
      <c r="G344" s="26"/>
      <c r="H344" s="19"/>
      <c r="I344" s="35"/>
      <c r="J344" s="32"/>
      <c r="K344" s="19"/>
      <c r="L344" s="19"/>
    </row>
    <row r="345" spans="2:12" x14ac:dyDescent="0.25">
      <c r="B345" s="19"/>
      <c r="C345" s="19"/>
      <c r="D345" s="19"/>
      <c r="E345" s="19"/>
      <c r="F345" s="19"/>
      <c r="G345" s="26"/>
      <c r="H345" s="19"/>
      <c r="I345" s="35"/>
      <c r="J345" s="32"/>
      <c r="K345" s="19"/>
      <c r="L345" s="19"/>
    </row>
    <row r="346" spans="2:12" x14ac:dyDescent="0.25">
      <c r="B346" s="19"/>
      <c r="C346" s="19"/>
      <c r="D346" s="19"/>
      <c r="E346" s="19"/>
      <c r="F346" s="19"/>
      <c r="G346" s="26"/>
      <c r="H346" s="19"/>
      <c r="I346" s="35"/>
      <c r="J346" s="32"/>
      <c r="K346" s="19"/>
      <c r="L346" s="19"/>
    </row>
    <row r="347" spans="2:12" x14ac:dyDescent="0.25">
      <c r="B347" s="19"/>
      <c r="C347" s="19"/>
      <c r="D347" s="19"/>
      <c r="E347" s="19"/>
      <c r="F347" s="19"/>
      <c r="G347" s="26"/>
      <c r="H347" s="19"/>
      <c r="I347" s="35"/>
      <c r="J347" s="32"/>
      <c r="K347" s="19"/>
      <c r="L347" s="19"/>
    </row>
    <row r="348" spans="2:12" x14ac:dyDescent="0.25">
      <c r="B348" s="19"/>
      <c r="C348" s="19"/>
      <c r="D348" s="19"/>
      <c r="E348" s="19"/>
      <c r="F348" s="19"/>
      <c r="G348" s="26"/>
      <c r="H348" s="19"/>
      <c r="I348" s="35"/>
      <c r="J348" s="32"/>
      <c r="K348" s="19"/>
      <c r="L348" s="19"/>
    </row>
    <row r="349" spans="2:12" x14ac:dyDescent="0.25">
      <c r="B349" s="19"/>
      <c r="C349" s="19"/>
      <c r="D349" s="19"/>
      <c r="E349" s="19"/>
      <c r="F349" s="19"/>
      <c r="G349" s="26"/>
      <c r="H349" s="19"/>
      <c r="I349" s="35"/>
      <c r="J349" s="32"/>
      <c r="K349" s="19"/>
      <c r="L349" s="19"/>
    </row>
    <row r="350" spans="2:12" x14ac:dyDescent="0.25">
      <c r="B350" s="19"/>
      <c r="C350" s="19"/>
      <c r="D350" s="19"/>
      <c r="E350" s="19"/>
      <c r="F350" s="19"/>
      <c r="G350" s="26"/>
      <c r="H350" s="19"/>
      <c r="I350" s="35"/>
      <c r="J350" s="32"/>
      <c r="K350" s="19"/>
      <c r="L350" s="19"/>
    </row>
    <row r="351" spans="2:12" x14ac:dyDescent="0.25">
      <c r="B351" s="19"/>
      <c r="C351" s="19"/>
      <c r="D351" s="19"/>
      <c r="E351" s="19"/>
      <c r="F351" s="19"/>
      <c r="G351" s="26"/>
      <c r="H351" s="19"/>
      <c r="I351" s="35"/>
      <c r="J351" s="32"/>
      <c r="K351" s="19"/>
      <c r="L351" s="19"/>
    </row>
    <row r="352" spans="2:12" x14ac:dyDescent="0.25">
      <c r="B352" s="19"/>
      <c r="C352" s="19"/>
      <c r="D352" s="19"/>
      <c r="E352" s="19"/>
      <c r="F352" s="19"/>
      <c r="G352" s="26"/>
      <c r="H352" s="19"/>
      <c r="I352" s="35"/>
      <c r="J352" s="32"/>
      <c r="K352" s="19"/>
      <c r="L352" s="19"/>
    </row>
    <row r="353" spans="2:12" x14ac:dyDescent="0.25">
      <c r="B353" s="19"/>
      <c r="C353" s="19"/>
      <c r="D353" s="19"/>
      <c r="E353" s="19"/>
      <c r="F353" s="19"/>
      <c r="G353" s="26"/>
      <c r="H353" s="19"/>
      <c r="I353" s="35"/>
      <c r="J353" s="32"/>
      <c r="K353" s="19"/>
      <c r="L353" s="19"/>
    </row>
    <row r="354" spans="2:12" x14ac:dyDescent="0.25">
      <c r="B354" s="19"/>
      <c r="C354" s="19"/>
      <c r="D354" s="19"/>
      <c r="E354" s="19"/>
      <c r="F354" s="19"/>
      <c r="G354" s="26"/>
      <c r="H354" s="19"/>
      <c r="I354" s="35"/>
      <c r="J354" s="32"/>
      <c r="K354" s="19"/>
      <c r="L354" s="19"/>
    </row>
    <row r="355" spans="2:12" x14ac:dyDescent="0.25">
      <c r="B355" s="19"/>
      <c r="C355" s="19"/>
      <c r="D355" s="19"/>
      <c r="E355" s="19"/>
      <c r="F355" s="19"/>
      <c r="G355" s="26"/>
      <c r="H355" s="19"/>
      <c r="I355" s="35"/>
      <c r="J355" s="32"/>
      <c r="K355" s="19"/>
      <c r="L355" s="19"/>
    </row>
    <row r="356" spans="2:12" x14ac:dyDescent="0.25">
      <c r="B356" s="19"/>
      <c r="C356" s="19"/>
      <c r="D356" s="19"/>
      <c r="E356" s="19"/>
      <c r="F356" s="19"/>
      <c r="G356" s="26"/>
      <c r="H356" s="19"/>
      <c r="I356" s="35"/>
      <c r="J356" s="32"/>
      <c r="K356" s="19"/>
      <c r="L356" s="19"/>
    </row>
    <row r="357" spans="2:12" x14ac:dyDescent="0.25">
      <c r="B357" s="19"/>
      <c r="C357" s="19"/>
      <c r="D357" s="19"/>
      <c r="E357" s="19"/>
      <c r="F357" s="19"/>
      <c r="G357" s="26"/>
      <c r="H357" s="19"/>
      <c r="I357" s="35"/>
      <c r="J357" s="32"/>
      <c r="K357" s="19"/>
      <c r="L357" s="19"/>
    </row>
    <row r="358" spans="2:12" x14ac:dyDescent="0.25">
      <c r="B358" s="19"/>
      <c r="C358" s="19"/>
      <c r="D358" s="19"/>
      <c r="E358" s="19"/>
      <c r="F358" s="19"/>
      <c r="G358" s="26"/>
      <c r="H358" s="19"/>
      <c r="I358" s="35"/>
      <c r="J358" s="32"/>
      <c r="K358" s="19"/>
      <c r="L358" s="19"/>
    </row>
    <row r="359" spans="2:12" x14ac:dyDescent="0.25">
      <c r="B359" s="19"/>
      <c r="C359" s="19"/>
      <c r="D359" s="19"/>
      <c r="E359" s="19"/>
      <c r="F359" s="19"/>
      <c r="G359" s="26"/>
      <c r="H359" s="19"/>
      <c r="I359" s="35"/>
      <c r="J359" s="32"/>
      <c r="K359" s="19"/>
      <c r="L359" s="19"/>
    </row>
    <row r="360" spans="2:12" x14ac:dyDescent="0.25">
      <c r="B360" s="19"/>
      <c r="C360" s="19"/>
      <c r="D360" s="19"/>
      <c r="E360" s="19"/>
      <c r="F360" s="19"/>
      <c r="G360" s="26"/>
      <c r="H360" s="19"/>
      <c r="I360" s="35"/>
      <c r="J360" s="32"/>
      <c r="K360" s="19"/>
      <c r="L360" s="19"/>
    </row>
    <row r="361" spans="2:12" x14ac:dyDescent="0.25">
      <c r="B361" s="19"/>
      <c r="C361" s="19"/>
      <c r="D361" s="19"/>
      <c r="E361" s="19"/>
      <c r="F361" s="19"/>
      <c r="G361" s="26"/>
      <c r="H361" s="19"/>
      <c r="I361" s="35"/>
      <c r="J361" s="32"/>
      <c r="K361" s="19"/>
      <c r="L361" s="19"/>
    </row>
    <row r="362" spans="2:12" x14ac:dyDescent="0.25">
      <c r="B362" s="19"/>
      <c r="C362" s="19"/>
      <c r="D362" s="19"/>
      <c r="E362" s="19"/>
      <c r="F362" s="19"/>
      <c r="G362" s="26"/>
      <c r="H362" s="19"/>
      <c r="I362" s="35"/>
      <c r="J362" s="32"/>
      <c r="K362" s="19"/>
      <c r="L362" s="19"/>
    </row>
    <row r="363" spans="2:12" x14ac:dyDescent="0.25">
      <c r="B363" s="19"/>
      <c r="C363" s="19"/>
      <c r="D363" s="19"/>
      <c r="E363" s="19"/>
      <c r="F363" s="19"/>
      <c r="G363" s="26"/>
      <c r="H363" s="19"/>
      <c r="I363" s="35"/>
      <c r="J363" s="32"/>
      <c r="K363" s="19"/>
      <c r="L363" s="19"/>
    </row>
    <row r="364" spans="2:12" x14ac:dyDescent="0.25">
      <c r="B364" s="19"/>
      <c r="C364" s="19"/>
      <c r="D364" s="19"/>
      <c r="E364" s="19"/>
      <c r="F364" s="19"/>
      <c r="G364" s="26"/>
      <c r="H364" s="19"/>
      <c r="I364" s="35"/>
      <c r="J364" s="32"/>
      <c r="K364" s="19"/>
      <c r="L364" s="19"/>
    </row>
    <row r="365" spans="2:12" x14ac:dyDescent="0.25">
      <c r="B365" s="19"/>
      <c r="C365" s="19"/>
      <c r="D365" s="19"/>
      <c r="E365" s="19"/>
      <c r="F365" s="19"/>
      <c r="G365" s="26"/>
      <c r="H365" s="19"/>
      <c r="I365" s="35"/>
      <c r="J365" s="32"/>
      <c r="K365" s="19"/>
      <c r="L365" s="19"/>
    </row>
    <row r="366" spans="2:12" x14ac:dyDescent="0.25">
      <c r="B366" s="19"/>
      <c r="C366" s="19"/>
      <c r="D366" s="19"/>
      <c r="E366" s="19"/>
      <c r="F366" s="19"/>
      <c r="G366" s="26"/>
      <c r="H366" s="19"/>
      <c r="I366" s="35"/>
      <c r="J366" s="32"/>
      <c r="K366" s="19"/>
      <c r="L366" s="19"/>
    </row>
    <row r="367" spans="2:12" x14ac:dyDescent="0.25">
      <c r="B367" s="19"/>
      <c r="C367" s="19"/>
      <c r="D367" s="19"/>
      <c r="E367" s="19"/>
      <c r="F367" s="19"/>
      <c r="G367" s="26"/>
      <c r="H367" s="19"/>
      <c r="I367" s="35"/>
      <c r="J367" s="32"/>
      <c r="K367" s="19"/>
      <c r="L367" s="19"/>
    </row>
    <row r="368" spans="2:12" x14ac:dyDescent="0.25">
      <c r="C368" s="19"/>
      <c r="D368" s="19"/>
      <c r="E368" s="19"/>
      <c r="F368" s="19"/>
      <c r="G368" s="26"/>
      <c r="H368" s="19"/>
      <c r="I368" s="35"/>
      <c r="J368" s="32"/>
      <c r="K368" s="19"/>
      <c r="L368" s="19"/>
    </row>
    <row r="369" spans="3:12" x14ac:dyDescent="0.25">
      <c r="C369" s="19"/>
      <c r="D369" s="19"/>
      <c r="E369" s="19"/>
      <c r="F369" s="19"/>
      <c r="G369" s="26"/>
      <c r="H369" s="19"/>
      <c r="I369" s="35"/>
      <c r="J369" s="32"/>
      <c r="K369" s="19"/>
      <c r="L369" s="19"/>
    </row>
    <row r="370" spans="3:12" x14ac:dyDescent="0.25">
      <c r="C370" s="19"/>
      <c r="D370" s="19"/>
      <c r="E370" s="19"/>
      <c r="F370" s="19"/>
      <c r="G370" s="26"/>
      <c r="H370" s="19"/>
      <c r="I370" s="35"/>
      <c r="J370" s="32"/>
      <c r="K370" s="19"/>
      <c r="L370" s="19"/>
    </row>
  </sheetData>
  <mergeCells count="114">
    <mergeCell ref="C11:F11"/>
    <mergeCell ref="B17:K17"/>
    <mergeCell ref="C18:L18"/>
    <mergeCell ref="B6:L6"/>
    <mergeCell ref="C7:F7"/>
    <mergeCell ref="C8:L8"/>
    <mergeCell ref="C9:F9"/>
    <mergeCell ref="C10:F10"/>
    <mergeCell ref="B1:C5"/>
    <mergeCell ref="D2:L2"/>
    <mergeCell ref="E3:F3"/>
    <mergeCell ref="K3:L3"/>
    <mergeCell ref="E4:F4"/>
    <mergeCell ref="K4:L4"/>
    <mergeCell ref="E5:F5"/>
    <mergeCell ref="K5:L5"/>
    <mergeCell ref="C19:F19"/>
    <mergeCell ref="C20:F20"/>
    <mergeCell ref="C21:F21"/>
    <mergeCell ref="C22:F22"/>
    <mergeCell ref="C23:F23"/>
    <mergeCell ref="C25:F25"/>
    <mergeCell ref="C26:F26"/>
    <mergeCell ref="C27:F27"/>
    <mergeCell ref="C28:F28"/>
    <mergeCell ref="C24:F24"/>
    <mergeCell ref="C29:F29"/>
    <mergeCell ref="B30:K30"/>
    <mergeCell ref="C39:F39"/>
    <mergeCell ref="C40:F40"/>
    <mergeCell ref="C41:F41"/>
    <mergeCell ref="C44:L44"/>
    <mergeCell ref="C33:F33"/>
    <mergeCell ref="C34:F34"/>
    <mergeCell ref="C35:F35"/>
    <mergeCell ref="C36:F36"/>
    <mergeCell ref="C37:F37"/>
    <mergeCell ref="C38:F38"/>
    <mergeCell ref="C42:F42"/>
    <mergeCell ref="B43:K43"/>
    <mergeCell ref="C32:F32"/>
    <mergeCell ref="C31:L31"/>
    <mergeCell ref="C51:F51"/>
    <mergeCell ref="C52:F52"/>
    <mergeCell ref="C53:F53"/>
    <mergeCell ref="C54:F54"/>
    <mergeCell ref="C55:F55"/>
    <mergeCell ref="C45:F45"/>
    <mergeCell ref="C46:F46"/>
    <mergeCell ref="C47:F47"/>
    <mergeCell ref="C48:F48"/>
    <mergeCell ref="C49:F49"/>
    <mergeCell ref="C50:F50"/>
    <mergeCell ref="B73:K73"/>
    <mergeCell ref="C69:F69"/>
    <mergeCell ref="C70:F70"/>
    <mergeCell ref="C71:F71"/>
    <mergeCell ref="C81:F81"/>
    <mergeCell ref="C84:F84"/>
    <mergeCell ref="B56:K56"/>
    <mergeCell ref="C64:F64"/>
    <mergeCell ref="C68:F68"/>
    <mergeCell ref="C58:F58"/>
    <mergeCell ref="C61:F61"/>
    <mergeCell ref="C57:L57"/>
    <mergeCell ref="B59:K59"/>
    <mergeCell ref="C60:L60"/>
    <mergeCell ref="B62:K62"/>
    <mergeCell ref="C63:L63"/>
    <mergeCell ref="B65:K65"/>
    <mergeCell ref="C66:L66"/>
    <mergeCell ref="C67:F67"/>
    <mergeCell ref="C72:F72"/>
    <mergeCell ref="C74:L74"/>
    <mergeCell ref="B79:K79"/>
    <mergeCell ref="C80:L80"/>
    <mergeCell ref="C82:F82"/>
    <mergeCell ref="C77:F77"/>
    <mergeCell ref="C78:F78"/>
    <mergeCell ref="C83:F83"/>
    <mergeCell ref="B85:K85"/>
    <mergeCell ref="C94:F94"/>
    <mergeCell ref="C95:F95"/>
    <mergeCell ref="C90:F90"/>
    <mergeCell ref="C86:L86"/>
    <mergeCell ref="C87:F87"/>
    <mergeCell ref="C88:F88"/>
    <mergeCell ref="C89:F89"/>
    <mergeCell ref="B91:K91"/>
    <mergeCell ref="C93:F93"/>
    <mergeCell ref="B110:F110"/>
    <mergeCell ref="D1:L1"/>
    <mergeCell ref="G119:L119"/>
    <mergeCell ref="C12:F12"/>
    <mergeCell ref="C13:F13"/>
    <mergeCell ref="C14:F14"/>
    <mergeCell ref="C15:F15"/>
    <mergeCell ref="C16:F16"/>
    <mergeCell ref="B108:K108"/>
    <mergeCell ref="C105:F105"/>
    <mergeCell ref="C106:F106"/>
    <mergeCell ref="C99:F99"/>
    <mergeCell ref="C100:F100"/>
    <mergeCell ref="C101:F101"/>
    <mergeCell ref="C102:F102"/>
    <mergeCell ref="C98:L98"/>
    <mergeCell ref="C103:F103"/>
    <mergeCell ref="C104:F104"/>
    <mergeCell ref="C107:F107"/>
    <mergeCell ref="C96:F96"/>
    <mergeCell ref="C92:L92"/>
    <mergeCell ref="B97:K97"/>
    <mergeCell ref="C75:F75"/>
    <mergeCell ref="C76:F76"/>
  </mergeCells>
  <printOptions horizontalCentered="1"/>
  <pageMargins left="0.23622047244094491" right="0.27559055118110237" top="0.39370078740157483" bottom="0.59055118110236227" header="0.31496062992125984" footer="0.31496062992125984"/>
  <pageSetup paperSize="9" scale="60" fitToHeight="0" orientation="landscape" horizontalDpi="0" verticalDpi="0" r:id="rId1"/>
  <headerFooter>
    <oddFooter>&amp;CTR CONSTRUTORA E ENGENHARIA LTDA - PLANILHA DE COMPOSIÇÕES -  COMPLEXO ESCOLA ESPECIAL, BLOCO 03 - PARTE A - Página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Y271"/>
  <sheetViews>
    <sheetView zoomScale="70" zoomScaleNormal="70" workbookViewId="0">
      <selection activeCell="B11" sqref="B11:F11"/>
    </sheetView>
  </sheetViews>
  <sheetFormatPr defaultColWidth="9.140625" defaultRowHeight="15" x14ac:dyDescent="0.25"/>
  <cols>
    <col min="1" max="1" width="1.42578125" style="19" customWidth="1"/>
    <col min="2" max="3" width="8.85546875" style="27" customWidth="1"/>
    <col min="4" max="4" width="17.42578125" style="27" customWidth="1"/>
    <col min="5" max="5" width="12.42578125" style="27" bestFit="1" customWidth="1"/>
    <col min="6" max="6" width="70.5703125" style="27" customWidth="1"/>
    <col min="7" max="7" width="7.85546875" style="27" customWidth="1"/>
    <col min="8" max="8" width="11.7109375" style="36" customWidth="1"/>
    <col min="9" max="9" width="33.5703125" style="33" customWidth="1"/>
    <col min="10" max="10" width="23.42578125" style="27" customWidth="1"/>
    <col min="11" max="11" width="22.140625" style="27" customWidth="1"/>
    <col min="12" max="16384" width="9.140625" style="19"/>
  </cols>
  <sheetData>
    <row r="1" spans="2:77" ht="30" customHeight="1" x14ac:dyDescent="0.25">
      <c r="B1" s="123"/>
      <c r="C1" s="123"/>
      <c r="D1" s="147" t="s">
        <v>336</v>
      </c>
      <c r="E1" s="148"/>
      <c r="F1" s="148"/>
      <c r="G1" s="148"/>
      <c r="H1" s="148"/>
      <c r="I1" s="148"/>
      <c r="J1" s="148"/>
      <c r="K1" s="149"/>
    </row>
    <row r="2" spans="2:77" ht="6" customHeight="1" x14ac:dyDescent="0.25">
      <c r="B2" s="123"/>
      <c r="C2" s="123"/>
      <c r="D2" s="118"/>
      <c r="E2" s="119"/>
      <c r="F2" s="119"/>
      <c r="G2" s="119"/>
      <c r="H2" s="119"/>
      <c r="I2" s="119"/>
      <c r="J2" s="119"/>
      <c r="K2" s="158"/>
    </row>
    <row r="3" spans="2:77" ht="25.5" customHeight="1" x14ac:dyDescent="0.25">
      <c r="B3" s="123"/>
      <c r="C3" s="123"/>
      <c r="D3" s="85" t="s">
        <v>320</v>
      </c>
      <c r="E3" s="96" t="s">
        <v>351</v>
      </c>
      <c r="F3" s="97"/>
      <c r="G3" s="97"/>
      <c r="H3" s="97"/>
      <c r="I3" s="88"/>
      <c r="J3" s="159"/>
      <c r="K3" s="160"/>
    </row>
    <row r="4" spans="2:77" ht="25.5" customHeight="1" x14ac:dyDescent="0.25">
      <c r="B4" s="123"/>
      <c r="C4" s="123"/>
      <c r="D4" s="85" t="s">
        <v>7</v>
      </c>
      <c r="E4" s="96" t="s">
        <v>282</v>
      </c>
      <c r="F4" s="97"/>
      <c r="G4" s="60"/>
      <c r="H4" s="87"/>
      <c r="I4" s="88"/>
      <c r="J4" s="161"/>
      <c r="K4" s="162"/>
    </row>
    <row r="5" spans="2:77" ht="25.5" customHeight="1" x14ac:dyDescent="0.25">
      <c r="B5" s="123"/>
      <c r="C5" s="123"/>
      <c r="D5" s="85" t="s">
        <v>5</v>
      </c>
      <c r="E5" s="96" t="s">
        <v>124</v>
      </c>
      <c r="F5" s="97"/>
      <c r="G5" s="63"/>
      <c r="H5" s="87"/>
      <c r="I5" s="88"/>
      <c r="J5" s="163"/>
      <c r="K5" s="162"/>
    </row>
    <row r="6" spans="2:77" ht="10.5" customHeight="1" x14ac:dyDescent="0.25">
      <c r="B6" s="114"/>
      <c r="C6" s="115"/>
      <c r="D6" s="115"/>
      <c r="E6" s="116"/>
      <c r="F6" s="116"/>
      <c r="G6" s="116"/>
      <c r="H6" s="116"/>
      <c r="I6" s="116"/>
      <c r="J6" s="116"/>
      <c r="K6" s="157"/>
    </row>
    <row r="7" spans="2:77" s="20" customFormat="1" ht="54.75" customHeight="1" x14ac:dyDescent="0.25">
      <c r="B7" s="54" t="s">
        <v>8</v>
      </c>
      <c r="C7" s="106" t="s">
        <v>335</v>
      </c>
      <c r="D7" s="106"/>
      <c r="E7" s="106"/>
      <c r="F7" s="106"/>
      <c r="G7" s="55" t="s">
        <v>3</v>
      </c>
      <c r="H7" s="56" t="s">
        <v>4</v>
      </c>
      <c r="I7" s="57" t="s">
        <v>332</v>
      </c>
      <c r="J7" s="55" t="s">
        <v>333</v>
      </c>
      <c r="K7" s="55" t="s">
        <v>12</v>
      </c>
    </row>
    <row r="8" spans="2:77" s="20" customFormat="1" ht="39.75" customHeight="1" x14ac:dyDescent="0.25">
      <c r="B8" s="12" t="s">
        <v>75</v>
      </c>
      <c r="C8" s="102" t="s">
        <v>141</v>
      </c>
      <c r="D8" s="103"/>
      <c r="E8" s="103"/>
      <c r="F8" s="104"/>
      <c r="G8" s="11" t="s">
        <v>334</v>
      </c>
      <c r="H8" s="16">
        <v>1</v>
      </c>
      <c r="I8" s="29" t="s">
        <v>139</v>
      </c>
      <c r="J8" s="6" t="s">
        <v>140</v>
      </c>
      <c r="K8" s="6">
        <v>5800</v>
      </c>
    </row>
    <row r="9" spans="2:77" s="20" customFormat="1" ht="33" customHeight="1" x14ac:dyDescent="0.25">
      <c r="B9" s="90" t="s">
        <v>329</v>
      </c>
      <c r="C9" s="91"/>
      <c r="D9" s="91"/>
      <c r="E9" s="91"/>
      <c r="F9" s="91"/>
      <c r="G9" s="91"/>
      <c r="H9" s="91"/>
      <c r="I9" s="91"/>
      <c r="J9" s="91"/>
      <c r="K9" s="86">
        <f>K8</f>
        <v>5800</v>
      </c>
    </row>
    <row r="10" spans="2:77" s="68" customFormat="1" ht="33" customHeight="1" x14ac:dyDescent="0.25">
      <c r="B10" s="89"/>
      <c r="C10" s="89"/>
      <c r="D10" s="89"/>
      <c r="E10" s="89"/>
      <c r="F10" s="89"/>
      <c r="G10" s="73"/>
      <c r="H10" s="71"/>
      <c r="I10" s="72"/>
      <c r="J10" s="73"/>
      <c r="L10" s="20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7"/>
      <c r="BK10" s="67"/>
      <c r="BL10" s="67"/>
      <c r="BM10" s="67"/>
      <c r="BN10" s="67"/>
      <c r="BO10" s="67"/>
      <c r="BP10" s="67"/>
      <c r="BQ10" s="67"/>
      <c r="BR10" s="67"/>
      <c r="BS10" s="67"/>
      <c r="BT10" s="67"/>
      <c r="BU10" s="67"/>
      <c r="BV10" s="67"/>
      <c r="BW10" s="67"/>
      <c r="BX10" s="67"/>
      <c r="BY10" s="67"/>
    </row>
    <row r="11" spans="2:77" s="68" customFormat="1" ht="33" customHeight="1" x14ac:dyDescent="0.25">
      <c r="B11" s="89" t="s">
        <v>327</v>
      </c>
      <c r="C11" s="89"/>
      <c r="D11" s="89"/>
      <c r="E11" s="89"/>
      <c r="F11" s="89"/>
      <c r="G11" s="73"/>
      <c r="H11" s="71"/>
      <c r="I11" s="72"/>
      <c r="J11" s="73"/>
      <c r="L11" s="20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/>
      <c r="BH11" s="67"/>
      <c r="BI11" s="67"/>
      <c r="BJ11" s="67"/>
      <c r="BK11" s="67"/>
      <c r="BL11" s="67"/>
      <c r="BM11" s="67"/>
      <c r="BN11" s="67"/>
      <c r="BO11" s="67"/>
      <c r="BP11" s="67"/>
      <c r="BQ11" s="67"/>
      <c r="BR11" s="67"/>
      <c r="BS11" s="67"/>
      <c r="BT11" s="67"/>
      <c r="BU11" s="67"/>
      <c r="BV11" s="67"/>
      <c r="BW11" s="67"/>
      <c r="BX11" s="67"/>
      <c r="BY11" s="67"/>
    </row>
    <row r="12" spans="2:77" s="8" customFormat="1" ht="23.25" customHeight="1" x14ac:dyDescent="0.25"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</row>
    <row r="13" spans="2:77" s="1" customFormat="1" ht="21.75" customHeight="1" x14ac:dyDescent="0.25">
      <c r="G13" s="51"/>
      <c r="H13" s="51"/>
      <c r="I13" s="51"/>
      <c r="J13" s="51"/>
      <c r="K13" s="51"/>
      <c r="L13" s="51"/>
      <c r="M13" s="51"/>
      <c r="N13" s="51"/>
      <c r="O13" s="51"/>
    </row>
    <row r="14" spans="2:77" s="1" customFormat="1" ht="20.25" customHeight="1" x14ac:dyDescent="0.25">
      <c r="F14" s="81" t="s">
        <v>37</v>
      </c>
      <c r="G14" s="81"/>
      <c r="I14" s="82" t="s">
        <v>37</v>
      </c>
      <c r="K14" s="81"/>
      <c r="L14" s="81"/>
      <c r="M14" s="81"/>
      <c r="N14" s="51"/>
      <c r="O14" s="51"/>
    </row>
    <row r="15" spans="2:77" s="1" customFormat="1" ht="20.25" customHeight="1" x14ac:dyDescent="0.25">
      <c r="F15" s="81" t="s">
        <v>36</v>
      </c>
      <c r="G15" s="81"/>
      <c r="I15" s="82" t="s">
        <v>69</v>
      </c>
      <c r="K15" s="81"/>
      <c r="L15" s="81"/>
      <c r="M15" s="81"/>
      <c r="N15" s="51"/>
      <c r="O15" s="51"/>
    </row>
    <row r="16" spans="2:77" s="1" customFormat="1" ht="20.25" customHeight="1" x14ac:dyDescent="0.25">
      <c r="F16" s="81" t="s">
        <v>38</v>
      </c>
      <c r="G16" s="81"/>
      <c r="I16" s="82" t="s">
        <v>253</v>
      </c>
      <c r="K16" s="81"/>
      <c r="L16" s="81"/>
      <c r="M16" s="81"/>
      <c r="N16" s="51"/>
      <c r="O16" s="51"/>
    </row>
    <row r="17" spans="2:15" s="1" customFormat="1" ht="20.25" customHeight="1" x14ac:dyDescent="0.25">
      <c r="F17" s="81" t="s">
        <v>16</v>
      </c>
      <c r="G17" s="81"/>
      <c r="I17" s="82" t="s">
        <v>254</v>
      </c>
      <c r="K17" s="81"/>
      <c r="L17" s="81"/>
      <c r="M17" s="81"/>
      <c r="N17" s="51"/>
      <c r="O17" s="51"/>
    </row>
    <row r="18" spans="2:15" s="1" customFormat="1" ht="20.25" customHeight="1" x14ac:dyDescent="0.25">
      <c r="F18" s="81" t="s">
        <v>17</v>
      </c>
      <c r="G18" s="81"/>
      <c r="H18" s="81"/>
      <c r="I18" s="81"/>
      <c r="J18" s="82"/>
      <c r="K18" s="81"/>
      <c r="L18" s="81"/>
      <c r="M18" s="81"/>
      <c r="N18" s="51"/>
      <c r="O18" s="51"/>
    </row>
    <row r="19" spans="2:15" s="1" customFormat="1" ht="15" customHeight="1" x14ac:dyDescent="0.25">
      <c r="G19" s="51"/>
      <c r="H19" s="51"/>
      <c r="I19" s="51"/>
      <c r="J19" s="51"/>
      <c r="K19" s="51"/>
      <c r="L19" s="51"/>
      <c r="M19" s="51"/>
      <c r="N19" s="51"/>
      <c r="O19" s="51"/>
    </row>
    <row r="20" spans="2:15" s="20" customFormat="1" ht="15" customHeight="1" x14ac:dyDescent="0.25">
      <c r="B20" s="48"/>
      <c r="C20" s="48"/>
      <c r="D20" s="48"/>
      <c r="E20" s="48"/>
      <c r="F20" s="46"/>
      <c r="G20" s="150"/>
      <c r="H20" s="150"/>
      <c r="I20" s="150"/>
      <c r="J20" s="150"/>
      <c r="K20" s="150"/>
    </row>
    <row r="21" spans="2:15" x14ac:dyDescent="0.25">
      <c r="B21" s="19"/>
      <c r="C21" s="49"/>
      <c r="D21" s="49"/>
      <c r="E21" s="49"/>
      <c r="F21" s="49"/>
      <c r="G21" s="49"/>
      <c r="H21" s="22"/>
      <c r="I21" s="31"/>
      <c r="J21" s="49"/>
      <c r="K21" s="49"/>
    </row>
    <row r="22" spans="2:15" ht="15.75" x14ac:dyDescent="0.25">
      <c r="B22" s="19"/>
      <c r="C22" s="48"/>
      <c r="D22" s="48"/>
      <c r="E22" s="48"/>
      <c r="F22" s="48"/>
      <c r="G22" s="48"/>
      <c r="H22" s="34"/>
      <c r="I22" s="30"/>
      <c r="J22" s="48"/>
      <c r="K22" s="19"/>
    </row>
    <row r="23" spans="2:15" x14ac:dyDescent="0.25">
      <c r="B23" s="19"/>
      <c r="C23" s="19"/>
      <c r="D23" s="19"/>
      <c r="E23" s="19"/>
      <c r="F23" s="19"/>
      <c r="G23" s="19"/>
      <c r="H23" s="35"/>
      <c r="I23" s="32"/>
      <c r="J23" s="19"/>
      <c r="K23" s="19"/>
    </row>
    <row r="24" spans="2:15" x14ac:dyDescent="0.25">
      <c r="B24" s="19"/>
      <c r="C24" s="19"/>
      <c r="D24" s="19"/>
      <c r="E24" s="19"/>
      <c r="F24" s="19"/>
      <c r="G24" s="19"/>
      <c r="H24" s="35"/>
      <c r="I24" s="32"/>
      <c r="J24" s="19"/>
      <c r="K24" s="19"/>
    </row>
    <row r="25" spans="2:15" x14ac:dyDescent="0.25">
      <c r="B25" s="19"/>
      <c r="C25" s="19"/>
      <c r="D25" s="19"/>
      <c r="E25" s="19"/>
      <c r="F25" s="19"/>
      <c r="G25" s="19"/>
      <c r="H25" s="35"/>
      <c r="I25" s="32"/>
      <c r="J25" s="19"/>
      <c r="K25" s="19"/>
    </row>
    <row r="26" spans="2:15" x14ac:dyDescent="0.25">
      <c r="B26" s="19"/>
      <c r="C26" s="19"/>
      <c r="D26" s="19"/>
      <c r="E26" s="19"/>
      <c r="F26" s="19"/>
      <c r="G26" s="19"/>
      <c r="H26" s="35"/>
      <c r="I26" s="32"/>
      <c r="J26" s="19"/>
      <c r="K26" s="19"/>
    </row>
    <row r="27" spans="2:15" x14ac:dyDescent="0.25">
      <c r="B27" s="19"/>
      <c r="C27" s="19"/>
      <c r="D27" s="19"/>
      <c r="E27" s="19"/>
      <c r="F27" s="19"/>
      <c r="G27" s="19"/>
      <c r="H27" s="35"/>
      <c r="I27" s="32"/>
      <c r="J27" s="19"/>
      <c r="K27" s="19"/>
    </row>
    <row r="28" spans="2:15" x14ac:dyDescent="0.25">
      <c r="B28" s="19"/>
      <c r="C28" s="19"/>
      <c r="D28" s="19"/>
      <c r="E28" s="19"/>
      <c r="F28" s="19"/>
      <c r="G28" s="19"/>
      <c r="H28" s="35"/>
      <c r="I28" s="32"/>
      <c r="J28" s="19"/>
      <c r="K28" s="19"/>
    </row>
    <row r="29" spans="2:15" x14ac:dyDescent="0.25">
      <c r="B29" s="19"/>
      <c r="C29" s="19"/>
      <c r="D29" s="19"/>
      <c r="E29" s="19"/>
      <c r="F29" s="19"/>
      <c r="G29" s="19"/>
      <c r="H29" s="35"/>
      <c r="I29" s="32"/>
      <c r="J29" s="19"/>
      <c r="K29" s="19"/>
    </row>
    <row r="30" spans="2:15" x14ac:dyDescent="0.25">
      <c r="B30" s="19"/>
      <c r="C30" s="19"/>
      <c r="D30" s="19"/>
      <c r="E30" s="19"/>
      <c r="F30" s="19"/>
      <c r="G30" s="19"/>
      <c r="H30" s="35"/>
      <c r="I30" s="32"/>
      <c r="J30" s="19"/>
      <c r="K30" s="19"/>
    </row>
    <row r="31" spans="2:15" x14ac:dyDescent="0.25">
      <c r="B31" s="19"/>
      <c r="C31" s="19"/>
      <c r="D31" s="19"/>
      <c r="E31" s="19"/>
      <c r="F31" s="19"/>
      <c r="G31" s="19"/>
      <c r="H31" s="35"/>
      <c r="I31" s="32"/>
      <c r="J31" s="19"/>
      <c r="K31" s="19"/>
    </row>
    <row r="32" spans="2:15" x14ac:dyDescent="0.25">
      <c r="B32" s="19"/>
      <c r="C32" s="19"/>
      <c r="D32" s="19"/>
      <c r="E32" s="19"/>
      <c r="F32" s="19"/>
      <c r="G32" s="19"/>
      <c r="H32" s="35"/>
      <c r="I32" s="32"/>
      <c r="J32" s="19"/>
      <c r="K32" s="19"/>
    </row>
    <row r="33" spans="2:11" x14ac:dyDescent="0.25">
      <c r="B33" s="19"/>
      <c r="C33" s="19"/>
      <c r="D33" s="19"/>
      <c r="E33" s="19"/>
      <c r="F33" s="19"/>
      <c r="G33" s="19"/>
      <c r="H33" s="35"/>
      <c r="I33" s="32"/>
      <c r="J33" s="19"/>
      <c r="K33" s="19"/>
    </row>
    <row r="34" spans="2:11" x14ac:dyDescent="0.25">
      <c r="B34" s="19"/>
      <c r="C34" s="19"/>
      <c r="D34" s="19"/>
      <c r="E34" s="19"/>
      <c r="F34" s="19"/>
      <c r="G34" s="19"/>
      <c r="H34" s="35"/>
      <c r="I34" s="32"/>
      <c r="J34" s="19"/>
      <c r="K34" s="19"/>
    </row>
    <row r="35" spans="2:11" x14ac:dyDescent="0.25">
      <c r="B35" s="19"/>
      <c r="C35" s="19"/>
      <c r="D35" s="19"/>
      <c r="E35" s="19"/>
      <c r="F35" s="19"/>
      <c r="G35" s="19"/>
      <c r="H35" s="35"/>
      <c r="I35" s="32"/>
      <c r="J35" s="19"/>
      <c r="K35" s="19"/>
    </row>
    <row r="36" spans="2:11" x14ac:dyDescent="0.25">
      <c r="B36" s="19"/>
      <c r="C36" s="19"/>
      <c r="D36" s="19"/>
      <c r="E36" s="19"/>
      <c r="F36" s="19"/>
      <c r="G36" s="19"/>
      <c r="H36" s="35"/>
      <c r="I36" s="32"/>
      <c r="J36" s="19"/>
      <c r="K36" s="19"/>
    </row>
    <row r="37" spans="2:11" x14ac:dyDescent="0.25">
      <c r="B37" s="19"/>
      <c r="C37" s="19"/>
      <c r="D37" s="19"/>
      <c r="E37" s="19"/>
      <c r="F37" s="19"/>
      <c r="G37" s="19"/>
      <c r="H37" s="35"/>
      <c r="I37" s="32"/>
      <c r="J37" s="19"/>
      <c r="K37" s="19"/>
    </row>
    <row r="38" spans="2:11" x14ac:dyDescent="0.25">
      <c r="B38" s="19"/>
      <c r="C38" s="19"/>
      <c r="D38" s="19"/>
      <c r="E38" s="19"/>
      <c r="F38" s="19"/>
      <c r="G38" s="19"/>
      <c r="H38" s="35"/>
      <c r="I38" s="32"/>
      <c r="J38" s="19"/>
      <c r="K38" s="19"/>
    </row>
    <row r="39" spans="2:11" x14ac:dyDescent="0.25">
      <c r="B39" s="19"/>
      <c r="C39" s="19"/>
      <c r="D39" s="19"/>
      <c r="E39" s="19"/>
      <c r="F39" s="19"/>
      <c r="G39" s="19"/>
      <c r="H39" s="35"/>
      <c r="I39" s="32"/>
      <c r="J39" s="19"/>
      <c r="K39" s="19"/>
    </row>
    <row r="40" spans="2:11" x14ac:dyDescent="0.25">
      <c r="B40" s="19"/>
      <c r="C40" s="19"/>
      <c r="D40" s="19"/>
      <c r="E40" s="19"/>
      <c r="F40" s="19"/>
      <c r="G40" s="19"/>
      <c r="H40" s="35"/>
      <c r="I40" s="32"/>
      <c r="J40" s="19"/>
      <c r="K40" s="19"/>
    </row>
    <row r="41" spans="2:11" x14ac:dyDescent="0.25">
      <c r="B41" s="19"/>
      <c r="C41" s="19"/>
      <c r="D41" s="19"/>
      <c r="E41" s="19"/>
      <c r="F41" s="19"/>
      <c r="G41" s="19"/>
      <c r="H41" s="35"/>
      <c r="I41" s="32"/>
      <c r="J41" s="19"/>
      <c r="K41" s="19"/>
    </row>
    <row r="42" spans="2:11" x14ac:dyDescent="0.25">
      <c r="B42" s="19"/>
      <c r="C42" s="19"/>
      <c r="D42" s="19"/>
      <c r="E42" s="19"/>
      <c r="F42" s="19"/>
      <c r="G42" s="19"/>
      <c r="H42" s="35"/>
      <c r="I42" s="32"/>
      <c r="J42" s="19"/>
      <c r="K42" s="19"/>
    </row>
    <row r="43" spans="2:11" x14ac:dyDescent="0.25">
      <c r="B43" s="19"/>
      <c r="C43" s="19"/>
      <c r="D43" s="19"/>
      <c r="E43" s="19"/>
      <c r="F43" s="19"/>
      <c r="G43" s="19"/>
      <c r="H43" s="35"/>
      <c r="I43" s="32"/>
      <c r="J43" s="19"/>
      <c r="K43" s="19"/>
    </row>
    <row r="44" spans="2:11" x14ac:dyDescent="0.25">
      <c r="B44" s="19"/>
      <c r="C44" s="19"/>
      <c r="D44" s="19"/>
      <c r="E44" s="19"/>
      <c r="F44" s="19"/>
      <c r="G44" s="19"/>
      <c r="H44" s="35"/>
      <c r="I44" s="32"/>
      <c r="J44" s="19"/>
      <c r="K44" s="19"/>
    </row>
    <row r="45" spans="2:11" x14ac:dyDescent="0.25">
      <c r="B45" s="19"/>
      <c r="C45" s="19"/>
      <c r="D45" s="19"/>
      <c r="E45" s="19"/>
      <c r="F45" s="19"/>
      <c r="G45" s="19"/>
      <c r="H45" s="35"/>
      <c r="I45" s="32"/>
      <c r="J45" s="19"/>
      <c r="K45" s="19"/>
    </row>
    <row r="46" spans="2:11" x14ac:dyDescent="0.25">
      <c r="B46" s="19"/>
      <c r="C46" s="19"/>
      <c r="D46" s="19"/>
      <c r="E46" s="19"/>
      <c r="F46" s="19"/>
      <c r="G46" s="19"/>
      <c r="H46" s="35"/>
      <c r="I46" s="32"/>
      <c r="J46" s="19"/>
      <c r="K46" s="19"/>
    </row>
    <row r="47" spans="2:11" x14ac:dyDescent="0.25">
      <c r="B47" s="19"/>
      <c r="C47" s="19"/>
      <c r="D47" s="19"/>
      <c r="E47" s="19"/>
      <c r="F47" s="19"/>
      <c r="G47" s="19"/>
      <c r="H47" s="35"/>
      <c r="I47" s="32"/>
      <c r="J47" s="19"/>
      <c r="K47" s="19"/>
    </row>
    <row r="48" spans="2:11" x14ac:dyDescent="0.25">
      <c r="B48" s="19"/>
      <c r="C48" s="19"/>
      <c r="D48" s="19"/>
      <c r="E48" s="19"/>
      <c r="F48" s="19"/>
      <c r="G48" s="19"/>
      <c r="H48" s="35"/>
      <c r="I48" s="32"/>
      <c r="J48" s="19"/>
      <c r="K48" s="19"/>
    </row>
    <row r="49" spans="2:11" x14ac:dyDescent="0.25">
      <c r="B49" s="19"/>
      <c r="C49" s="19"/>
      <c r="D49" s="19"/>
      <c r="E49" s="19"/>
      <c r="F49" s="19"/>
      <c r="G49" s="19"/>
      <c r="H49" s="35"/>
      <c r="I49" s="32"/>
      <c r="J49" s="19"/>
      <c r="K49" s="19"/>
    </row>
    <row r="50" spans="2:11" x14ac:dyDescent="0.25">
      <c r="B50" s="19"/>
      <c r="C50" s="19"/>
      <c r="D50" s="19"/>
      <c r="E50" s="19"/>
      <c r="F50" s="19"/>
      <c r="G50" s="19"/>
      <c r="H50" s="35"/>
      <c r="I50" s="32"/>
      <c r="J50" s="19"/>
      <c r="K50" s="19"/>
    </row>
    <row r="51" spans="2:11" x14ac:dyDescent="0.25">
      <c r="B51" s="19"/>
      <c r="C51" s="19"/>
      <c r="D51" s="19"/>
      <c r="E51" s="19"/>
      <c r="F51" s="19"/>
      <c r="G51" s="19"/>
      <c r="H51" s="35"/>
      <c r="I51" s="32"/>
      <c r="J51" s="19"/>
      <c r="K51" s="19"/>
    </row>
    <row r="52" spans="2:11" x14ac:dyDescent="0.25">
      <c r="B52" s="19"/>
      <c r="C52" s="19"/>
      <c r="D52" s="19"/>
      <c r="E52" s="19"/>
      <c r="F52" s="19"/>
      <c r="G52" s="19"/>
      <c r="H52" s="35"/>
      <c r="I52" s="32"/>
      <c r="J52" s="19"/>
      <c r="K52" s="19"/>
    </row>
    <row r="53" spans="2:11" x14ac:dyDescent="0.25">
      <c r="B53" s="19"/>
      <c r="C53" s="19"/>
      <c r="D53" s="19"/>
      <c r="E53" s="19"/>
      <c r="F53" s="19"/>
      <c r="G53" s="19"/>
      <c r="H53" s="35"/>
      <c r="I53" s="32"/>
      <c r="J53" s="19"/>
      <c r="K53" s="19"/>
    </row>
    <row r="54" spans="2:11" x14ac:dyDescent="0.25">
      <c r="B54" s="19"/>
      <c r="C54" s="19"/>
      <c r="D54" s="19"/>
      <c r="E54" s="19"/>
      <c r="F54" s="19"/>
      <c r="G54" s="19"/>
      <c r="H54" s="35"/>
      <c r="I54" s="32"/>
      <c r="J54" s="19"/>
      <c r="K54" s="19"/>
    </row>
    <row r="55" spans="2:11" x14ac:dyDescent="0.25">
      <c r="B55" s="19"/>
      <c r="C55" s="19"/>
      <c r="D55" s="19"/>
      <c r="E55" s="19"/>
      <c r="F55" s="19"/>
      <c r="G55" s="19"/>
      <c r="H55" s="35"/>
      <c r="I55" s="32"/>
      <c r="J55" s="19"/>
      <c r="K55" s="19"/>
    </row>
    <row r="56" spans="2:11" x14ac:dyDescent="0.25">
      <c r="B56" s="19"/>
      <c r="C56" s="19"/>
      <c r="D56" s="19"/>
      <c r="E56" s="19"/>
      <c r="F56" s="19"/>
      <c r="G56" s="19"/>
      <c r="H56" s="35"/>
      <c r="I56" s="32"/>
      <c r="J56" s="19"/>
      <c r="K56" s="19"/>
    </row>
    <row r="57" spans="2:11" x14ac:dyDescent="0.25">
      <c r="B57" s="19"/>
      <c r="C57" s="19"/>
      <c r="D57" s="19"/>
      <c r="E57" s="19"/>
      <c r="F57" s="19"/>
      <c r="G57" s="19"/>
      <c r="H57" s="35"/>
      <c r="I57" s="32"/>
      <c r="J57" s="19"/>
      <c r="K57" s="19"/>
    </row>
    <row r="58" spans="2:11" x14ac:dyDescent="0.25">
      <c r="B58" s="19"/>
      <c r="C58" s="19"/>
      <c r="D58" s="19"/>
      <c r="E58" s="19"/>
      <c r="F58" s="19"/>
      <c r="G58" s="19"/>
      <c r="H58" s="35"/>
      <c r="I58" s="32"/>
      <c r="J58" s="19"/>
      <c r="K58" s="19"/>
    </row>
    <row r="59" spans="2:11" x14ac:dyDescent="0.25">
      <c r="B59" s="19"/>
      <c r="C59" s="19"/>
      <c r="D59" s="19"/>
      <c r="E59" s="19"/>
      <c r="F59" s="19"/>
      <c r="G59" s="19"/>
      <c r="H59" s="35"/>
      <c r="I59" s="32"/>
      <c r="J59" s="19"/>
      <c r="K59" s="19"/>
    </row>
    <row r="60" spans="2:11" x14ac:dyDescent="0.25">
      <c r="B60" s="19"/>
      <c r="C60" s="19"/>
      <c r="D60" s="19"/>
      <c r="E60" s="19"/>
      <c r="F60" s="19"/>
      <c r="G60" s="19"/>
      <c r="H60" s="35"/>
      <c r="I60" s="32"/>
      <c r="J60" s="19"/>
      <c r="K60" s="19"/>
    </row>
    <row r="61" spans="2:11" x14ac:dyDescent="0.25">
      <c r="B61" s="19"/>
      <c r="C61" s="19"/>
      <c r="D61" s="19"/>
      <c r="E61" s="19"/>
      <c r="F61" s="19"/>
      <c r="G61" s="19"/>
      <c r="H61" s="35"/>
      <c r="I61" s="32"/>
      <c r="J61" s="19"/>
      <c r="K61" s="19"/>
    </row>
    <row r="62" spans="2:11" x14ac:dyDescent="0.25">
      <c r="B62" s="19"/>
      <c r="C62" s="19"/>
      <c r="D62" s="19"/>
      <c r="E62" s="19"/>
      <c r="F62" s="19"/>
      <c r="G62" s="19"/>
      <c r="H62" s="35"/>
      <c r="I62" s="32"/>
      <c r="J62" s="19"/>
      <c r="K62" s="19"/>
    </row>
    <row r="63" spans="2:11" x14ac:dyDescent="0.25">
      <c r="B63" s="19"/>
      <c r="C63" s="19"/>
      <c r="D63" s="19"/>
      <c r="E63" s="19"/>
      <c r="F63" s="19"/>
      <c r="G63" s="19"/>
      <c r="H63" s="35"/>
      <c r="I63" s="32"/>
      <c r="J63" s="19"/>
      <c r="K63" s="19"/>
    </row>
    <row r="64" spans="2:11" x14ac:dyDescent="0.25">
      <c r="B64" s="19"/>
      <c r="C64" s="19"/>
      <c r="D64" s="19"/>
      <c r="E64" s="19"/>
      <c r="F64" s="19"/>
      <c r="G64" s="19"/>
      <c r="H64" s="35"/>
      <c r="I64" s="32"/>
      <c r="J64" s="19"/>
      <c r="K64" s="19"/>
    </row>
    <row r="65" spans="2:11" x14ac:dyDescent="0.25">
      <c r="B65" s="19"/>
      <c r="C65" s="19"/>
      <c r="D65" s="19"/>
      <c r="E65" s="19"/>
      <c r="F65" s="19"/>
      <c r="G65" s="19"/>
      <c r="H65" s="35"/>
      <c r="I65" s="32"/>
      <c r="J65" s="19"/>
      <c r="K65" s="19"/>
    </row>
    <row r="66" spans="2:11" x14ac:dyDescent="0.25">
      <c r="B66" s="19"/>
      <c r="C66" s="19"/>
      <c r="D66" s="19"/>
      <c r="E66" s="19"/>
      <c r="F66" s="19"/>
      <c r="G66" s="19"/>
      <c r="H66" s="35"/>
      <c r="I66" s="32"/>
      <c r="J66" s="19"/>
      <c r="K66" s="19"/>
    </row>
    <row r="67" spans="2:11" x14ac:dyDescent="0.25">
      <c r="B67" s="19"/>
      <c r="C67" s="19"/>
      <c r="D67" s="19"/>
      <c r="E67" s="19"/>
      <c r="F67" s="19"/>
      <c r="G67" s="19"/>
      <c r="H67" s="35"/>
      <c r="I67" s="32"/>
      <c r="J67" s="19"/>
      <c r="K67" s="19"/>
    </row>
    <row r="68" spans="2:11" x14ac:dyDescent="0.25">
      <c r="B68" s="19"/>
      <c r="C68" s="19"/>
      <c r="D68" s="19"/>
      <c r="E68" s="19"/>
      <c r="F68" s="19"/>
      <c r="G68" s="19"/>
      <c r="H68" s="35"/>
      <c r="I68" s="32"/>
      <c r="J68" s="19"/>
      <c r="K68" s="19"/>
    </row>
    <row r="69" spans="2:11" x14ac:dyDescent="0.25">
      <c r="B69" s="19"/>
      <c r="C69" s="19"/>
      <c r="D69" s="19"/>
      <c r="E69" s="19"/>
      <c r="F69" s="19"/>
      <c r="G69" s="19"/>
      <c r="H69" s="35"/>
      <c r="I69" s="32"/>
      <c r="J69" s="19"/>
      <c r="K69" s="19"/>
    </row>
    <row r="70" spans="2:11" x14ac:dyDescent="0.25">
      <c r="B70" s="19"/>
      <c r="C70" s="19"/>
      <c r="D70" s="19"/>
      <c r="E70" s="19"/>
      <c r="F70" s="19"/>
      <c r="G70" s="19"/>
      <c r="H70" s="35"/>
      <c r="I70" s="32"/>
      <c r="J70" s="19"/>
      <c r="K70" s="19"/>
    </row>
    <row r="71" spans="2:11" x14ac:dyDescent="0.25">
      <c r="B71" s="19"/>
      <c r="C71" s="19"/>
      <c r="D71" s="19"/>
      <c r="E71" s="19"/>
      <c r="F71" s="19"/>
      <c r="G71" s="19"/>
      <c r="H71" s="35"/>
      <c r="I71" s="32"/>
      <c r="J71" s="19"/>
      <c r="K71" s="19"/>
    </row>
    <row r="72" spans="2:11" x14ac:dyDescent="0.25">
      <c r="B72" s="19"/>
      <c r="C72" s="19"/>
      <c r="D72" s="19"/>
      <c r="E72" s="19"/>
      <c r="F72" s="19"/>
      <c r="G72" s="19"/>
      <c r="H72" s="35"/>
      <c r="I72" s="32"/>
      <c r="J72" s="19"/>
      <c r="K72" s="19"/>
    </row>
    <row r="73" spans="2:11" x14ac:dyDescent="0.25">
      <c r="B73" s="19"/>
      <c r="C73" s="19"/>
      <c r="D73" s="19"/>
      <c r="E73" s="19"/>
      <c r="F73" s="19"/>
      <c r="G73" s="19"/>
      <c r="H73" s="35"/>
      <c r="I73" s="32"/>
      <c r="J73" s="19"/>
      <c r="K73" s="19"/>
    </row>
    <row r="74" spans="2:11" x14ac:dyDescent="0.25">
      <c r="B74" s="19"/>
      <c r="C74" s="19"/>
      <c r="D74" s="19"/>
      <c r="E74" s="19"/>
      <c r="F74" s="19"/>
      <c r="G74" s="19"/>
      <c r="H74" s="35"/>
      <c r="I74" s="32"/>
      <c r="J74" s="19"/>
      <c r="K74" s="19"/>
    </row>
    <row r="75" spans="2:11" x14ac:dyDescent="0.25">
      <c r="B75" s="19"/>
      <c r="C75" s="19"/>
      <c r="D75" s="19"/>
      <c r="E75" s="19"/>
      <c r="F75" s="19"/>
      <c r="G75" s="19"/>
      <c r="H75" s="35"/>
      <c r="I75" s="32"/>
      <c r="J75" s="19"/>
      <c r="K75" s="19"/>
    </row>
    <row r="76" spans="2:11" x14ac:dyDescent="0.25">
      <c r="B76" s="19"/>
      <c r="C76" s="19"/>
      <c r="D76" s="19"/>
      <c r="E76" s="19"/>
      <c r="F76" s="19"/>
      <c r="G76" s="19"/>
      <c r="H76" s="35"/>
      <c r="I76" s="32"/>
      <c r="J76" s="19"/>
      <c r="K76" s="19"/>
    </row>
    <row r="77" spans="2:11" x14ac:dyDescent="0.25">
      <c r="B77" s="19"/>
      <c r="C77" s="19"/>
      <c r="D77" s="19"/>
      <c r="E77" s="19"/>
      <c r="F77" s="19"/>
      <c r="G77" s="19"/>
      <c r="H77" s="35"/>
      <c r="I77" s="32"/>
      <c r="J77" s="19"/>
      <c r="K77" s="19"/>
    </row>
    <row r="78" spans="2:11" x14ac:dyDescent="0.25">
      <c r="B78" s="19"/>
      <c r="C78" s="19"/>
      <c r="D78" s="19"/>
      <c r="E78" s="19"/>
      <c r="F78" s="19"/>
      <c r="G78" s="19"/>
      <c r="H78" s="35"/>
      <c r="I78" s="32"/>
      <c r="J78" s="19"/>
      <c r="K78" s="19"/>
    </row>
    <row r="79" spans="2:11" x14ac:dyDescent="0.25">
      <c r="B79" s="19"/>
      <c r="C79" s="19"/>
      <c r="D79" s="19"/>
      <c r="E79" s="19"/>
      <c r="F79" s="19"/>
      <c r="G79" s="19"/>
      <c r="H79" s="35"/>
      <c r="I79" s="32"/>
      <c r="J79" s="19"/>
      <c r="K79" s="19"/>
    </row>
    <row r="80" spans="2:11" x14ac:dyDescent="0.25">
      <c r="B80" s="19"/>
      <c r="C80" s="19"/>
      <c r="D80" s="19"/>
      <c r="E80" s="19"/>
      <c r="F80" s="19"/>
      <c r="G80" s="19"/>
      <c r="H80" s="35"/>
      <c r="I80" s="32"/>
      <c r="J80" s="19"/>
      <c r="K80" s="19"/>
    </row>
    <row r="81" spans="2:11" x14ac:dyDescent="0.25">
      <c r="B81" s="19"/>
      <c r="C81" s="19"/>
      <c r="D81" s="19"/>
      <c r="E81" s="19"/>
      <c r="F81" s="19"/>
      <c r="G81" s="19"/>
      <c r="H81" s="35"/>
      <c r="I81" s="32"/>
      <c r="J81" s="19"/>
      <c r="K81" s="19"/>
    </row>
    <row r="82" spans="2:11" x14ac:dyDescent="0.25">
      <c r="B82" s="19"/>
      <c r="C82" s="19"/>
      <c r="D82" s="19"/>
      <c r="E82" s="19"/>
      <c r="F82" s="19"/>
      <c r="G82" s="19"/>
      <c r="H82" s="35"/>
      <c r="I82" s="32"/>
      <c r="J82" s="19"/>
      <c r="K82" s="19"/>
    </row>
    <row r="83" spans="2:11" x14ac:dyDescent="0.25">
      <c r="B83" s="19"/>
      <c r="C83" s="19"/>
      <c r="D83" s="19"/>
      <c r="E83" s="19"/>
      <c r="F83" s="19"/>
      <c r="G83" s="19"/>
      <c r="H83" s="35"/>
      <c r="I83" s="32"/>
      <c r="J83" s="19"/>
      <c r="K83" s="19"/>
    </row>
    <row r="84" spans="2:11" x14ac:dyDescent="0.25">
      <c r="B84" s="19"/>
      <c r="C84" s="19"/>
      <c r="D84" s="19"/>
      <c r="E84" s="19"/>
      <c r="F84" s="19"/>
      <c r="G84" s="19"/>
      <c r="H84" s="35"/>
      <c r="I84" s="32"/>
      <c r="J84" s="19"/>
      <c r="K84" s="19"/>
    </row>
    <row r="85" spans="2:11" x14ac:dyDescent="0.25">
      <c r="B85" s="19"/>
      <c r="C85" s="19"/>
      <c r="D85" s="19"/>
      <c r="E85" s="19"/>
      <c r="F85" s="19"/>
      <c r="G85" s="19"/>
      <c r="H85" s="35"/>
      <c r="I85" s="32"/>
      <c r="J85" s="19"/>
      <c r="K85" s="19"/>
    </row>
    <row r="86" spans="2:11" x14ac:dyDescent="0.25">
      <c r="B86" s="19"/>
      <c r="C86" s="19"/>
      <c r="D86" s="19"/>
      <c r="E86" s="19"/>
      <c r="F86" s="19"/>
      <c r="G86" s="19"/>
      <c r="H86" s="35"/>
      <c r="I86" s="32"/>
      <c r="J86" s="19"/>
      <c r="K86" s="19"/>
    </row>
    <row r="87" spans="2:11" x14ac:dyDescent="0.25">
      <c r="B87" s="19"/>
      <c r="C87" s="19"/>
      <c r="D87" s="19"/>
      <c r="E87" s="19"/>
      <c r="F87" s="19"/>
      <c r="G87" s="19"/>
      <c r="H87" s="35"/>
      <c r="I87" s="32"/>
      <c r="J87" s="19"/>
      <c r="K87" s="19"/>
    </row>
    <row r="88" spans="2:11" x14ac:dyDescent="0.25">
      <c r="B88" s="19"/>
      <c r="C88" s="19"/>
      <c r="D88" s="19"/>
      <c r="E88" s="19"/>
      <c r="F88" s="19"/>
      <c r="G88" s="19"/>
      <c r="H88" s="35"/>
      <c r="I88" s="32"/>
      <c r="J88" s="19"/>
      <c r="K88" s="19"/>
    </row>
    <row r="89" spans="2:11" x14ac:dyDescent="0.25">
      <c r="B89" s="19"/>
      <c r="C89" s="19"/>
      <c r="D89" s="19"/>
      <c r="E89" s="19"/>
      <c r="F89" s="19"/>
      <c r="G89" s="19"/>
      <c r="H89" s="35"/>
      <c r="I89" s="32"/>
      <c r="J89" s="19"/>
      <c r="K89" s="19"/>
    </row>
    <row r="90" spans="2:11" x14ac:dyDescent="0.25">
      <c r="B90" s="19"/>
      <c r="C90" s="19"/>
      <c r="D90" s="19"/>
      <c r="E90" s="19"/>
      <c r="F90" s="19"/>
      <c r="G90" s="19"/>
      <c r="H90" s="35"/>
      <c r="I90" s="32"/>
      <c r="J90" s="19"/>
      <c r="K90" s="19"/>
    </row>
    <row r="91" spans="2:11" x14ac:dyDescent="0.25">
      <c r="B91" s="19"/>
      <c r="C91" s="19"/>
      <c r="D91" s="19"/>
      <c r="E91" s="19"/>
      <c r="F91" s="19"/>
      <c r="G91" s="19"/>
      <c r="H91" s="35"/>
      <c r="I91" s="32"/>
      <c r="J91" s="19"/>
      <c r="K91" s="19"/>
    </row>
    <row r="92" spans="2:11" x14ac:dyDescent="0.25">
      <c r="B92" s="19"/>
      <c r="C92" s="19"/>
      <c r="D92" s="19"/>
      <c r="E92" s="19"/>
      <c r="F92" s="19"/>
      <c r="G92" s="19"/>
      <c r="H92" s="35"/>
      <c r="I92" s="32"/>
      <c r="J92" s="19"/>
      <c r="K92" s="19"/>
    </row>
    <row r="93" spans="2:11" x14ac:dyDescent="0.25">
      <c r="B93" s="19"/>
      <c r="C93" s="19"/>
      <c r="D93" s="19"/>
      <c r="E93" s="19"/>
      <c r="F93" s="19"/>
      <c r="G93" s="19"/>
      <c r="H93" s="35"/>
      <c r="I93" s="32"/>
      <c r="J93" s="19"/>
      <c r="K93" s="19"/>
    </row>
    <row r="94" spans="2:11" x14ac:dyDescent="0.25">
      <c r="B94" s="19"/>
      <c r="C94" s="19"/>
      <c r="D94" s="19"/>
      <c r="E94" s="19"/>
      <c r="F94" s="19"/>
      <c r="G94" s="19"/>
      <c r="H94" s="35"/>
      <c r="I94" s="32"/>
      <c r="J94" s="19"/>
      <c r="K94" s="19"/>
    </row>
    <row r="95" spans="2:11" x14ac:dyDescent="0.25">
      <c r="B95" s="19"/>
      <c r="C95" s="19"/>
      <c r="D95" s="19"/>
      <c r="E95" s="19"/>
      <c r="F95" s="19"/>
      <c r="G95" s="19"/>
      <c r="H95" s="35"/>
      <c r="I95" s="32"/>
      <c r="J95" s="19"/>
      <c r="K95" s="19"/>
    </row>
    <row r="96" spans="2:11" x14ac:dyDescent="0.25">
      <c r="B96" s="19"/>
      <c r="C96" s="19"/>
      <c r="D96" s="19"/>
      <c r="E96" s="19"/>
      <c r="F96" s="19"/>
      <c r="G96" s="19"/>
      <c r="H96" s="35"/>
      <c r="I96" s="32"/>
      <c r="J96" s="19"/>
      <c r="K96" s="19"/>
    </row>
    <row r="97" spans="2:11" x14ac:dyDescent="0.25">
      <c r="B97" s="19"/>
      <c r="C97" s="19"/>
      <c r="D97" s="19"/>
      <c r="E97" s="19"/>
      <c r="F97" s="19"/>
      <c r="G97" s="19"/>
      <c r="H97" s="35"/>
      <c r="I97" s="32"/>
      <c r="J97" s="19"/>
      <c r="K97" s="19"/>
    </row>
    <row r="98" spans="2:11" x14ac:dyDescent="0.25">
      <c r="B98" s="19"/>
      <c r="C98" s="19"/>
      <c r="D98" s="19"/>
      <c r="E98" s="19"/>
      <c r="F98" s="19"/>
      <c r="G98" s="19"/>
      <c r="H98" s="35"/>
      <c r="I98" s="32"/>
      <c r="J98" s="19"/>
      <c r="K98" s="19"/>
    </row>
    <row r="99" spans="2:11" x14ac:dyDescent="0.25">
      <c r="B99" s="19"/>
      <c r="C99" s="19"/>
      <c r="D99" s="19"/>
      <c r="E99" s="19"/>
      <c r="F99" s="19"/>
      <c r="G99" s="19"/>
      <c r="H99" s="35"/>
      <c r="I99" s="32"/>
      <c r="J99" s="19"/>
      <c r="K99" s="19"/>
    </row>
    <row r="100" spans="2:11" x14ac:dyDescent="0.25">
      <c r="B100" s="19"/>
      <c r="C100" s="19"/>
      <c r="D100" s="19"/>
      <c r="E100" s="19"/>
      <c r="F100" s="19"/>
      <c r="G100" s="19"/>
      <c r="H100" s="35"/>
      <c r="I100" s="32"/>
      <c r="J100" s="19"/>
      <c r="K100" s="19"/>
    </row>
    <row r="101" spans="2:11" x14ac:dyDescent="0.25">
      <c r="B101" s="19"/>
      <c r="C101" s="19"/>
      <c r="D101" s="19"/>
      <c r="E101" s="19"/>
      <c r="F101" s="19"/>
      <c r="G101" s="19"/>
      <c r="H101" s="35"/>
      <c r="I101" s="32"/>
      <c r="J101" s="19"/>
      <c r="K101" s="19"/>
    </row>
    <row r="102" spans="2:11" x14ac:dyDescent="0.25">
      <c r="B102" s="19"/>
      <c r="C102" s="19"/>
      <c r="D102" s="19"/>
      <c r="E102" s="19"/>
      <c r="F102" s="19"/>
      <c r="G102" s="19"/>
      <c r="H102" s="35"/>
      <c r="I102" s="32"/>
      <c r="J102" s="19"/>
      <c r="K102" s="19"/>
    </row>
    <row r="103" spans="2:11" x14ac:dyDescent="0.25">
      <c r="B103" s="19"/>
      <c r="C103" s="19"/>
      <c r="D103" s="19"/>
      <c r="E103" s="19"/>
      <c r="F103" s="19"/>
      <c r="G103" s="19"/>
      <c r="H103" s="35"/>
      <c r="I103" s="32"/>
      <c r="J103" s="19"/>
      <c r="K103" s="19"/>
    </row>
    <row r="104" spans="2:11" x14ac:dyDescent="0.25">
      <c r="B104" s="19"/>
      <c r="C104" s="19"/>
      <c r="D104" s="19"/>
      <c r="E104" s="19"/>
      <c r="F104" s="19"/>
      <c r="G104" s="19"/>
      <c r="H104" s="35"/>
      <c r="I104" s="32"/>
      <c r="J104" s="19"/>
      <c r="K104" s="19"/>
    </row>
    <row r="105" spans="2:11" x14ac:dyDescent="0.25">
      <c r="B105" s="19"/>
      <c r="C105" s="19"/>
      <c r="D105" s="19"/>
      <c r="E105" s="19"/>
      <c r="F105" s="19"/>
      <c r="G105" s="19"/>
      <c r="H105" s="35"/>
      <c r="I105" s="32"/>
      <c r="J105" s="19"/>
      <c r="K105" s="19"/>
    </row>
    <row r="106" spans="2:11" x14ac:dyDescent="0.25">
      <c r="B106" s="19"/>
      <c r="C106" s="19"/>
      <c r="D106" s="19"/>
      <c r="E106" s="19"/>
      <c r="F106" s="19"/>
      <c r="G106" s="19"/>
      <c r="H106" s="35"/>
      <c r="I106" s="32"/>
      <c r="J106" s="19"/>
      <c r="K106" s="19"/>
    </row>
    <row r="107" spans="2:11" x14ac:dyDescent="0.25">
      <c r="B107" s="19"/>
      <c r="C107" s="19"/>
      <c r="D107" s="19"/>
      <c r="E107" s="19"/>
      <c r="F107" s="19"/>
      <c r="G107" s="19"/>
      <c r="H107" s="35"/>
      <c r="I107" s="32"/>
      <c r="J107" s="19"/>
      <c r="K107" s="19"/>
    </row>
    <row r="108" spans="2:11" x14ac:dyDescent="0.25">
      <c r="B108" s="19"/>
      <c r="C108" s="19"/>
      <c r="D108" s="19"/>
      <c r="E108" s="19"/>
      <c r="F108" s="19"/>
      <c r="G108" s="19"/>
      <c r="H108" s="35"/>
      <c r="I108" s="32"/>
      <c r="J108" s="19"/>
      <c r="K108" s="19"/>
    </row>
    <row r="109" spans="2:11" x14ac:dyDescent="0.25">
      <c r="B109" s="19"/>
      <c r="C109" s="19"/>
      <c r="D109" s="19"/>
      <c r="E109" s="19"/>
      <c r="F109" s="19"/>
      <c r="G109" s="19"/>
      <c r="H109" s="35"/>
      <c r="I109" s="32"/>
      <c r="J109" s="19"/>
      <c r="K109" s="19"/>
    </row>
    <row r="110" spans="2:11" x14ac:dyDescent="0.25">
      <c r="B110" s="19"/>
      <c r="C110" s="19"/>
      <c r="D110" s="19"/>
      <c r="E110" s="19"/>
      <c r="F110" s="19"/>
      <c r="G110" s="19"/>
      <c r="H110" s="35"/>
      <c r="I110" s="32"/>
      <c r="J110" s="19"/>
      <c r="K110" s="19"/>
    </row>
    <row r="111" spans="2:11" x14ac:dyDescent="0.25">
      <c r="B111" s="19"/>
      <c r="C111" s="19"/>
      <c r="D111" s="19"/>
      <c r="E111" s="19"/>
      <c r="F111" s="19"/>
      <c r="G111" s="19"/>
      <c r="H111" s="35"/>
      <c r="I111" s="32"/>
      <c r="J111" s="19"/>
      <c r="K111" s="19"/>
    </row>
    <row r="112" spans="2:11" x14ac:dyDescent="0.25">
      <c r="B112" s="19"/>
      <c r="C112" s="19"/>
      <c r="D112" s="19"/>
      <c r="E112" s="19"/>
      <c r="F112" s="19"/>
      <c r="G112" s="19"/>
      <c r="H112" s="35"/>
      <c r="I112" s="32"/>
      <c r="J112" s="19"/>
      <c r="K112" s="19"/>
    </row>
    <row r="113" spans="2:11" x14ac:dyDescent="0.25">
      <c r="B113" s="19"/>
      <c r="C113" s="19"/>
      <c r="D113" s="19"/>
      <c r="E113" s="19"/>
      <c r="F113" s="19"/>
      <c r="G113" s="19"/>
      <c r="H113" s="35"/>
      <c r="I113" s="32"/>
      <c r="J113" s="19"/>
      <c r="K113" s="19"/>
    </row>
    <row r="114" spans="2:11" x14ac:dyDescent="0.25">
      <c r="B114" s="19"/>
      <c r="C114" s="19"/>
      <c r="D114" s="19"/>
      <c r="E114" s="19"/>
      <c r="F114" s="19"/>
      <c r="G114" s="19"/>
      <c r="H114" s="35"/>
      <c r="I114" s="32"/>
      <c r="J114" s="19"/>
      <c r="K114" s="19"/>
    </row>
    <row r="115" spans="2:11" x14ac:dyDescent="0.25">
      <c r="B115" s="19"/>
      <c r="C115" s="19"/>
      <c r="D115" s="19"/>
      <c r="E115" s="19"/>
      <c r="F115" s="19"/>
      <c r="G115" s="19"/>
      <c r="H115" s="35"/>
      <c r="I115" s="32"/>
      <c r="J115" s="19"/>
      <c r="K115" s="19"/>
    </row>
    <row r="116" spans="2:11" x14ac:dyDescent="0.25">
      <c r="B116" s="19"/>
      <c r="C116" s="19"/>
      <c r="D116" s="19"/>
      <c r="E116" s="19"/>
      <c r="F116" s="19"/>
      <c r="G116" s="19"/>
      <c r="H116" s="35"/>
      <c r="I116" s="32"/>
      <c r="J116" s="19"/>
      <c r="K116" s="19"/>
    </row>
    <row r="117" spans="2:11" x14ac:dyDescent="0.25">
      <c r="B117" s="19"/>
      <c r="C117" s="19"/>
      <c r="D117" s="19"/>
      <c r="E117" s="19"/>
      <c r="F117" s="19"/>
      <c r="G117" s="19"/>
      <c r="H117" s="35"/>
      <c r="I117" s="32"/>
      <c r="J117" s="19"/>
      <c r="K117" s="19"/>
    </row>
    <row r="118" spans="2:11" x14ac:dyDescent="0.25">
      <c r="B118" s="19"/>
      <c r="C118" s="19"/>
      <c r="D118" s="19"/>
      <c r="E118" s="19"/>
      <c r="F118" s="19"/>
      <c r="G118" s="19"/>
      <c r="H118" s="35"/>
      <c r="I118" s="32"/>
      <c r="J118" s="19"/>
      <c r="K118" s="19"/>
    </row>
    <row r="119" spans="2:11" x14ac:dyDescent="0.25">
      <c r="B119" s="19"/>
      <c r="C119" s="19"/>
      <c r="D119" s="19"/>
      <c r="E119" s="19"/>
      <c r="F119" s="19"/>
      <c r="G119" s="19"/>
      <c r="H119" s="35"/>
      <c r="I119" s="32"/>
      <c r="J119" s="19"/>
      <c r="K119" s="19"/>
    </row>
    <row r="120" spans="2:11" x14ac:dyDescent="0.25">
      <c r="B120" s="19"/>
      <c r="C120" s="19"/>
      <c r="D120" s="19"/>
      <c r="E120" s="19"/>
      <c r="F120" s="19"/>
      <c r="G120" s="19"/>
      <c r="H120" s="35"/>
      <c r="I120" s="32"/>
      <c r="J120" s="19"/>
      <c r="K120" s="19"/>
    </row>
    <row r="121" spans="2:11" x14ac:dyDescent="0.25">
      <c r="B121" s="19"/>
      <c r="C121" s="19"/>
      <c r="D121" s="19"/>
      <c r="E121" s="19"/>
      <c r="F121" s="19"/>
      <c r="G121" s="19"/>
      <c r="H121" s="35"/>
      <c r="I121" s="32"/>
      <c r="J121" s="19"/>
      <c r="K121" s="19"/>
    </row>
    <row r="122" spans="2:11" x14ac:dyDescent="0.25">
      <c r="B122" s="19"/>
      <c r="C122" s="19"/>
      <c r="D122" s="19"/>
      <c r="E122" s="19"/>
      <c r="F122" s="19"/>
      <c r="G122" s="19"/>
      <c r="H122" s="35"/>
      <c r="I122" s="32"/>
      <c r="J122" s="19"/>
      <c r="K122" s="19"/>
    </row>
    <row r="123" spans="2:11" x14ac:dyDescent="0.25">
      <c r="B123" s="19"/>
      <c r="C123" s="19"/>
      <c r="D123" s="19"/>
      <c r="E123" s="19"/>
      <c r="F123" s="19"/>
      <c r="G123" s="19"/>
      <c r="H123" s="35"/>
      <c r="I123" s="32"/>
      <c r="J123" s="19"/>
      <c r="K123" s="19"/>
    </row>
    <row r="124" spans="2:11" x14ac:dyDescent="0.25">
      <c r="B124" s="19"/>
      <c r="C124" s="19"/>
      <c r="D124" s="19"/>
      <c r="E124" s="19"/>
      <c r="F124" s="19"/>
      <c r="G124" s="19"/>
      <c r="H124" s="35"/>
      <c r="I124" s="32"/>
      <c r="J124" s="19"/>
      <c r="K124" s="19"/>
    </row>
    <row r="125" spans="2:11" x14ac:dyDescent="0.25">
      <c r="B125" s="19"/>
      <c r="C125" s="19"/>
      <c r="D125" s="19"/>
      <c r="E125" s="19"/>
      <c r="F125" s="19"/>
      <c r="G125" s="19"/>
      <c r="H125" s="35"/>
      <c r="I125" s="32"/>
      <c r="J125" s="19"/>
      <c r="K125" s="19"/>
    </row>
    <row r="126" spans="2:11" x14ac:dyDescent="0.25">
      <c r="B126" s="19"/>
      <c r="C126" s="19"/>
      <c r="D126" s="19"/>
      <c r="E126" s="19"/>
      <c r="F126" s="19"/>
      <c r="G126" s="19"/>
      <c r="H126" s="35"/>
      <c r="I126" s="32"/>
      <c r="J126" s="19"/>
      <c r="K126" s="19"/>
    </row>
    <row r="127" spans="2:11" x14ac:dyDescent="0.25">
      <c r="B127" s="19"/>
      <c r="C127" s="19"/>
      <c r="D127" s="19"/>
      <c r="E127" s="19"/>
      <c r="F127" s="19"/>
      <c r="G127" s="19"/>
      <c r="H127" s="35"/>
      <c r="I127" s="32"/>
      <c r="J127" s="19"/>
      <c r="K127" s="19"/>
    </row>
    <row r="128" spans="2:11" x14ac:dyDescent="0.25">
      <c r="B128" s="19"/>
      <c r="C128" s="19"/>
      <c r="D128" s="19"/>
      <c r="E128" s="19"/>
      <c r="F128" s="19"/>
      <c r="G128" s="19"/>
      <c r="H128" s="35"/>
      <c r="I128" s="32"/>
      <c r="J128" s="19"/>
      <c r="K128" s="19"/>
    </row>
    <row r="129" spans="2:11" x14ac:dyDescent="0.25">
      <c r="B129" s="19"/>
      <c r="C129" s="19"/>
      <c r="D129" s="19"/>
      <c r="E129" s="19"/>
      <c r="F129" s="19"/>
      <c r="G129" s="19"/>
      <c r="H129" s="35"/>
      <c r="I129" s="32"/>
      <c r="J129" s="19"/>
      <c r="K129" s="19"/>
    </row>
    <row r="130" spans="2:11" x14ac:dyDescent="0.25">
      <c r="B130" s="19"/>
      <c r="C130" s="19"/>
      <c r="D130" s="19"/>
      <c r="E130" s="19"/>
      <c r="F130" s="19"/>
      <c r="G130" s="19"/>
      <c r="H130" s="35"/>
      <c r="I130" s="32"/>
      <c r="J130" s="19"/>
      <c r="K130" s="19"/>
    </row>
    <row r="131" spans="2:11" x14ac:dyDescent="0.25">
      <c r="B131" s="19"/>
      <c r="C131" s="19"/>
      <c r="D131" s="19"/>
      <c r="E131" s="19"/>
      <c r="F131" s="19"/>
      <c r="G131" s="19"/>
      <c r="H131" s="35"/>
      <c r="I131" s="32"/>
      <c r="J131" s="19"/>
      <c r="K131" s="19"/>
    </row>
    <row r="132" spans="2:11" x14ac:dyDescent="0.25">
      <c r="B132" s="19"/>
      <c r="C132" s="19"/>
      <c r="D132" s="19"/>
      <c r="E132" s="19"/>
      <c r="F132" s="19"/>
      <c r="G132" s="19"/>
      <c r="H132" s="35"/>
      <c r="I132" s="32"/>
      <c r="J132" s="19"/>
      <c r="K132" s="19"/>
    </row>
    <row r="133" spans="2:11" x14ac:dyDescent="0.25">
      <c r="B133" s="19"/>
      <c r="C133" s="19"/>
      <c r="D133" s="19"/>
      <c r="E133" s="19"/>
      <c r="F133" s="19"/>
      <c r="G133" s="19"/>
      <c r="H133" s="35"/>
      <c r="I133" s="32"/>
      <c r="J133" s="19"/>
      <c r="K133" s="19"/>
    </row>
    <row r="134" spans="2:11" x14ac:dyDescent="0.25">
      <c r="B134" s="19"/>
      <c r="C134" s="19"/>
      <c r="D134" s="19"/>
      <c r="E134" s="19"/>
      <c r="F134" s="19"/>
      <c r="G134" s="19"/>
      <c r="H134" s="35"/>
      <c r="I134" s="32"/>
      <c r="J134" s="19"/>
      <c r="K134" s="19"/>
    </row>
    <row r="135" spans="2:11" x14ac:dyDescent="0.25">
      <c r="B135" s="19"/>
      <c r="C135" s="19"/>
      <c r="D135" s="19"/>
      <c r="E135" s="19"/>
      <c r="F135" s="19"/>
      <c r="G135" s="19"/>
      <c r="H135" s="35"/>
      <c r="I135" s="32"/>
      <c r="J135" s="19"/>
      <c r="K135" s="19"/>
    </row>
    <row r="136" spans="2:11" x14ac:dyDescent="0.25">
      <c r="B136" s="19"/>
      <c r="C136" s="19"/>
      <c r="D136" s="19"/>
      <c r="E136" s="19"/>
      <c r="F136" s="19"/>
      <c r="G136" s="19"/>
      <c r="H136" s="35"/>
      <c r="I136" s="32"/>
      <c r="J136" s="19"/>
      <c r="K136" s="19"/>
    </row>
    <row r="137" spans="2:11" x14ac:dyDescent="0.25">
      <c r="B137" s="19"/>
      <c r="C137" s="19"/>
      <c r="D137" s="19"/>
      <c r="E137" s="19"/>
      <c r="F137" s="19"/>
      <c r="G137" s="19"/>
      <c r="H137" s="35"/>
      <c r="I137" s="32"/>
      <c r="J137" s="19"/>
      <c r="K137" s="19"/>
    </row>
    <row r="138" spans="2:11" x14ac:dyDescent="0.25">
      <c r="B138" s="19"/>
      <c r="C138" s="19"/>
      <c r="D138" s="19"/>
      <c r="E138" s="19"/>
      <c r="F138" s="19"/>
      <c r="G138" s="19"/>
      <c r="H138" s="35"/>
      <c r="I138" s="32"/>
      <c r="J138" s="19"/>
      <c r="K138" s="19"/>
    </row>
    <row r="139" spans="2:11" x14ac:dyDescent="0.25">
      <c r="B139" s="19"/>
      <c r="C139" s="19"/>
      <c r="D139" s="19"/>
      <c r="E139" s="19"/>
      <c r="F139" s="19"/>
      <c r="G139" s="19"/>
      <c r="H139" s="35"/>
      <c r="I139" s="32"/>
      <c r="J139" s="19"/>
      <c r="K139" s="19"/>
    </row>
    <row r="140" spans="2:11" x14ac:dyDescent="0.25">
      <c r="B140" s="19"/>
      <c r="C140" s="19"/>
      <c r="D140" s="19"/>
      <c r="E140" s="19"/>
      <c r="F140" s="19"/>
      <c r="G140" s="19"/>
      <c r="H140" s="35"/>
      <c r="I140" s="32"/>
      <c r="J140" s="19"/>
      <c r="K140" s="19"/>
    </row>
    <row r="141" spans="2:11" x14ac:dyDescent="0.25">
      <c r="B141" s="19"/>
      <c r="C141" s="19"/>
      <c r="D141" s="19"/>
      <c r="E141" s="19"/>
      <c r="F141" s="19"/>
      <c r="G141" s="19"/>
      <c r="H141" s="35"/>
      <c r="I141" s="32"/>
      <c r="J141" s="19"/>
      <c r="K141" s="19"/>
    </row>
    <row r="142" spans="2:11" x14ac:dyDescent="0.25">
      <c r="B142" s="19"/>
      <c r="C142" s="19"/>
      <c r="D142" s="19"/>
      <c r="E142" s="19"/>
      <c r="F142" s="19"/>
      <c r="G142" s="19"/>
      <c r="H142" s="35"/>
      <c r="I142" s="32"/>
      <c r="J142" s="19"/>
      <c r="K142" s="19"/>
    </row>
    <row r="143" spans="2:11" x14ac:dyDescent="0.25">
      <c r="B143" s="19"/>
      <c r="C143" s="19"/>
      <c r="D143" s="19"/>
      <c r="E143" s="19"/>
      <c r="F143" s="19"/>
      <c r="G143" s="19"/>
      <c r="H143" s="35"/>
      <c r="I143" s="32"/>
      <c r="J143" s="19"/>
      <c r="K143" s="19"/>
    </row>
    <row r="144" spans="2:11" x14ac:dyDescent="0.25">
      <c r="B144" s="19"/>
      <c r="C144" s="19"/>
      <c r="D144" s="19"/>
      <c r="E144" s="19"/>
      <c r="F144" s="19"/>
      <c r="G144" s="19"/>
      <c r="H144" s="35"/>
      <c r="I144" s="32"/>
      <c r="J144" s="19"/>
      <c r="K144" s="19"/>
    </row>
    <row r="145" spans="2:11" x14ac:dyDescent="0.25">
      <c r="B145" s="19"/>
      <c r="C145" s="19"/>
      <c r="D145" s="19"/>
      <c r="E145" s="19"/>
      <c r="F145" s="19"/>
      <c r="G145" s="19"/>
      <c r="H145" s="35"/>
      <c r="I145" s="32"/>
      <c r="J145" s="19"/>
      <c r="K145" s="19"/>
    </row>
    <row r="146" spans="2:11" x14ac:dyDescent="0.25">
      <c r="B146" s="19"/>
      <c r="C146" s="19"/>
      <c r="D146" s="19"/>
      <c r="E146" s="19"/>
      <c r="F146" s="19"/>
      <c r="G146" s="19"/>
      <c r="H146" s="35"/>
      <c r="I146" s="32"/>
      <c r="J146" s="19"/>
      <c r="K146" s="19"/>
    </row>
    <row r="147" spans="2:11" x14ac:dyDescent="0.25">
      <c r="B147" s="19"/>
      <c r="C147" s="19"/>
      <c r="D147" s="19"/>
      <c r="E147" s="19"/>
      <c r="F147" s="19"/>
      <c r="G147" s="19"/>
      <c r="H147" s="35"/>
      <c r="I147" s="32"/>
      <c r="J147" s="19"/>
      <c r="K147" s="19"/>
    </row>
    <row r="148" spans="2:11" x14ac:dyDescent="0.25">
      <c r="B148" s="19"/>
      <c r="C148" s="19"/>
      <c r="D148" s="19"/>
      <c r="E148" s="19"/>
      <c r="F148" s="19"/>
      <c r="G148" s="19"/>
      <c r="H148" s="35"/>
      <c r="I148" s="32"/>
      <c r="J148" s="19"/>
      <c r="K148" s="19"/>
    </row>
    <row r="149" spans="2:11" x14ac:dyDescent="0.25">
      <c r="B149" s="19"/>
      <c r="C149" s="19"/>
      <c r="D149" s="19"/>
      <c r="E149" s="19"/>
      <c r="F149" s="19"/>
      <c r="G149" s="19"/>
      <c r="H149" s="35"/>
      <c r="I149" s="32"/>
      <c r="J149" s="19"/>
      <c r="K149" s="19"/>
    </row>
    <row r="150" spans="2:11" x14ac:dyDescent="0.25">
      <c r="B150" s="19"/>
      <c r="C150" s="19"/>
      <c r="D150" s="19"/>
      <c r="E150" s="19"/>
      <c r="F150" s="19"/>
      <c r="G150" s="19"/>
      <c r="H150" s="35"/>
      <c r="I150" s="32"/>
      <c r="J150" s="19"/>
      <c r="K150" s="19"/>
    </row>
    <row r="151" spans="2:11" x14ac:dyDescent="0.25">
      <c r="B151" s="19"/>
      <c r="C151" s="19"/>
      <c r="D151" s="19"/>
      <c r="E151" s="19"/>
      <c r="F151" s="19"/>
      <c r="G151" s="19"/>
      <c r="H151" s="35"/>
      <c r="I151" s="32"/>
      <c r="J151" s="19"/>
      <c r="K151" s="19"/>
    </row>
    <row r="152" spans="2:11" x14ac:dyDescent="0.25">
      <c r="B152" s="19"/>
      <c r="C152" s="19"/>
      <c r="D152" s="19"/>
      <c r="E152" s="19"/>
      <c r="F152" s="19"/>
      <c r="G152" s="19"/>
      <c r="H152" s="35"/>
      <c r="I152" s="32"/>
      <c r="J152" s="19"/>
      <c r="K152" s="19"/>
    </row>
    <row r="153" spans="2:11" x14ac:dyDescent="0.25">
      <c r="B153" s="19"/>
      <c r="C153" s="19"/>
      <c r="D153" s="19"/>
      <c r="E153" s="19"/>
      <c r="F153" s="19"/>
      <c r="G153" s="19"/>
      <c r="H153" s="35"/>
      <c r="I153" s="32"/>
      <c r="J153" s="19"/>
      <c r="K153" s="19"/>
    </row>
    <row r="154" spans="2:11" x14ac:dyDescent="0.25">
      <c r="B154" s="19"/>
      <c r="C154" s="19"/>
      <c r="D154" s="19"/>
      <c r="E154" s="19"/>
      <c r="F154" s="19"/>
      <c r="G154" s="19"/>
      <c r="H154" s="35"/>
      <c r="I154" s="32"/>
      <c r="J154" s="19"/>
      <c r="K154" s="19"/>
    </row>
    <row r="155" spans="2:11" x14ac:dyDescent="0.25">
      <c r="B155" s="19"/>
      <c r="C155" s="19"/>
      <c r="D155" s="19"/>
      <c r="E155" s="19"/>
      <c r="F155" s="19"/>
      <c r="G155" s="19"/>
      <c r="H155" s="35"/>
      <c r="I155" s="32"/>
      <c r="J155" s="19"/>
      <c r="K155" s="19"/>
    </row>
    <row r="156" spans="2:11" x14ac:dyDescent="0.25">
      <c r="B156" s="19"/>
      <c r="C156" s="19"/>
      <c r="D156" s="19"/>
      <c r="E156" s="19"/>
      <c r="F156" s="19"/>
      <c r="G156" s="19"/>
      <c r="H156" s="35"/>
      <c r="I156" s="32"/>
      <c r="J156" s="19"/>
      <c r="K156" s="19"/>
    </row>
    <row r="157" spans="2:11" x14ac:dyDescent="0.25">
      <c r="B157" s="19"/>
      <c r="C157" s="19"/>
      <c r="D157" s="19"/>
      <c r="E157" s="19"/>
      <c r="F157" s="19"/>
      <c r="G157" s="19"/>
      <c r="H157" s="35"/>
      <c r="I157" s="32"/>
      <c r="J157" s="19"/>
      <c r="K157" s="19"/>
    </row>
    <row r="158" spans="2:11" x14ac:dyDescent="0.25">
      <c r="B158" s="19"/>
      <c r="C158" s="19"/>
      <c r="D158" s="19"/>
      <c r="E158" s="19"/>
      <c r="F158" s="19"/>
      <c r="G158" s="19"/>
      <c r="H158" s="35"/>
      <c r="I158" s="32"/>
      <c r="J158" s="19"/>
      <c r="K158" s="19"/>
    </row>
    <row r="159" spans="2:11" x14ac:dyDescent="0.25">
      <c r="B159" s="19"/>
      <c r="C159" s="19"/>
      <c r="D159" s="19"/>
      <c r="E159" s="19"/>
      <c r="F159" s="19"/>
      <c r="G159" s="19"/>
      <c r="H159" s="35"/>
      <c r="I159" s="32"/>
      <c r="J159" s="19"/>
      <c r="K159" s="19"/>
    </row>
    <row r="160" spans="2:11" x14ac:dyDescent="0.25">
      <c r="B160" s="19"/>
      <c r="C160" s="19"/>
      <c r="D160" s="19"/>
      <c r="E160" s="19"/>
      <c r="F160" s="19"/>
      <c r="G160" s="19"/>
      <c r="H160" s="35"/>
      <c r="I160" s="32"/>
      <c r="J160" s="19"/>
      <c r="K160" s="19"/>
    </row>
    <row r="161" spans="2:11" x14ac:dyDescent="0.25">
      <c r="B161" s="19"/>
      <c r="C161" s="19"/>
      <c r="D161" s="19"/>
      <c r="E161" s="19"/>
      <c r="F161" s="19"/>
      <c r="G161" s="19"/>
      <c r="H161" s="35"/>
      <c r="I161" s="32"/>
      <c r="J161" s="19"/>
      <c r="K161" s="19"/>
    </row>
    <row r="162" spans="2:11" x14ac:dyDescent="0.25">
      <c r="B162" s="19"/>
      <c r="C162" s="19"/>
      <c r="D162" s="19"/>
      <c r="E162" s="19"/>
      <c r="F162" s="19"/>
      <c r="G162" s="19"/>
      <c r="H162" s="35"/>
      <c r="I162" s="32"/>
      <c r="J162" s="19"/>
      <c r="K162" s="19"/>
    </row>
    <row r="163" spans="2:11" x14ac:dyDescent="0.25">
      <c r="B163" s="19"/>
      <c r="C163" s="19"/>
      <c r="D163" s="19"/>
      <c r="E163" s="19"/>
      <c r="F163" s="19"/>
      <c r="G163" s="19"/>
      <c r="H163" s="35"/>
      <c r="I163" s="32"/>
      <c r="J163" s="19"/>
      <c r="K163" s="19"/>
    </row>
    <row r="164" spans="2:11" x14ac:dyDescent="0.25">
      <c r="B164" s="19"/>
      <c r="C164" s="19"/>
      <c r="D164" s="19"/>
      <c r="E164" s="19"/>
      <c r="F164" s="19"/>
      <c r="G164" s="19"/>
      <c r="H164" s="35"/>
      <c r="I164" s="32"/>
      <c r="J164" s="19"/>
      <c r="K164" s="19"/>
    </row>
    <row r="165" spans="2:11" x14ac:dyDescent="0.25">
      <c r="B165" s="19"/>
      <c r="C165" s="19"/>
      <c r="D165" s="19"/>
      <c r="E165" s="19"/>
      <c r="F165" s="19"/>
      <c r="G165" s="19"/>
      <c r="H165" s="35"/>
      <c r="I165" s="32"/>
      <c r="J165" s="19"/>
      <c r="K165" s="19"/>
    </row>
    <row r="166" spans="2:11" x14ac:dyDescent="0.25">
      <c r="B166" s="19"/>
      <c r="C166" s="19"/>
      <c r="D166" s="19"/>
      <c r="E166" s="19"/>
      <c r="F166" s="19"/>
      <c r="G166" s="19"/>
      <c r="H166" s="35"/>
      <c r="I166" s="32"/>
      <c r="J166" s="19"/>
      <c r="K166" s="19"/>
    </row>
    <row r="167" spans="2:11" x14ac:dyDescent="0.25">
      <c r="B167" s="19"/>
      <c r="C167" s="19"/>
      <c r="D167" s="19"/>
      <c r="E167" s="19"/>
      <c r="F167" s="19"/>
      <c r="G167" s="19"/>
      <c r="H167" s="35"/>
      <c r="I167" s="32"/>
      <c r="J167" s="19"/>
      <c r="K167" s="19"/>
    </row>
    <row r="168" spans="2:11" x14ac:dyDescent="0.25">
      <c r="B168" s="19"/>
      <c r="C168" s="19"/>
      <c r="D168" s="19"/>
      <c r="E168" s="19"/>
      <c r="F168" s="19"/>
      <c r="G168" s="19"/>
      <c r="H168" s="35"/>
      <c r="I168" s="32"/>
      <c r="J168" s="19"/>
      <c r="K168" s="19"/>
    </row>
    <row r="169" spans="2:11" x14ac:dyDescent="0.25">
      <c r="B169" s="19"/>
      <c r="C169" s="19"/>
      <c r="D169" s="19"/>
      <c r="E169" s="19"/>
      <c r="F169" s="19"/>
      <c r="G169" s="19"/>
      <c r="H169" s="35"/>
      <c r="I169" s="32"/>
      <c r="J169" s="19"/>
      <c r="K169" s="19"/>
    </row>
    <row r="170" spans="2:11" x14ac:dyDescent="0.25">
      <c r="B170" s="19"/>
      <c r="C170" s="19"/>
      <c r="D170" s="19"/>
      <c r="E170" s="19"/>
      <c r="F170" s="19"/>
      <c r="G170" s="19"/>
      <c r="H170" s="35"/>
      <c r="I170" s="32"/>
      <c r="J170" s="19"/>
      <c r="K170" s="19"/>
    </row>
    <row r="171" spans="2:11" x14ac:dyDescent="0.25">
      <c r="B171" s="19"/>
      <c r="C171" s="19"/>
      <c r="D171" s="19"/>
      <c r="E171" s="19"/>
      <c r="F171" s="19"/>
      <c r="G171" s="19"/>
      <c r="H171" s="35"/>
      <c r="I171" s="32"/>
      <c r="J171" s="19"/>
      <c r="K171" s="19"/>
    </row>
    <row r="172" spans="2:11" x14ac:dyDescent="0.25">
      <c r="B172" s="19"/>
      <c r="C172" s="19"/>
      <c r="D172" s="19"/>
      <c r="E172" s="19"/>
      <c r="F172" s="19"/>
      <c r="G172" s="19"/>
      <c r="H172" s="35"/>
      <c r="I172" s="32"/>
      <c r="J172" s="19"/>
      <c r="K172" s="19"/>
    </row>
    <row r="173" spans="2:11" x14ac:dyDescent="0.25">
      <c r="B173" s="19"/>
      <c r="C173" s="19"/>
      <c r="D173" s="19"/>
      <c r="E173" s="19"/>
      <c r="F173" s="19"/>
      <c r="G173" s="19"/>
      <c r="H173" s="35"/>
      <c r="I173" s="32"/>
      <c r="J173" s="19"/>
      <c r="K173" s="19"/>
    </row>
    <row r="174" spans="2:11" x14ac:dyDescent="0.25">
      <c r="B174" s="19"/>
      <c r="C174" s="19"/>
      <c r="D174" s="19"/>
      <c r="E174" s="19"/>
      <c r="F174" s="19"/>
      <c r="G174" s="19"/>
      <c r="H174" s="35"/>
      <c r="I174" s="32"/>
      <c r="J174" s="19"/>
      <c r="K174" s="19"/>
    </row>
    <row r="175" spans="2:11" x14ac:dyDescent="0.25">
      <c r="B175" s="19"/>
      <c r="C175" s="19"/>
      <c r="D175" s="19"/>
      <c r="E175" s="19"/>
      <c r="F175" s="19"/>
      <c r="G175" s="19"/>
      <c r="H175" s="35"/>
      <c r="I175" s="32"/>
      <c r="J175" s="19"/>
      <c r="K175" s="19"/>
    </row>
    <row r="176" spans="2:11" x14ac:dyDescent="0.25">
      <c r="B176" s="19"/>
      <c r="C176" s="19"/>
      <c r="D176" s="19"/>
      <c r="E176" s="19"/>
      <c r="F176" s="19"/>
      <c r="G176" s="19"/>
      <c r="H176" s="35"/>
      <c r="I176" s="32"/>
      <c r="J176" s="19"/>
      <c r="K176" s="19"/>
    </row>
    <row r="177" spans="2:11" x14ac:dyDescent="0.25">
      <c r="B177" s="19"/>
      <c r="C177" s="19"/>
      <c r="D177" s="19"/>
      <c r="E177" s="19"/>
      <c r="F177" s="19"/>
      <c r="G177" s="19"/>
      <c r="H177" s="35"/>
      <c r="I177" s="32"/>
      <c r="J177" s="19"/>
      <c r="K177" s="19"/>
    </row>
    <row r="178" spans="2:11" x14ac:dyDescent="0.25">
      <c r="B178" s="19"/>
      <c r="C178" s="19"/>
      <c r="D178" s="19"/>
      <c r="E178" s="19"/>
      <c r="F178" s="19"/>
      <c r="G178" s="19"/>
      <c r="H178" s="35"/>
      <c r="I178" s="32"/>
      <c r="J178" s="19"/>
      <c r="K178" s="19"/>
    </row>
    <row r="179" spans="2:11" x14ac:dyDescent="0.25">
      <c r="B179" s="19"/>
      <c r="C179" s="19"/>
      <c r="D179" s="19"/>
      <c r="E179" s="19"/>
      <c r="F179" s="19"/>
      <c r="G179" s="19"/>
      <c r="H179" s="35"/>
      <c r="I179" s="32"/>
      <c r="J179" s="19"/>
      <c r="K179" s="19"/>
    </row>
    <row r="180" spans="2:11" x14ac:dyDescent="0.25">
      <c r="B180" s="19"/>
      <c r="C180" s="19"/>
      <c r="D180" s="19"/>
      <c r="E180" s="19"/>
      <c r="F180" s="19"/>
      <c r="G180" s="19"/>
      <c r="H180" s="35"/>
      <c r="I180" s="32"/>
      <c r="J180" s="19"/>
      <c r="K180" s="19"/>
    </row>
    <row r="181" spans="2:11" x14ac:dyDescent="0.25">
      <c r="B181" s="19"/>
      <c r="C181" s="19"/>
      <c r="D181" s="19"/>
      <c r="E181" s="19"/>
      <c r="F181" s="19"/>
      <c r="G181" s="19"/>
      <c r="H181" s="35"/>
      <c r="I181" s="32"/>
      <c r="J181" s="19"/>
      <c r="K181" s="19"/>
    </row>
    <row r="182" spans="2:11" x14ac:dyDescent="0.25">
      <c r="B182" s="19"/>
      <c r="C182" s="19"/>
      <c r="D182" s="19"/>
      <c r="E182" s="19"/>
      <c r="F182" s="19"/>
      <c r="G182" s="19"/>
      <c r="H182" s="35"/>
      <c r="I182" s="32"/>
      <c r="J182" s="19"/>
      <c r="K182" s="19"/>
    </row>
    <row r="183" spans="2:11" x14ac:dyDescent="0.25">
      <c r="B183" s="19"/>
      <c r="C183" s="19"/>
      <c r="D183" s="19"/>
      <c r="E183" s="19"/>
      <c r="F183" s="19"/>
      <c r="G183" s="19"/>
      <c r="H183" s="35"/>
      <c r="I183" s="32"/>
      <c r="J183" s="19"/>
      <c r="K183" s="19"/>
    </row>
    <row r="184" spans="2:11" x14ac:dyDescent="0.25">
      <c r="B184" s="19"/>
      <c r="C184" s="19"/>
      <c r="D184" s="19"/>
      <c r="E184" s="19"/>
      <c r="F184" s="19"/>
      <c r="G184" s="19"/>
      <c r="H184" s="35"/>
      <c r="I184" s="32"/>
      <c r="J184" s="19"/>
      <c r="K184" s="19"/>
    </row>
    <row r="185" spans="2:11" x14ac:dyDescent="0.25">
      <c r="B185" s="19"/>
      <c r="C185" s="19"/>
      <c r="D185" s="19"/>
      <c r="E185" s="19"/>
      <c r="F185" s="19"/>
      <c r="G185" s="19"/>
      <c r="H185" s="35"/>
      <c r="I185" s="32"/>
      <c r="J185" s="19"/>
      <c r="K185" s="19"/>
    </row>
    <row r="186" spans="2:11" x14ac:dyDescent="0.25">
      <c r="B186" s="19"/>
      <c r="C186" s="19"/>
      <c r="D186" s="19"/>
      <c r="E186" s="19"/>
      <c r="F186" s="19"/>
      <c r="G186" s="19"/>
      <c r="H186" s="35"/>
      <c r="I186" s="32"/>
      <c r="J186" s="19"/>
      <c r="K186" s="19"/>
    </row>
    <row r="187" spans="2:11" x14ac:dyDescent="0.25">
      <c r="B187" s="19"/>
      <c r="C187" s="19"/>
      <c r="D187" s="19"/>
      <c r="E187" s="19"/>
      <c r="F187" s="19"/>
      <c r="G187" s="19"/>
      <c r="H187" s="35"/>
      <c r="I187" s="32"/>
      <c r="J187" s="19"/>
      <c r="K187" s="19"/>
    </row>
    <row r="188" spans="2:11" x14ac:dyDescent="0.25">
      <c r="B188" s="19"/>
      <c r="C188" s="19"/>
      <c r="D188" s="19"/>
      <c r="E188" s="19"/>
      <c r="F188" s="19"/>
      <c r="G188" s="19"/>
      <c r="H188" s="35"/>
      <c r="I188" s="32"/>
      <c r="J188" s="19"/>
      <c r="K188" s="19"/>
    </row>
    <row r="189" spans="2:11" x14ac:dyDescent="0.25">
      <c r="B189" s="19"/>
      <c r="C189" s="19"/>
      <c r="D189" s="19"/>
      <c r="E189" s="19"/>
      <c r="F189" s="19"/>
      <c r="G189" s="19"/>
      <c r="H189" s="35"/>
      <c r="I189" s="32"/>
      <c r="J189" s="19"/>
      <c r="K189" s="19"/>
    </row>
    <row r="190" spans="2:11" x14ac:dyDescent="0.25">
      <c r="B190" s="19"/>
      <c r="C190" s="19"/>
      <c r="D190" s="19"/>
      <c r="E190" s="19"/>
      <c r="F190" s="19"/>
      <c r="G190" s="19"/>
      <c r="H190" s="35"/>
      <c r="I190" s="32"/>
      <c r="J190" s="19"/>
      <c r="K190" s="19"/>
    </row>
    <row r="191" spans="2:11" x14ac:dyDescent="0.25">
      <c r="B191" s="19"/>
      <c r="C191" s="19"/>
      <c r="D191" s="19"/>
      <c r="E191" s="19"/>
      <c r="F191" s="19"/>
      <c r="G191" s="19"/>
      <c r="H191" s="35"/>
      <c r="I191" s="32"/>
      <c r="J191" s="19"/>
      <c r="K191" s="19"/>
    </row>
    <row r="192" spans="2:11" x14ac:dyDescent="0.25">
      <c r="B192" s="19"/>
      <c r="C192" s="19"/>
      <c r="D192" s="19"/>
      <c r="E192" s="19"/>
      <c r="F192" s="19"/>
      <c r="G192" s="19"/>
      <c r="H192" s="35"/>
      <c r="I192" s="32"/>
      <c r="J192" s="19"/>
      <c r="K192" s="19"/>
    </row>
    <row r="193" spans="2:11" x14ac:dyDescent="0.25">
      <c r="B193" s="19"/>
      <c r="C193" s="19"/>
      <c r="D193" s="19"/>
      <c r="E193" s="19"/>
      <c r="F193" s="19"/>
      <c r="G193" s="19"/>
      <c r="H193" s="35"/>
      <c r="I193" s="32"/>
      <c r="J193" s="19"/>
      <c r="K193" s="19"/>
    </row>
    <row r="194" spans="2:11" x14ac:dyDescent="0.25">
      <c r="B194" s="19"/>
      <c r="C194" s="19"/>
      <c r="D194" s="19"/>
      <c r="E194" s="19"/>
      <c r="F194" s="19"/>
      <c r="G194" s="19"/>
      <c r="H194" s="35"/>
      <c r="I194" s="32"/>
      <c r="J194" s="19"/>
      <c r="K194" s="19"/>
    </row>
    <row r="195" spans="2:11" x14ac:dyDescent="0.25">
      <c r="B195" s="19"/>
      <c r="C195" s="19"/>
      <c r="D195" s="19"/>
      <c r="E195" s="19"/>
      <c r="F195" s="19"/>
      <c r="G195" s="19"/>
      <c r="H195" s="35"/>
      <c r="I195" s="32"/>
      <c r="J195" s="19"/>
      <c r="K195" s="19"/>
    </row>
    <row r="196" spans="2:11" x14ac:dyDescent="0.25">
      <c r="B196" s="19"/>
      <c r="C196" s="19"/>
      <c r="D196" s="19"/>
      <c r="E196" s="19"/>
      <c r="F196" s="19"/>
      <c r="G196" s="19"/>
      <c r="H196" s="35"/>
      <c r="I196" s="32"/>
      <c r="J196" s="19"/>
      <c r="K196" s="19"/>
    </row>
    <row r="197" spans="2:11" x14ac:dyDescent="0.25">
      <c r="B197" s="19"/>
      <c r="C197" s="19"/>
      <c r="D197" s="19"/>
      <c r="E197" s="19"/>
      <c r="F197" s="19"/>
      <c r="G197" s="19"/>
      <c r="H197" s="35"/>
      <c r="I197" s="32"/>
      <c r="J197" s="19"/>
      <c r="K197" s="19"/>
    </row>
    <row r="198" spans="2:11" x14ac:dyDescent="0.25">
      <c r="B198" s="19"/>
      <c r="C198" s="19"/>
      <c r="D198" s="19"/>
      <c r="E198" s="19"/>
      <c r="F198" s="19"/>
      <c r="G198" s="19"/>
      <c r="H198" s="35"/>
      <c r="I198" s="32"/>
      <c r="J198" s="19"/>
      <c r="K198" s="19"/>
    </row>
    <row r="199" spans="2:11" x14ac:dyDescent="0.25">
      <c r="B199" s="19"/>
      <c r="C199" s="19"/>
      <c r="D199" s="19"/>
      <c r="E199" s="19"/>
      <c r="F199" s="19"/>
      <c r="G199" s="19"/>
      <c r="H199" s="35"/>
      <c r="I199" s="32"/>
      <c r="J199" s="19"/>
      <c r="K199" s="19"/>
    </row>
    <row r="200" spans="2:11" x14ac:dyDescent="0.25">
      <c r="B200" s="19"/>
      <c r="C200" s="19"/>
      <c r="D200" s="19"/>
      <c r="E200" s="19"/>
      <c r="F200" s="19"/>
      <c r="G200" s="19"/>
      <c r="H200" s="35"/>
      <c r="I200" s="32"/>
      <c r="J200" s="19"/>
      <c r="K200" s="19"/>
    </row>
    <row r="201" spans="2:11" x14ac:dyDescent="0.25">
      <c r="B201" s="19"/>
      <c r="C201" s="19"/>
      <c r="D201" s="19"/>
      <c r="E201" s="19"/>
      <c r="F201" s="19"/>
      <c r="G201" s="19"/>
      <c r="H201" s="35"/>
      <c r="I201" s="32"/>
      <c r="J201" s="19"/>
      <c r="K201" s="19"/>
    </row>
    <row r="202" spans="2:11" x14ac:dyDescent="0.25">
      <c r="B202" s="19"/>
      <c r="C202" s="19"/>
      <c r="D202" s="19"/>
      <c r="E202" s="19"/>
      <c r="F202" s="19"/>
      <c r="G202" s="19"/>
      <c r="H202" s="35"/>
      <c r="I202" s="32"/>
      <c r="J202" s="19"/>
      <c r="K202" s="19"/>
    </row>
    <row r="203" spans="2:11" x14ac:dyDescent="0.25">
      <c r="B203" s="19"/>
      <c r="C203" s="19"/>
      <c r="D203" s="19"/>
      <c r="E203" s="19"/>
      <c r="F203" s="19"/>
      <c r="G203" s="19"/>
      <c r="H203" s="35"/>
      <c r="I203" s="32"/>
      <c r="J203" s="19"/>
      <c r="K203" s="19"/>
    </row>
    <row r="204" spans="2:11" x14ac:dyDescent="0.25">
      <c r="B204" s="19"/>
      <c r="C204" s="19"/>
      <c r="D204" s="19"/>
      <c r="E204" s="19"/>
      <c r="F204" s="19"/>
      <c r="G204" s="19"/>
      <c r="H204" s="35"/>
      <c r="I204" s="32"/>
      <c r="J204" s="19"/>
      <c r="K204" s="19"/>
    </row>
    <row r="205" spans="2:11" x14ac:dyDescent="0.25">
      <c r="B205" s="19"/>
      <c r="C205" s="19"/>
      <c r="D205" s="19"/>
      <c r="E205" s="19"/>
      <c r="F205" s="19"/>
      <c r="G205" s="19"/>
      <c r="H205" s="35"/>
      <c r="I205" s="32"/>
      <c r="J205" s="19"/>
      <c r="K205" s="19"/>
    </row>
    <row r="206" spans="2:11" x14ac:dyDescent="0.25">
      <c r="B206" s="19"/>
      <c r="C206" s="19"/>
      <c r="D206" s="19"/>
      <c r="E206" s="19"/>
      <c r="F206" s="19"/>
      <c r="G206" s="19"/>
      <c r="H206" s="35"/>
      <c r="I206" s="32"/>
      <c r="J206" s="19"/>
      <c r="K206" s="19"/>
    </row>
    <row r="207" spans="2:11" x14ac:dyDescent="0.25">
      <c r="B207" s="19"/>
      <c r="C207" s="19"/>
      <c r="D207" s="19"/>
      <c r="E207" s="19"/>
      <c r="F207" s="19"/>
      <c r="G207" s="19"/>
      <c r="H207" s="35"/>
      <c r="I207" s="32"/>
      <c r="J207" s="19"/>
      <c r="K207" s="19"/>
    </row>
    <row r="208" spans="2:11" x14ac:dyDescent="0.25">
      <c r="B208" s="19"/>
      <c r="C208" s="19"/>
      <c r="D208" s="19"/>
      <c r="E208" s="19"/>
      <c r="F208" s="19"/>
      <c r="G208" s="19"/>
      <c r="H208" s="35"/>
      <c r="I208" s="32"/>
      <c r="J208" s="19"/>
      <c r="K208" s="19"/>
    </row>
    <row r="209" spans="2:11" x14ac:dyDescent="0.25">
      <c r="B209" s="19"/>
      <c r="C209" s="19"/>
      <c r="D209" s="19"/>
      <c r="E209" s="19"/>
      <c r="F209" s="19"/>
      <c r="G209" s="19"/>
      <c r="H209" s="35"/>
      <c r="I209" s="32"/>
      <c r="J209" s="19"/>
      <c r="K209" s="19"/>
    </row>
    <row r="210" spans="2:11" x14ac:dyDescent="0.25">
      <c r="B210" s="19"/>
      <c r="C210" s="19"/>
      <c r="D210" s="19"/>
      <c r="E210" s="19"/>
      <c r="F210" s="19"/>
      <c r="G210" s="19"/>
      <c r="H210" s="35"/>
      <c r="I210" s="32"/>
      <c r="J210" s="19"/>
      <c r="K210" s="19"/>
    </row>
    <row r="211" spans="2:11" x14ac:dyDescent="0.25">
      <c r="B211" s="19"/>
      <c r="C211" s="19"/>
      <c r="D211" s="19"/>
      <c r="E211" s="19"/>
      <c r="F211" s="19"/>
      <c r="G211" s="19"/>
      <c r="H211" s="35"/>
      <c r="I211" s="32"/>
      <c r="J211" s="19"/>
      <c r="K211" s="19"/>
    </row>
    <row r="212" spans="2:11" x14ac:dyDescent="0.25">
      <c r="B212" s="19"/>
      <c r="C212" s="19"/>
      <c r="D212" s="19"/>
      <c r="E212" s="19"/>
      <c r="F212" s="19"/>
      <c r="G212" s="19"/>
      <c r="H212" s="35"/>
      <c r="I212" s="32"/>
      <c r="J212" s="19"/>
      <c r="K212" s="19"/>
    </row>
    <row r="213" spans="2:11" x14ac:dyDescent="0.25">
      <c r="B213" s="19"/>
      <c r="C213" s="19"/>
      <c r="D213" s="19"/>
      <c r="E213" s="19"/>
      <c r="F213" s="19"/>
      <c r="G213" s="19"/>
      <c r="H213" s="35"/>
      <c r="I213" s="32"/>
      <c r="J213" s="19"/>
      <c r="K213" s="19"/>
    </row>
    <row r="214" spans="2:11" x14ac:dyDescent="0.25">
      <c r="B214" s="19"/>
      <c r="C214" s="19"/>
      <c r="D214" s="19"/>
      <c r="E214" s="19"/>
      <c r="F214" s="19"/>
      <c r="G214" s="19"/>
      <c r="H214" s="35"/>
      <c r="I214" s="32"/>
      <c r="J214" s="19"/>
      <c r="K214" s="19"/>
    </row>
    <row r="215" spans="2:11" x14ac:dyDescent="0.25">
      <c r="B215" s="19"/>
      <c r="C215" s="19"/>
      <c r="D215" s="19"/>
      <c r="E215" s="19"/>
      <c r="F215" s="19"/>
      <c r="G215" s="19"/>
      <c r="H215" s="35"/>
      <c r="I215" s="32"/>
      <c r="J215" s="19"/>
      <c r="K215" s="19"/>
    </row>
    <row r="216" spans="2:11" x14ac:dyDescent="0.25">
      <c r="B216" s="19"/>
      <c r="C216" s="19"/>
      <c r="D216" s="19"/>
      <c r="E216" s="19"/>
      <c r="F216" s="19"/>
      <c r="G216" s="19"/>
      <c r="H216" s="35"/>
      <c r="I216" s="32"/>
      <c r="J216" s="19"/>
      <c r="K216" s="19"/>
    </row>
    <row r="217" spans="2:11" x14ac:dyDescent="0.25">
      <c r="B217" s="19"/>
      <c r="C217" s="19"/>
      <c r="D217" s="19"/>
      <c r="E217" s="19"/>
      <c r="F217" s="19"/>
      <c r="G217" s="19"/>
      <c r="H217" s="35"/>
      <c r="I217" s="32"/>
      <c r="J217" s="19"/>
      <c r="K217" s="19"/>
    </row>
    <row r="218" spans="2:11" x14ac:dyDescent="0.25">
      <c r="B218" s="19"/>
      <c r="C218" s="19"/>
      <c r="D218" s="19"/>
      <c r="E218" s="19"/>
      <c r="F218" s="19"/>
      <c r="G218" s="19"/>
      <c r="H218" s="35"/>
      <c r="I218" s="32"/>
      <c r="J218" s="19"/>
      <c r="K218" s="19"/>
    </row>
    <row r="219" spans="2:11" x14ac:dyDescent="0.25">
      <c r="B219" s="19"/>
      <c r="C219" s="19"/>
      <c r="D219" s="19"/>
      <c r="E219" s="19"/>
      <c r="F219" s="19"/>
      <c r="G219" s="19"/>
      <c r="H219" s="35"/>
      <c r="I219" s="32"/>
      <c r="J219" s="19"/>
      <c r="K219" s="19"/>
    </row>
    <row r="220" spans="2:11" x14ac:dyDescent="0.25">
      <c r="B220" s="19"/>
      <c r="C220" s="19"/>
      <c r="D220" s="19"/>
      <c r="E220" s="19"/>
      <c r="F220" s="19"/>
      <c r="G220" s="19"/>
      <c r="H220" s="35"/>
      <c r="I220" s="32"/>
      <c r="J220" s="19"/>
      <c r="K220" s="19"/>
    </row>
    <row r="221" spans="2:11" x14ac:dyDescent="0.25">
      <c r="B221" s="19"/>
      <c r="C221" s="19"/>
      <c r="D221" s="19"/>
      <c r="E221" s="19"/>
      <c r="F221" s="19"/>
      <c r="G221" s="19"/>
      <c r="H221" s="35"/>
      <c r="I221" s="32"/>
      <c r="J221" s="19"/>
      <c r="K221" s="19"/>
    </row>
    <row r="222" spans="2:11" x14ac:dyDescent="0.25">
      <c r="B222" s="19"/>
      <c r="C222" s="19"/>
      <c r="D222" s="19"/>
      <c r="E222" s="19"/>
      <c r="F222" s="19"/>
      <c r="G222" s="19"/>
      <c r="H222" s="35"/>
      <c r="I222" s="32"/>
      <c r="J222" s="19"/>
      <c r="K222" s="19"/>
    </row>
    <row r="223" spans="2:11" x14ac:dyDescent="0.25">
      <c r="B223" s="19"/>
      <c r="C223" s="19"/>
      <c r="D223" s="19"/>
      <c r="E223" s="19"/>
      <c r="F223" s="19"/>
      <c r="G223" s="19"/>
      <c r="H223" s="35"/>
      <c r="I223" s="32"/>
      <c r="J223" s="19"/>
      <c r="K223" s="19"/>
    </row>
    <row r="224" spans="2:11" x14ac:dyDescent="0.25">
      <c r="B224" s="19"/>
      <c r="C224" s="19"/>
      <c r="D224" s="19"/>
      <c r="E224" s="19"/>
      <c r="F224" s="19"/>
      <c r="G224" s="19"/>
      <c r="H224" s="35"/>
      <c r="I224" s="32"/>
      <c r="J224" s="19"/>
      <c r="K224" s="19"/>
    </row>
    <row r="225" spans="2:11" x14ac:dyDescent="0.25">
      <c r="B225" s="19"/>
      <c r="C225" s="19"/>
      <c r="D225" s="19"/>
      <c r="E225" s="19"/>
      <c r="F225" s="19"/>
      <c r="G225" s="19"/>
      <c r="H225" s="35"/>
      <c r="I225" s="32"/>
      <c r="J225" s="19"/>
      <c r="K225" s="19"/>
    </row>
    <row r="226" spans="2:11" x14ac:dyDescent="0.25">
      <c r="B226" s="19"/>
      <c r="C226" s="19"/>
      <c r="D226" s="19"/>
      <c r="E226" s="19"/>
      <c r="F226" s="19"/>
      <c r="G226" s="19"/>
      <c r="H226" s="35"/>
      <c r="I226" s="32"/>
      <c r="J226" s="19"/>
      <c r="K226" s="19"/>
    </row>
    <row r="227" spans="2:11" x14ac:dyDescent="0.25">
      <c r="B227" s="19"/>
      <c r="C227" s="19"/>
      <c r="D227" s="19"/>
      <c r="E227" s="19"/>
      <c r="F227" s="19"/>
      <c r="G227" s="19"/>
      <c r="H227" s="35"/>
      <c r="I227" s="32"/>
      <c r="J227" s="19"/>
      <c r="K227" s="19"/>
    </row>
    <row r="228" spans="2:11" x14ac:dyDescent="0.25">
      <c r="B228" s="19"/>
      <c r="C228" s="19"/>
      <c r="D228" s="19"/>
      <c r="E228" s="19"/>
      <c r="F228" s="19"/>
      <c r="G228" s="19"/>
      <c r="H228" s="35"/>
      <c r="I228" s="32"/>
      <c r="J228" s="19"/>
      <c r="K228" s="19"/>
    </row>
    <row r="229" spans="2:11" x14ac:dyDescent="0.25">
      <c r="B229" s="19"/>
      <c r="C229" s="19"/>
      <c r="D229" s="19"/>
      <c r="E229" s="19"/>
      <c r="F229" s="19"/>
      <c r="G229" s="19"/>
      <c r="H229" s="35"/>
      <c r="I229" s="32"/>
      <c r="J229" s="19"/>
      <c r="K229" s="19"/>
    </row>
    <row r="230" spans="2:11" x14ac:dyDescent="0.25">
      <c r="B230" s="19"/>
      <c r="C230" s="19"/>
      <c r="D230" s="19"/>
      <c r="E230" s="19"/>
      <c r="F230" s="19"/>
      <c r="G230" s="19"/>
      <c r="H230" s="35"/>
      <c r="I230" s="32"/>
      <c r="J230" s="19"/>
      <c r="K230" s="19"/>
    </row>
    <row r="231" spans="2:11" x14ac:dyDescent="0.25">
      <c r="B231" s="19"/>
      <c r="C231" s="19"/>
      <c r="D231" s="19"/>
      <c r="E231" s="19"/>
      <c r="F231" s="19"/>
      <c r="G231" s="19"/>
      <c r="H231" s="35"/>
      <c r="I231" s="32"/>
      <c r="J231" s="19"/>
      <c r="K231" s="19"/>
    </row>
    <row r="232" spans="2:11" x14ac:dyDescent="0.25">
      <c r="B232" s="19"/>
      <c r="C232" s="19"/>
      <c r="D232" s="19"/>
      <c r="E232" s="19"/>
      <c r="F232" s="19"/>
      <c r="G232" s="19"/>
      <c r="H232" s="35"/>
      <c r="I232" s="32"/>
      <c r="J232" s="19"/>
      <c r="K232" s="19"/>
    </row>
    <row r="233" spans="2:11" x14ac:dyDescent="0.25">
      <c r="B233" s="19"/>
      <c r="C233" s="19"/>
      <c r="D233" s="19"/>
      <c r="E233" s="19"/>
      <c r="F233" s="19"/>
      <c r="G233" s="19"/>
      <c r="H233" s="35"/>
      <c r="I233" s="32"/>
      <c r="J233" s="19"/>
      <c r="K233" s="19"/>
    </row>
    <row r="234" spans="2:11" x14ac:dyDescent="0.25">
      <c r="B234" s="19"/>
      <c r="C234" s="19"/>
      <c r="D234" s="19"/>
      <c r="E234" s="19"/>
      <c r="F234" s="19"/>
      <c r="G234" s="19"/>
      <c r="H234" s="35"/>
      <c r="I234" s="32"/>
      <c r="J234" s="19"/>
      <c r="K234" s="19"/>
    </row>
    <row r="235" spans="2:11" x14ac:dyDescent="0.25">
      <c r="B235" s="19"/>
      <c r="C235" s="19"/>
      <c r="D235" s="19"/>
      <c r="E235" s="19"/>
      <c r="F235" s="19"/>
      <c r="G235" s="19"/>
      <c r="H235" s="35"/>
      <c r="I235" s="32"/>
      <c r="J235" s="19"/>
      <c r="K235" s="19"/>
    </row>
    <row r="236" spans="2:11" x14ac:dyDescent="0.25">
      <c r="B236" s="19"/>
      <c r="C236" s="19"/>
      <c r="D236" s="19"/>
      <c r="E236" s="19"/>
      <c r="F236" s="19"/>
      <c r="G236" s="19"/>
      <c r="H236" s="35"/>
      <c r="I236" s="32"/>
      <c r="J236" s="19"/>
      <c r="K236" s="19"/>
    </row>
    <row r="237" spans="2:11" x14ac:dyDescent="0.25">
      <c r="B237" s="19"/>
      <c r="C237" s="19"/>
      <c r="D237" s="19"/>
      <c r="E237" s="19"/>
      <c r="F237" s="19"/>
      <c r="G237" s="19"/>
      <c r="H237" s="35"/>
      <c r="I237" s="32"/>
      <c r="J237" s="19"/>
      <c r="K237" s="19"/>
    </row>
    <row r="238" spans="2:11" x14ac:dyDescent="0.25">
      <c r="B238" s="19"/>
      <c r="C238" s="19"/>
      <c r="D238" s="19"/>
      <c r="E238" s="19"/>
      <c r="F238" s="19"/>
      <c r="G238" s="19"/>
      <c r="H238" s="35"/>
      <c r="I238" s="32"/>
      <c r="J238" s="19"/>
      <c r="K238" s="19"/>
    </row>
    <row r="239" spans="2:11" x14ac:dyDescent="0.25">
      <c r="B239" s="19"/>
      <c r="C239" s="19"/>
      <c r="D239" s="19"/>
      <c r="E239" s="19"/>
      <c r="F239" s="19"/>
      <c r="G239" s="19"/>
      <c r="H239" s="35"/>
      <c r="I239" s="32"/>
      <c r="J239" s="19"/>
      <c r="K239" s="19"/>
    </row>
    <row r="240" spans="2:11" x14ac:dyDescent="0.25">
      <c r="B240" s="19"/>
      <c r="C240" s="19"/>
      <c r="D240" s="19"/>
      <c r="E240" s="19"/>
      <c r="F240" s="19"/>
      <c r="G240" s="19"/>
      <c r="H240" s="35"/>
      <c r="I240" s="32"/>
      <c r="J240" s="19"/>
      <c r="K240" s="19"/>
    </row>
    <row r="241" spans="2:11" x14ac:dyDescent="0.25">
      <c r="B241" s="19"/>
      <c r="C241" s="19"/>
      <c r="D241" s="19"/>
      <c r="E241" s="19"/>
      <c r="F241" s="19"/>
      <c r="G241" s="19"/>
      <c r="H241" s="35"/>
      <c r="I241" s="32"/>
      <c r="J241" s="19"/>
      <c r="K241" s="19"/>
    </row>
    <row r="242" spans="2:11" x14ac:dyDescent="0.25">
      <c r="B242" s="19"/>
      <c r="C242" s="19"/>
      <c r="D242" s="19"/>
      <c r="E242" s="19"/>
      <c r="F242" s="19"/>
      <c r="G242" s="19"/>
      <c r="H242" s="35"/>
      <c r="I242" s="32"/>
      <c r="J242" s="19"/>
      <c r="K242" s="19"/>
    </row>
    <row r="243" spans="2:11" x14ac:dyDescent="0.25">
      <c r="B243" s="19"/>
      <c r="C243" s="19"/>
      <c r="D243" s="19"/>
      <c r="E243" s="19"/>
      <c r="F243" s="19"/>
      <c r="G243" s="19"/>
      <c r="H243" s="35"/>
      <c r="I243" s="32"/>
      <c r="J243" s="19"/>
      <c r="K243" s="19"/>
    </row>
    <row r="244" spans="2:11" x14ac:dyDescent="0.25">
      <c r="B244" s="19"/>
      <c r="C244" s="19"/>
      <c r="D244" s="19"/>
      <c r="E244" s="19"/>
      <c r="F244" s="19"/>
      <c r="G244" s="19"/>
      <c r="H244" s="35"/>
      <c r="I244" s="32"/>
      <c r="J244" s="19"/>
      <c r="K244" s="19"/>
    </row>
    <row r="245" spans="2:11" x14ac:dyDescent="0.25">
      <c r="B245" s="19"/>
      <c r="C245" s="19"/>
      <c r="D245" s="19"/>
      <c r="E245" s="19"/>
      <c r="F245" s="19"/>
      <c r="G245" s="19"/>
      <c r="H245" s="35"/>
      <c r="I245" s="32"/>
      <c r="J245" s="19"/>
      <c r="K245" s="19"/>
    </row>
    <row r="246" spans="2:11" x14ac:dyDescent="0.25">
      <c r="B246" s="19"/>
      <c r="C246" s="19"/>
      <c r="D246" s="19"/>
      <c r="E246" s="19"/>
      <c r="F246" s="19"/>
      <c r="G246" s="19"/>
      <c r="H246" s="35"/>
      <c r="I246" s="32"/>
      <c r="J246" s="19"/>
      <c r="K246" s="19"/>
    </row>
    <row r="247" spans="2:11" x14ac:dyDescent="0.25">
      <c r="B247" s="19"/>
      <c r="C247" s="19"/>
      <c r="D247" s="19"/>
      <c r="E247" s="19"/>
      <c r="F247" s="19"/>
      <c r="G247" s="19"/>
      <c r="H247" s="35"/>
      <c r="I247" s="32"/>
      <c r="J247" s="19"/>
      <c r="K247" s="19"/>
    </row>
    <row r="248" spans="2:11" x14ac:dyDescent="0.25">
      <c r="B248" s="19"/>
      <c r="C248" s="19"/>
      <c r="D248" s="19"/>
      <c r="E248" s="19"/>
      <c r="F248" s="19"/>
      <c r="G248" s="19"/>
      <c r="H248" s="35"/>
      <c r="I248" s="32"/>
      <c r="J248" s="19"/>
      <c r="K248" s="19"/>
    </row>
    <row r="249" spans="2:11" x14ac:dyDescent="0.25">
      <c r="B249" s="19"/>
      <c r="C249" s="19"/>
      <c r="D249" s="19"/>
      <c r="E249" s="19"/>
      <c r="F249" s="19"/>
      <c r="G249" s="19"/>
      <c r="H249" s="35"/>
      <c r="I249" s="32"/>
      <c r="J249" s="19"/>
      <c r="K249" s="19"/>
    </row>
    <row r="250" spans="2:11" x14ac:dyDescent="0.25">
      <c r="B250" s="19"/>
      <c r="C250" s="19"/>
      <c r="D250" s="19"/>
      <c r="E250" s="19"/>
      <c r="F250" s="19"/>
      <c r="G250" s="19"/>
      <c r="H250" s="35"/>
      <c r="I250" s="32"/>
      <c r="J250" s="19"/>
      <c r="K250" s="19"/>
    </row>
    <row r="251" spans="2:11" x14ac:dyDescent="0.25">
      <c r="B251" s="19"/>
      <c r="C251" s="19"/>
      <c r="D251" s="19"/>
      <c r="E251" s="19"/>
      <c r="F251" s="19"/>
      <c r="G251" s="19"/>
      <c r="H251" s="35"/>
      <c r="I251" s="32"/>
      <c r="J251" s="19"/>
      <c r="K251" s="19"/>
    </row>
    <row r="252" spans="2:11" x14ac:dyDescent="0.25">
      <c r="B252" s="19"/>
      <c r="C252" s="19"/>
      <c r="D252" s="19"/>
      <c r="E252" s="19"/>
      <c r="F252" s="19"/>
      <c r="G252" s="19"/>
      <c r="H252" s="35"/>
      <c r="I252" s="32"/>
      <c r="J252" s="19"/>
      <c r="K252" s="19"/>
    </row>
    <row r="253" spans="2:11" x14ac:dyDescent="0.25">
      <c r="B253" s="19"/>
      <c r="C253" s="19"/>
      <c r="D253" s="19"/>
      <c r="E253" s="19"/>
      <c r="F253" s="19"/>
      <c r="G253" s="19"/>
      <c r="H253" s="35"/>
      <c r="I253" s="32"/>
      <c r="J253" s="19"/>
      <c r="K253" s="19"/>
    </row>
    <row r="254" spans="2:11" x14ac:dyDescent="0.25">
      <c r="B254" s="19"/>
      <c r="C254" s="19"/>
      <c r="D254" s="19"/>
      <c r="E254" s="19"/>
      <c r="F254" s="19"/>
      <c r="G254" s="19"/>
      <c r="H254" s="35"/>
      <c r="I254" s="32"/>
      <c r="J254" s="19"/>
      <c r="K254" s="19"/>
    </row>
    <row r="255" spans="2:11" x14ac:dyDescent="0.25">
      <c r="B255" s="19"/>
      <c r="C255" s="19"/>
      <c r="D255" s="19"/>
      <c r="E255" s="19"/>
      <c r="F255" s="19"/>
      <c r="G255" s="19"/>
      <c r="H255" s="35"/>
      <c r="I255" s="32"/>
      <c r="J255" s="19"/>
      <c r="K255" s="19"/>
    </row>
    <row r="256" spans="2:11" x14ac:dyDescent="0.25">
      <c r="B256" s="19"/>
      <c r="C256" s="19"/>
      <c r="D256" s="19"/>
      <c r="E256" s="19"/>
      <c r="F256" s="19"/>
      <c r="G256" s="19"/>
      <c r="H256" s="35"/>
      <c r="I256" s="32"/>
      <c r="J256" s="19"/>
      <c r="K256" s="19"/>
    </row>
    <row r="257" spans="2:11" x14ac:dyDescent="0.25">
      <c r="B257" s="19"/>
      <c r="C257" s="19"/>
      <c r="D257" s="19"/>
      <c r="E257" s="19"/>
      <c r="F257" s="19"/>
      <c r="G257" s="19"/>
      <c r="H257" s="35"/>
      <c r="I257" s="32"/>
      <c r="J257" s="19"/>
      <c r="K257" s="19"/>
    </row>
    <row r="258" spans="2:11" x14ac:dyDescent="0.25">
      <c r="B258" s="19"/>
      <c r="C258" s="19"/>
      <c r="D258" s="19"/>
      <c r="E258" s="19"/>
      <c r="F258" s="19"/>
      <c r="G258" s="19"/>
      <c r="H258" s="35"/>
      <c r="I258" s="32"/>
      <c r="J258" s="19"/>
      <c r="K258" s="19"/>
    </row>
    <row r="259" spans="2:11" x14ac:dyDescent="0.25">
      <c r="B259" s="19"/>
      <c r="C259" s="19"/>
      <c r="D259" s="19"/>
      <c r="E259" s="19"/>
      <c r="F259" s="19"/>
      <c r="G259" s="19"/>
      <c r="H259" s="35"/>
      <c r="I259" s="32"/>
      <c r="J259" s="19"/>
      <c r="K259" s="19"/>
    </row>
    <row r="260" spans="2:11" x14ac:dyDescent="0.25">
      <c r="B260" s="19"/>
      <c r="C260" s="19"/>
      <c r="D260" s="19"/>
      <c r="E260" s="19"/>
      <c r="F260" s="19"/>
      <c r="G260" s="19"/>
      <c r="H260" s="35"/>
      <c r="I260" s="32"/>
      <c r="J260" s="19"/>
      <c r="K260" s="19"/>
    </row>
    <row r="261" spans="2:11" x14ac:dyDescent="0.25">
      <c r="B261" s="19"/>
      <c r="C261" s="19"/>
      <c r="D261" s="19"/>
      <c r="E261" s="19"/>
      <c r="F261" s="19"/>
      <c r="G261" s="19"/>
      <c r="H261" s="35"/>
      <c r="I261" s="32"/>
      <c r="J261" s="19"/>
      <c r="K261" s="19"/>
    </row>
    <row r="262" spans="2:11" x14ac:dyDescent="0.25">
      <c r="B262" s="19"/>
      <c r="C262" s="19"/>
      <c r="D262" s="19"/>
      <c r="E262" s="19"/>
      <c r="F262" s="19"/>
      <c r="G262" s="19"/>
      <c r="H262" s="35"/>
      <c r="I262" s="32"/>
      <c r="J262" s="19"/>
      <c r="K262" s="19"/>
    </row>
    <row r="263" spans="2:11" x14ac:dyDescent="0.25">
      <c r="B263" s="19"/>
      <c r="C263" s="19"/>
      <c r="D263" s="19"/>
      <c r="E263" s="19"/>
      <c r="F263" s="19"/>
      <c r="G263" s="19"/>
      <c r="H263" s="35"/>
      <c r="I263" s="32"/>
      <c r="J263" s="19"/>
      <c r="K263" s="19"/>
    </row>
    <row r="264" spans="2:11" x14ac:dyDescent="0.25">
      <c r="B264" s="19"/>
      <c r="C264" s="19"/>
      <c r="D264" s="19"/>
      <c r="E264" s="19"/>
      <c r="F264" s="19"/>
      <c r="G264" s="19"/>
      <c r="H264" s="35"/>
      <c r="I264" s="32"/>
      <c r="J264" s="19"/>
      <c r="K264" s="19"/>
    </row>
    <row r="265" spans="2:11" x14ac:dyDescent="0.25">
      <c r="B265" s="19"/>
      <c r="C265" s="19"/>
      <c r="D265" s="19"/>
      <c r="E265" s="19"/>
      <c r="F265" s="19"/>
      <c r="G265" s="19"/>
      <c r="H265" s="35"/>
      <c r="I265" s="32"/>
      <c r="J265" s="19"/>
      <c r="K265" s="19"/>
    </row>
    <row r="266" spans="2:11" x14ac:dyDescent="0.25">
      <c r="B266" s="19"/>
      <c r="C266" s="19"/>
      <c r="D266" s="19"/>
      <c r="E266" s="19"/>
      <c r="F266" s="19"/>
      <c r="G266" s="19"/>
      <c r="H266" s="35"/>
      <c r="I266" s="32"/>
      <c r="J266" s="19"/>
      <c r="K266" s="19"/>
    </row>
    <row r="267" spans="2:11" x14ac:dyDescent="0.25">
      <c r="B267" s="19"/>
      <c r="C267" s="19"/>
      <c r="D267" s="19"/>
      <c r="E267" s="19"/>
      <c r="F267" s="19"/>
      <c r="G267" s="19"/>
      <c r="H267" s="35"/>
      <c r="I267" s="32"/>
      <c r="J267" s="19"/>
      <c r="K267" s="19"/>
    </row>
    <row r="268" spans="2:11" x14ac:dyDescent="0.25">
      <c r="B268" s="19"/>
      <c r="C268" s="19"/>
      <c r="D268" s="19"/>
      <c r="E268" s="19"/>
      <c r="F268" s="19"/>
      <c r="G268" s="19"/>
      <c r="H268" s="35"/>
      <c r="I268" s="32"/>
      <c r="J268" s="19"/>
      <c r="K268" s="19"/>
    </row>
    <row r="269" spans="2:11" x14ac:dyDescent="0.25">
      <c r="C269" s="19"/>
      <c r="D269" s="19"/>
      <c r="E269" s="19"/>
      <c r="F269" s="19"/>
      <c r="G269" s="19"/>
      <c r="H269" s="35"/>
      <c r="I269" s="32"/>
      <c r="J269" s="19"/>
      <c r="K269" s="19"/>
    </row>
    <row r="270" spans="2:11" x14ac:dyDescent="0.25">
      <c r="C270" s="19"/>
      <c r="D270" s="19"/>
      <c r="E270" s="19"/>
      <c r="F270" s="19"/>
      <c r="G270" s="19"/>
      <c r="H270" s="35"/>
      <c r="I270" s="32"/>
      <c r="J270" s="19"/>
      <c r="K270" s="19"/>
    </row>
    <row r="271" spans="2:11" x14ac:dyDescent="0.25">
      <c r="C271" s="19"/>
      <c r="D271" s="19"/>
      <c r="E271" s="19"/>
      <c r="F271" s="19"/>
      <c r="G271" s="19"/>
      <c r="H271" s="35"/>
      <c r="I271" s="32"/>
      <c r="J271" s="19"/>
      <c r="K271" s="19"/>
    </row>
  </sheetData>
  <mergeCells count="16">
    <mergeCell ref="E3:H3"/>
    <mergeCell ref="D1:K1"/>
    <mergeCell ref="B11:F11"/>
    <mergeCell ref="G20:K20"/>
    <mergeCell ref="B9:J9"/>
    <mergeCell ref="B10:F10"/>
    <mergeCell ref="B6:K6"/>
    <mergeCell ref="C7:F7"/>
    <mergeCell ref="C8:F8"/>
    <mergeCell ref="B1:C5"/>
    <mergeCell ref="D2:K2"/>
    <mergeCell ref="J3:K3"/>
    <mergeCell ref="E4:F4"/>
    <mergeCell ref="J4:K4"/>
    <mergeCell ref="E5:F5"/>
    <mergeCell ref="J5:K5"/>
  </mergeCells>
  <printOptions horizontalCentered="1"/>
  <pageMargins left="0.27559055118110237" right="0.27559055118110237" top="0.39370078740157483" bottom="0.47244094488188981" header="0.31496062992125984" footer="0.23622047244094491"/>
  <pageSetup paperSize="9" scale="65" fitToHeight="0" orientation="landscape" horizontalDpi="0" verticalDpi="0" r:id="rId1"/>
  <headerFooter>
    <oddFooter>&amp;CTR CONSTRUTORA E ENGENHARIA LTDA - PLANILHA DE COTAÇÕES -  COMPLEXO ESCOLA ESPECIAL, BLOCO 03 - PARTE A - 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4F9C7CD32174A950E6F1C9200EDDE" ma:contentTypeVersion="4" ma:contentTypeDescription="Crie um novo documento." ma:contentTypeScope="" ma:versionID="b8c24572bb12478bf26b6e47dcc99950">
  <xsd:schema xmlns:xsd="http://www.w3.org/2001/XMLSchema" xmlns:xs="http://www.w3.org/2001/XMLSchema" xmlns:p="http://schemas.microsoft.com/office/2006/metadata/properties" xmlns:ns2="fb81a0b8-eecc-4ff0-8a10-415e27ed2cac" targetNamespace="http://schemas.microsoft.com/office/2006/metadata/properties" ma:root="true" ma:fieldsID="300afedde18d721b9627b9d1969cd098" ns2:_="">
    <xsd:import namespace="fb81a0b8-eecc-4ff0-8a10-415e27ed2c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81a0b8-eecc-4ff0-8a10-415e27ed2c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3E5500-9B66-464F-AD0E-E44E2F2AE230}"/>
</file>

<file path=customXml/itemProps2.xml><?xml version="1.0" encoding="utf-8"?>
<ds:datastoreItem xmlns:ds="http://schemas.openxmlformats.org/officeDocument/2006/customXml" ds:itemID="{ABF42A29-4552-495B-AAD9-16EC110D99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8</vt:i4>
      </vt:variant>
    </vt:vector>
  </HeadingPairs>
  <TitlesOfParts>
    <vt:vector size="12" baseType="lpstr">
      <vt:lpstr>Orçamento</vt:lpstr>
      <vt:lpstr>Cronograma</vt:lpstr>
      <vt:lpstr>COMPOSIÇÕES </vt:lpstr>
      <vt:lpstr>COTAÇÕES</vt:lpstr>
      <vt:lpstr>'COMPOSIÇÕES '!Area_de_impressao</vt:lpstr>
      <vt:lpstr>COTAÇÕES!Area_de_impressao</vt:lpstr>
      <vt:lpstr>Cronograma!Area_de_impressao</vt:lpstr>
      <vt:lpstr>Orçamento!Area_de_impressao</vt:lpstr>
      <vt:lpstr>'COMPOSIÇÕES '!Titulos_de_impressao</vt:lpstr>
      <vt:lpstr>COTAÇÕES!Titulos_de_impressao</vt:lpstr>
      <vt:lpstr>Cronograma!Titulos_de_impressao</vt:lpstr>
      <vt:lpstr>Orçamento!Titulos_de_impressao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Marcio</dc:creator>
  <cp:lastModifiedBy>User</cp:lastModifiedBy>
  <cp:lastPrinted>2024-03-12T22:34:46Z</cp:lastPrinted>
  <dcterms:created xsi:type="dcterms:W3CDTF">2008-12-13T22:55:29Z</dcterms:created>
  <dcterms:modified xsi:type="dcterms:W3CDTF">2024-03-12T22:34:51Z</dcterms:modified>
</cp:coreProperties>
</file>