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Usuario.LAPTOP-FRDQ93NJ\Desktop\Orçamentos e Cronogramas - Complexo ESCOLA ESPECIAL\i. Orçamento BLOCO 01 (Sede AMA)\"/>
    </mc:Choice>
  </mc:AlternateContent>
  <bookViews>
    <workbookView xWindow="0" yWindow="0" windowWidth="28800" windowHeight="12330" tabRatio="626" activeTab="2"/>
  </bookViews>
  <sheets>
    <sheet name="Orçamento" sheetId="23" r:id="rId1"/>
    <sheet name="Cronograma" sheetId="26" r:id="rId2"/>
    <sheet name="COMPOSIÇÕES " sheetId="28" r:id="rId3"/>
  </sheets>
  <externalReferences>
    <externalReference r:id="rId4"/>
  </externalReferences>
  <definedNames>
    <definedName name="_4.1.4" localSheetId="1">#REF!</definedName>
    <definedName name="_4.1.4">#REF!</definedName>
    <definedName name="_TOT20" localSheetId="1">[1]Indiretas!#REF!</definedName>
    <definedName name="_TOT20">[1]Indiretas!#REF!</definedName>
    <definedName name="_xlnm.Print_Area" localSheetId="2">'COMPOSIÇÕES '!$A$1:$L$113</definedName>
    <definedName name="_xlnm.Print_Area" localSheetId="1">Cronograma!$B$1:$T$41</definedName>
    <definedName name="_xlnm.Print_Area" localSheetId="0">Orçamento!$B$1:$L$209</definedName>
    <definedName name="CD" localSheetId="1">#REF!</definedName>
    <definedName name="CD">#REF!</definedName>
    <definedName name="CI" localSheetId="1">#REF!</definedName>
    <definedName name="CI">#REF!</definedName>
    <definedName name="PV" localSheetId="1">#REF!</definedName>
    <definedName name="PV">#REF!</definedName>
    <definedName name="PVA" localSheetId="1">#REF!</definedName>
    <definedName name="PVA">#REF!</definedName>
    <definedName name="STI" localSheetId="1">#REF!</definedName>
    <definedName name="STI">#REF!</definedName>
    <definedName name="_xlnm.Print_Titles" localSheetId="2">'COMPOSIÇÕES '!$1:$7</definedName>
    <definedName name="_xlnm.Print_Titles" localSheetId="1">Cronograma!$1:$8</definedName>
    <definedName name="_xlnm.Print_Titles" localSheetId="0">Orçamento!$1:$7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1" i="23" l="1"/>
  <c r="L111" i="23" s="1"/>
  <c r="C27" i="26" l="1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K168" i="23" l="1"/>
  <c r="K167" i="23" l="1"/>
  <c r="L167" i="23" s="1"/>
  <c r="E5" i="26" l="1"/>
  <c r="K191" i="23" l="1"/>
  <c r="L191" i="23" s="1"/>
  <c r="K192" i="23"/>
  <c r="L192" i="23" s="1"/>
  <c r="K190" i="23" l="1"/>
  <c r="L190" i="23" s="1"/>
  <c r="K189" i="23"/>
  <c r="L189" i="23" s="1"/>
  <c r="K186" i="23"/>
  <c r="L186" i="23" s="1"/>
  <c r="I185" i="23"/>
  <c r="I184" i="23"/>
  <c r="K185" i="23"/>
  <c r="K184" i="23"/>
  <c r="K122" i="23"/>
  <c r="L122" i="23" s="1"/>
  <c r="K121" i="23"/>
  <c r="L121" i="23" s="1"/>
  <c r="L193" i="23" l="1"/>
  <c r="G26" i="26" s="1"/>
  <c r="L185" i="23"/>
  <c r="L184" i="23"/>
  <c r="T26" i="26" l="1"/>
  <c r="K183" i="23"/>
  <c r="L183" i="23" s="1"/>
  <c r="L187" i="23" s="1"/>
  <c r="G25" i="26" s="1"/>
  <c r="K166" i="23"/>
  <c r="I166" i="23"/>
  <c r="R25" i="26" l="1"/>
  <c r="L166" i="23"/>
  <c r="K161" i="23"/>
  <c r="K160" i="23"/>
  <c r="I158" i="23"/>
  <c r="I160" i="23" s="1"/>
  <c r="K165" i="23"/>
  <c r="K164" i="23"/>
  <c r="K163" i="23"/>
  <c r="K162" i="23"/>
  <c r="I162" i="23" l="1"/>
  <c r="L162" i="23" s="1"/>
  <c r="I164" i="23"/>
  <c r="I163" i="23" s="1"/>
  <c r="L163" i="23" s="1"/>
  <c r="I165" i="23"/>
  <c r="I159" i="23"/>
  <c r="I168" i="23" s="1"/>
  <c r="L168" i="23" s="1"/>
  <c r="I161" i="23"/>
  <c r="L161" i="23" s="1"/>
  <c r="L160" i="23"/>
  <c r="K158" i="23"/>
  <c r="L158" i="23" s="1"/>
  <c r="K159" i="23"/>
  <c r="L164" i="23" l="1"/>
  <c r="L165" i="23"/>
  <c r="L159" i="23"/>
  <c r="I101" i="28"/>
  <c r="K103" i="28"/>
  <c r="L103" i="28" s="1"/>
  <c r="K102" i="28"/>
  <c r="L102" i="28" s="1"/>
  <c r="K101" i="28"/>
  <c r="K100" i="28"/>
  <c r="L100" i="28" s="1"/>
  <c r="K178" i="23"/>
  <c r="K177" i="23"/>
  <c r="I176" i="23"/>
  <c r="I177" i="23" s="1"/>
  <c r="K176" i="23"/>
  <c r="K175" i="23"/>
  <c r="L175" i="23" s="1"/>
  <c r="I174" i="23"/>
  <c r="K174" i="23"/>
  <c r="K173" i="23"/>
  <c r="I173" i="23"/>
  <c r="I171" i="23"/>
  <c r="I172" i="23" s="1"/>
  <c r="K172" i="23"/>
  <c r="L169" i="23" l="1"/>
  <c r="L101" i="28"/>
  <c r="L104" i="28" s="1"/>
  <c r="J179" i="23" s="1"/>
  <c r="K179" i="23" s="1"/>
  <c r="L179" i="23" s="1"/>
  <c r="L173" i="23"/>
  <c r="L172" i="23"/>
  <c r="L177" i="23"/>
  <c r="I178" i="23"/>
  <c r="L178" i="23" s="1"/>
  <c r="L174" i="23"/>
  <c r="L176" i="23"/>
  <c r="K171" i="23"/>
  <c r="L171" i="23" s="1"/>
  <c r="L180" i="23" l="1"/>
  <c r="K102" i="23"/>
  <c r="L102" i="23" s="1"/>
  <c r="I16" i="23"/>
  <c r="K16" i="23"/>
  <c r="L181" i="23" l="1"/>
  <c r="L16" i="23"/>
  <c r="K53" i="23"/>
  <c r="L53" i="23" s="1"/>
  <c r="K52" i="23"/>
  <c r="I48" i="23"/>
  <c r="K46" i="23"/>
  <c r="L46" i="23" s="1"/>
  <c r="I44" i="23"/>
  <c r="I41" i="23"/>
  <c r="I37" i="23"/>
  <c r="K40" i="23"/>
  <c r="L40" i="23" s="1"/>
  <c r="K39" i="23"/>
  <c r="L39" i="23" s="1"/>
  <c r="K38" i="23"/>
  <c r="L38" i="23" s="1"/>
  <c r="I30" i="23"/>
  <c r="K28" i="23"/>
  <c r="L28" i="23" s="1"/>
  <c r="I26" i="23"/>
  <c r="I25" i="23"/>
  <c r="I31" i="23" s="1"/>
  <c r="I24" i="23"/>
  <c r="I32" i="23" s="1"/>
  <c r="I20" i="23"/>
  <c r="I18" i="23"/>
  <c r="I17" i="23"/>
  <c r="I14" i="23"/>
  <c r="I21" i="23" s="1"/>
  <c r="I15" i="23" l="1"/>
  <c r="I126" i="23" l="1"/>
  <c r="I119" i="23"/>
  <c r="K115" i="23" l="1"/>
  <c r="L115" i="23" s="1"/>
  <c r="K112" i="23" l="1"/>
  <c r="L112" i="23" s="1"/>
  <c r="I110" i="23" l="1"/>
  <c r="I109" i="23"/>
  <c r="I97" i="23"/>
  <c r="I94" i="23"/>
  <c r="K94" i="23"/>
  <c r="I86" i="23"/>
  <c r="I87" i="23" s="1"/>
  <c r="K79" i="23"/>
  <c r="L79" i="23" s="1"/>
  <c r="L94" i="23" l="1"/>
  <c r="I80" i="23" l="1"/>
  <c r="I60" i="23"/>
  <c r="I51" i="23"/>
  <c r="I52" i="23" l="1"/>
  <c r="L52" i="23" s="1"/>
  <c r="I54" i="23"/>
  <c r="I59" i="23"/>
  <c r="I58" i="23"/>
  <c r="I84" i="23" s="1"/>
  <c r="I85" i="23" s="1"/>
  <c r="I90" i="23" s="1"/>
  <c r="I10" i="23"/>
  <c r="I77" i="23" l="1"/>
  <c r="I76" i="23"/>
  <c r="I75" i="23"/>
  <c r="I74" i="23"/>
  <c r="I73" i="23"/>
  <c r="I68" i="23"/>
  <c r="I69" i="23" s="1"/>
  <c r="I67" i="23"/>
  <c r="I66" i="23"/>
  <c r="I64" i="23"/>
  <c r="I65" i="23" s="1"/>
  <c r="K195" i="23"/>
  <c r="L195" i="23" s="1"/>
  <c r="L196" i="23" s="1"/>
  <c r="G27" i="26" l="1"/>
  <c r="I93" i="23"/>
  <c r="T27" i="26" l="1"/>
  <c r="I92" i="23"/>
  <c r="K146" i="23"/>
  <c r="L146" i="23" s="1"/>
  <c r="K147" i="23"/>
  <c r="L147" i="23" s="1"/>
  <c r="K148" i="23"/>
  <c r="L148" i="23" s="1"/>
  <c r="K149" i="23"/>
  <c r="L149" i="23" s="1"/>
  <c r="K150" i="23"/>
  <c r="L150" i="23" s="1"/>
  <c r="K151" i="23"/>
  <c r="L151" i="23" s="1"/>
  <c r="K152" i="23"/>
  <c r="L152" i="23" s="1"/>
  <c r="K153" i="23"/>
  <c r="L153" i="23" s="1"/>
  <c r="K154" i="23"/>
  <c r="L154" i="23" s="1"/>
  <c r="K139" i="23"/>
  <c r="L139" i="23" s="1"/>
  <c r="L155" i="23" l="1"/>
  <c r="G24" i="26"/>
  <c r="I95" i="28"/>
  <c r="I94" i="28"/>
  <c r="K97" i="28"/>
  <c r="L97" i="28" s="1"/>
  <c r="K96" i="28"/>
  <c r="L96" i="28" s="1"/>
  <c r="K95" i="28"/>
  <c r="L95" i="28" s="1"/>
  <c r="K94" i="28"/>
  <c r="I89" i="28"/>
  <c r="I88" i="28"/>
  <c r="K91" i="28"/>
  <c r="L91" i="28" s="1"/>
  <c r="K90" i="28"/>
  <c r="L90" i="28" s="1"/>
  <c r="K89" i="28"/>
  <c r="L89" i="28" s="1"/>
  <c r="K88" i="28"/>
  <c r="I82" i="28"/>
  <c r="K85" i="28"/>
  <c r="L85" i="28" s="1"/>
  <c r="K84" i="28"/>
  <c r="L84" i="28" s="1"/>
  <c r="K83" i="28"/>
  <c r="I83" i="28"/>
  <c r="K82" i="28"/>
  <c r="K79" i="28"/>
  <c r="L79" i="28" s="1"/>
  <c r="K76" i="28"/>
  <c r="I76" i="28"/>
  <c r="I77" i="28"/>
  <c r="K78" i="28"/>
  <c r="L78" i="28" s="1"/>
  <c r="K77" i="28"/>
  <c r="T24" i="26" l="1"/>
  <c r="G23" i="26"/>
  <c r="L77" i="28"/>
  <c r="L76" i="28"/>
  <c r="L80" i="28" s="1"/>
  <c r="J142" i="23" s="1"/>
  <c r="K142" i="23" s="1"/>
  <c r="L142" i="23" s="1"/>
  <c r="L83" i="28"/>
  <c r="L94" i="28"/>
  <c r="L98" i="28" s="1"/>
  <c r="L88" i="28"/>
  <c r="L92" i="28" s="1"/>
  <c r="L82" i="28"/>
  <c r="K73" i="28"/>
  <c r="L73" i="28" s="1"/>
  <c r="K72" i="28"/>
  <c r="L72" i="28" s="1"/>
  <c r="I69" i="28"/>
  <c r="K71" i="28"/>
  <c r="L71" i="28" s="1"/>
  <c r="K70" i="28"/>
  <c r="L70" i="28" s="1"/>
  <c r="K69" i="28"/>
  <c r="K68" i="28"/>
  <c r="I68" i="28"/>
  <c r="K65" i="28"/>
  <c r="L65" i="28" s="1"/>
  <c r="L66" i="28" s="1"/>
  <c r="J141" i="23" s="1"/>
  <c r="K141" i="23" s="1"/>
  <c r="L141" i="23" s="1"/>
  <c r="I62" i="28"/>
  <c r="K62" i="28"/>
  <c r="K59" i="28"/>
  <c r="I59" i="28"/>
  <c r="I54" i="28"/>
  <c r="I52" i="28"/>
  <c r="I48" i="28"/>
  <c r="I47" i="28"/>
  <c r="I46" i="28"/>
  <c r="I41" i="28"/>
  <c r="I28" i="28"/>
  <c r="I39" i="28"/>
  <c r="I35" i="28"/>
  <c r="I34" i="28"/>
  <c r="I33" i="28"/>
  <c r="I26" i="28"/>
  <c r="I22" i="28"/>
  <c r="I21" i="28"/>
  <c r="I20" i="28"/>
  <c r="K56" i="28"/>
  <c r="L56" i="28" s="1"/>
  <c r="K55" i="28"/>
  <c r="L55" i="28" s="1"/>
  <c r="K54" i="28"/>
  <c r="K53" i="28"/>
  <c r="L53" i="28" s="1"/>
  <c r="K52" i="28"/>
  <c r="K51" i="28"/>
  <c r="L51" i="28" s="1"/>
  <c r="K50" i="28"/>
  <c r="L50" i="28" s="1"/>
  <c r="K49" i="28"/>
  <c r="L49" i="28" s="1"/>
  <c r="K48" i="28"/>
  <c r="K47" i="28"/>
  <c r="K46" i="28"/>
  <c r="K43" i="28"/>
  <c r="L43" i="28" s="1"/>
  <c r="K42" i="28"/>
  <c r="L42" i="28" s="1"/>
  <c r="K41" i="28"/>
  <c r="K40" i="28"/>
  <c r="L40" i="28" s="1"/>
  <c r="K39" i="28"/>
  <c r="K38" i="28"/>
  <c r="L38" i="28" s="1"/>
  <c r="K37" i="28"/>
  <c r="L37" i="28" s="1"/>
  <c r="K36" i="28"/>
  <c r="L36" i="28" s="1"/>
  <c r="K35" i="28"/>
  <c r="K34" i="28"/>
  <c r="K33" i="28"/>
  <c r="K21" i="28"/>
  <c r="K22" i="28"/>
  <c r="K23" i="28"/>
  <c r="L23" i="28" s="1"/>
  <c r="K24" i="28"/>
  <c r="L24" i="28" s="1"/>
  <c r="K25" i="28"/>
  <c r="L25" i="28" s="1"/>
  <c r="K26" i="28"/>
  <c r="K27" i="28"/>
  <c r="L27" i="28" s="1"/>
  <c r="K28" i="28"/>
  <c r="K29" i="28"/>
  <c r="L29" i="28" s="1"/>
  <c r="K30" i="28"/>
  <c r="L30" i="28" s="1"/>
  <c r="K20" i="28"/>
  <c r="L86" i="28" l="1"/>
  <c r="J143" i="23" s="1"/>
  <c r="K143" i="23" s="1"/>
  <c r="L143" i="23" s="1"/>
  <c r="T23" i="26"/>
  <c r="L48" i="28"/>
  <c r="L41" i="28"/>
  <c r="L52" i="28"/>
  <c r="L47" i="28"/>
  <c r="L39" i="28"/>
  <c r="L22" i="28"/>
  <c r="L35" i="28"/>
  <c r="L46" i="28"/>
  <c r="L62" i="28"/>
  <c r="L63" i="28" s="1"/>
  <c r="J138" i="23" s="1"/>
  <c r="K138" i="23" s="1"/>
  <c r="L138" i="23" s="1"/>
  <c r="L28" i="28"/>
  <c r="L26" i="28"/>
  <c r="L20" i="28"/>
  <c r="L54" i="28"/>
  <c r="L68" i="28"/>
  <c r="L21" i="28"/>
  <c r="L33" i="28"/>
  <c r="L59" i="28"/>
  <c r="L60" i="28" s="1"/>
  <c r="L69" i="28"/>
  <c r="L34" i="28"/>
  <c r="K132" i="23"/>
  <c r="L132" i="23" s="1"/>
  <c r="K133" i="23"/>
  <c r="L133" i="23" s="1"/>
  <c r="K131" i="23"/>
  <c r="L131" i="23" s="1"/>
  <c r="K70" i="23"/>
  <c r="L70" i="23" s="1"/>
  <c r="K119" i="23"/>
  <c r="L119" i="23" s="1"/>
  <c r="K120" i="23"/>
  <c r="L120" i="23" s="1"/>
  <c r="K123" i="23"/>
  <c r="L123" i="23" s="1"/>
  <c r="K124" i="23"/>
  <c r="L124" i="23" s="1"/>
  <c r="K125" i="23"/>
  <c r="L125" i="23" s="1"/>
  <c r="K126" i="23"/>
  <c r="L126" i="23" s="1"/>
  <c r="K127" i="23"/>
  <c r="L127" i="23" s="1"/>
  <c r="K128" i="23"/>
  <c r="L128" i="23" s="1"/>
  <c r="K69" i="23"/>
  <c r="L69" i="23" s="1"/>
  <c r="K68" i="23"/>
  <c r="L68" i="23" s="1"/>
  <c r="K67" i="23"/>
  <c r="L67" i="23" s="1"/>
  <c r="K101" i="23"/>
  <c r="L101" i="23" s="1"/>
  <c r="K103" i="23"/>
  <c r="L103" i="23" s="1"/>
  <c r="K104" i="23"/>
  <c r="L104" i="23" s="1"/>
  <c r="K105" i="23"/>
  <c r="L105" i="23" s="1"/>
  <c r="K106" i="23"/>
  <c r="L106" i="23" s="1"/>
  <c r="K107" i="23"/>
  <c r="L107" i="23" s="1"/>
  <c r="K108" i="23"/>
  <c r="L108" i="23" s="1"/>
  <c r="K109" i="23"/>
  <c r="L109" i="23" s="1"/>
  <c r="K110" i="23"/>
  <c r="L110" i="23" s="1"/>
  <c r="K113" i="23"/>
  <c r="L113" i="23" s="1"/>
  <c r="K114" i="23"/>
  <c r="L114" i="23" s="1"/>
  <c r="K116" i="23"/>
  <c r="L116" i="23" s="1"/>
  <c r="L117" i="23" l="1"/>
  <c r="G19" i="26" s="1"/>
  <c r="L129" i="23"/>
  <c r="G20" i="26" s="1"/>
  <c r="L134" i="23"/>
  <c r="G21" i="26" s="1"/>
  <c r="L57" i="28"/>
  <c r="L44" i="28"/>
  <c r="J137" i="23" s="1"/>
  <c r="K137" i="23" s="1"/>
  <c r="L137" i="23" s="1"/>
  <c r="L31" i="28"/>
  <c r="J136" i="23" s="1"/>
  <c r="K136" i="23" s="1"/>
  <c r="L136" i="23" s="1"/>
  <c r="L74" i="28"/>
  <c r="J140" i="23" s="1"/>
  <c r="K140" i="23" s="1"/>
  <c r="L140" i="23" s="1"/>
  <c r="K98" i="23"/>
  <c r="L98" i="23" s="1"/>
  <c r="K97" i="23"/>
  <c r="L97" i="23" s="1"/>
  <c r="K91" i="23"/>
  <c r="L91" i="23" s="1"/>
  <c r="K92" i="23"/>
  <c r="L92" i="23" s="1"/>
  <c r="K93" i="23"/>
  <c r="L93" i="23" s="1"/>
  <c r="K90" i="23"/>
  <c r="L90" i="23" s="1"/>
  <c r="K83" i="23"/>
  <c r="L83" i="23" s="1"/>
  <c r="K84" i="23"/>
  <c r="L84" i="23" s="1"/>
  <c r="K85" i="23"/>
  <c r="L85" i="23" s="1"/>
  <c r="K86" i="23"/>
  <c r="L86" i="23" s="1"/>
  <c r="K87" i="23"/>
  <c r="L87" i="23" s="1"/>
  <c r="K80" i="23"/>
  <c r="L80" i="23" s="1"/>
  <c r="K78" i="23"/>
  <c r="L78" i="23" s="1"/>
  <c r="K77" i="23"/>
  <c r="L77" i="23" s="1"/>
  <c r="K76" i="23"/>
  <c r="L76" i="23" s="1"/>
  <c r="K75" i="23"/>
  <c r="L75" i="23" s="1"/>
  <c r="K74" i="23"/>
  <c r="L74" i="23" s="1"/>
  <c r="K73" i="23"/>
  <c r="L73" i="23" s="1"/>
  <c r="K66" i="23"/>
  <c r="L66" i="23" s="1"/>
  <c r="K65" i="23"/>
  <c r="L65" i="23" s="1"/>
  <c r="K64" i="23"/>
  <c r="L64" i="23" s="1"/>
  <c r="K63" i="23"/>
  <c r="L63" i="23" s="1"/>
  <c r="K59" i="23"/>
  <c r="L59" i="23" s="1"/>
  <c r="K60" i="23"/>
  <c r="L60" i="23" s="1"/>
  <c r="K58" i="23"/>
  <c r="L58" i="23" s="1"/>
  <c r="K51" i="23"/>
  <c r="L51" i="23" s="1"/>
  <c r="K54" i="23"/>
  <c r="L54" i="23" s="1"/>
  <c r="K48" i="23"/>
  <c r="L48" i="23" s="1"/>
  <c r="K47" i="23"/>
  <c r="L47" i="23" s="1"/>
  <c r="K45" i="23"/>
  <c r="L45" i="23" s="1"/>
  <c r="K44" i="23"/>
  <c r="L44" i="23" s="1"/>
  <c r="K41" i="23"/>
  <c r="L41" i="23" s="1"/>
  <c r="K37" i="23"/>
  <c r="L37" i="23" s="1"/>
  <c r="K14" i="28"/>
  <c r="L14" i="28" s="1"/>
  <c r="K15" i="28"/>
  <c r="L15" i="28" s="1"/>
  <c r="K16" i="28"/>
  <c r="L16" i="28" s="1"/>
  <c r="K17" i="28"/>
  <c r="L17" i="28" s="1"/>
  <c r="K13" i="28"/>
  <c r="L13" i="28" s="1"/>
  <c r="K12" i="28"/>
  <c r="L12" i="28" s="1"/>
  <c r="K11" i="28"/>
  <c r="L11" i="28" s="1"/>
  <c r="K10" i="28"/>
  <c r="L10" i="28" s="1"/>
  <c r="K9" i="28"/>
  <c r="L9" i="28" s="1"/>
  <c r="P21" i="26" l="1"/>
  <c r="R21" i="26"/>
  <c r="P20" i="26"/>
  <c r="R20" i="26"/>
  <c r="T19" i="26"/>
  <c r="R19" i="26"/>
  <c r="L88" i="23"/>
  <c r="G16" i="26" s="1"/>
  <c r="L55" i="23"/>
  <c r="L49" i="23"/>
  <c r="L42" i="23"/>
  <c r="L99" i="23"/>
  <c r="G18" i="26" s="1"/>
  <c r="L71" i="23"/>
  <c r="G14" i="26" s="1"/>
  <c r="L61" i="23"/>
  <c r="G13" i="26" s="1"/>
  <c r="L81" i="23"/>
  <c r="G15" i="26" s="1"/>
  <c r="L95" i="23"/>
  <c r="G17" i="26" s="1"/>
  <c r="L144" i="23"/>
  <c r="L18" i="28"/>
  <c r="K32" i="23"/>
  <c r="L32" i="23" s="1"/>
  <c r="K31" i="23"/>
  <c r="L31" i="23" s="1"/>
  <c r="K30" i="23"/>
  <c r="L30" i="23" s="1"/>
  <c r="K27" i="23"/>
  <c r="L27" i="23" s="1"/>
  <c r="K25" i="23"/>
  <c r="L25" i="23" s="1"/>
  <c r="K26" i="23"/>
  <c r="L26" i="23" s="1"/>
  <c r="K29" i="23"/>
  <c r="L29" i="23" s="1"/>
  <c r="K24" i="23"/>
  <c r="L24" i="23" s="1"/>
  <c r="R15" i="26" l="1"/>
  <c r="P15" i="26"/>
  <c r="N14" i="26"/>
  <c r="L13" i="26"/>
  <c r="R17" i="26"/>
  <c r="T17" i="26"/>
  <c r="S29" i="26" s="1"/>
  <c r="R18" i="26"/>
  <c r="P16" i="26"/>
  <c r="R16" i="26"/>
  <c r="L56" i="23"/>
  <c r="G12" i="26" s="1"/>
  <c r="G22" i="26"/>
  <c r="L33" i="23"/>
  <c r="K17" i="23"/>
  <c r="L17" i="23" s="1"/>
  <c r="K18" i="23"/>
  <c r="L18" i="23" s="1"/>
  <c r="K19" i="23"/>
  <c r="L19" i="23" s="1"/>
  <c r="K20" i="23"/>
  <c r="L20" i="23" s="1"/>
  <c r="K21" i="23"/>
  <c r="L21" i="23" s="1"/>
  <c r="K10" i="23"/>
  <c r="L10" i="23" s="1"/>
  <c r="L12" i="26" l="1"/>
  <c r="N12" i="26"/>
  <c r="R22" i="26"/>
  <c r="K14" i="23"/>
  <c r="K9" i="23" l="1"/>
  <c r="L9" i="23" s="1"/>
  <c r="L11" i="23" l="1"/>
  <c r="G10" i="26" s="1"/>
  <c r="J10" i="26" s="1"/>
  <c r="L14" i="23"/>
  <c r="K15" i="23" l="1"/>
  <c r="L15" i="23" l="1"/>
  <c r="L22" i="23" s="1"/>
  <c r="L197" i="23" s="1"/>
  <c r="L34" i="23" l="1"/>
  <c r="G11" i="26" s="1"/>
  <c r="K1" i="23"/>
  <c r="M29" i="26" l="1"/>
  <c r="J11" i="26"/>
  <c r="I29" i="26" s="1"/>
  <c r="K29" i="26"/>
  <c r="Q29" i="26"/>
  <c r="O29" i="26"/>
  <c r="G28" i="26"/>
  <c r="H11" i="26" l="1"/>
  <c r="Q30" i="26"/>
  <c r="O30" i="26"/>
  <c r="K31" i="26"/>
  <c r="M31" i="26" s="1"/>
  <c r="O31" i="26" s="1"/>
  <c r="Q31" i="26" s="1"/>
  <c r="S31" i="26" s="1"/>
  <c r="I30" i="26"/>
  <c r="I31" i="26"/>
  <c r="H19" i="26"/>
  <c r="H21" i="26"/>
  <c r="H22" i="26"/>
  <c r="H23" i="26"/>
  <c r="H25" i="26"/>
  <c r="H27" i="26"/>
  <c r="H26" i="26"/>
  <c r="H20" i="26"/>
  <c r="H24" i="26"/>
  <c r="S30" i="26"/>
  <c r="M30" i="26"/>
  <c r="H12" i="26"/>
  <c r="H15" i="26"/>
  <c r="H14" i="26"/>
  <c r="H18" i="26"/>
  <c r="H13" i="26"/>
  <c r="H17" i="26"/>
  <c r="H16" i="26"/>
  <c r="H10" i="26"/>
  <c r="K30" i="26"/>
  <c r="H28" i="26" l="1"/>
  <c r="K32" i="26"/>
  <c r="M32" i="26" s="1"/>
  <c r="O32" i="26" s="1"/>
  <c r="Q32" i="26" s="1"/>
  <c r="S32" i="26" s="1"/>
  <c r="I32" i="26"/>
</calcChain>
</file>

<file path=xl/sharedStrings.xml><?xml version="1.0" encoding="utf-8"?>
<sst xmlns="http://schemas.openxmlformats.org/spreadsheetml/2006/main" count="829" uniqueCount="482">
  <si>
    <t>1.2</t>
  </si>
  <si>
    <t>2.1</t>
  </si>
  <si>
    <t>UNID.</t>
  </si>
  <si>
    <t>QUANT.</t>
  </si>
  <si>
    <t>ÁREA:</t>
  </si>
  <si>
    <t>3.2</t>
  </si>
  <si>
    <t>3.2.1</t>
  </si>
  <si>
    <t>3.2.2</t>
  </si>
  <si>
    <t>3.2.3</t>
  </si>
  <si>
    <t>3.2.4</t>
  </si>
  <si>
    <t>LOCAL:</t>
  </si>
  <si>
    <t>Item</t>
  </si>
  <si>
    <t>Descrição</t>
  </si>
  <si>
    <t>Referência SINAPI</t>
  </si>
  <si>
    <t>PREÇO COM BDI</t>
  </si>
  <si>
    <t xml:space="preserve">PREÇO TOTAL </t>
  </si>
  <si>
    <t xml:space="preserve">SUPRA ESTRUTURA </t>
  </si>
  <si>
    <t>CUSTO UNITÁRIO (sem BDI)</t>
  </si>
  <si>
    <t>7.1</t>
  </si>
  <si>
    <t>TR Construtora e Engenharia Ltda</t>
  </si>
  <si>
    <t>CREA-SC 154766-9</t>
  </si>
  <si>
    <t>DATA BASE:</t>
  </si>
  <si>
    <t>REFERÊNCIA:</t>
  </si>
  <si>
    <t>BDI:</t>
  </si>
  <si>
    <t>PLANILHA DE ORÇAMENTO - ESTIMATIVA DE PREÇO</t>
  </si>
  <si>
    <t>SINAPI (Não Desonerado)</t>
  </si>
  <si>
    <t>MÊS 01</t>
  </si>
  <si>
    <t>MÊS 02</t>
  </si>
  <si>
    <t>MÊS 03</t>
  </si>
  <si>
    <t>MÊS 04</t>
  </si>
  <si>
    <t>VALOR DOS SERVIÇOS (R$)</t>
  </si>
  <si>
    <t>PESO (%)</t>
  </si>
  <si>
    <t>TOTAL SIMPLES (R$):</t>
  </si>
  <si>
    <t>TOTAL SIMPLES (%):</t>
  </si>
  <si>
    <t>SERVIÇOS A EXECUTAR (%)</t>
  </si>
  <si>
    <t>No mês</t>
  </si>
  <si>
    <t>CRONOGRAMA FÍSICO FINANCEIRO</t>
  </si>
  <si>
    <t>TOTAL ACUMULADO (R$):</t>
  </si>
  <si>
    <t>TOTAL ACUMULADO (%):</t>
  </si>
  <si>
    <t>Acum.</t>
  </si>
  <si>
    <t>Responsável Técnico(a):</t>
  </si>
  <si>
    <t>_____________________________________________________</t>
  </si>
  <si>
    <t>TOTAL:</t>
  </si>
  <si>
    <t>ENG. ANDRÉIA FÁTIMA TRICHÊS</t>
  </si>
  <si>
    <t/>
  </si>
  <si>
    <t>H</t>
  </si>
  <si>
    <t>2.2</t>
  </si>
  <si>
    <t>M</t>
  </si>
  <si>
    <t xml:space="preserve">SERVIÇOS PRELIMINARES </t>
  </si>
  <si>
    <t>M³</t>
  </si>
  <si>
    <t>M²</t>
  </si>
  <si>
    <t>KG</t>
  </si>
  <si>
    <t>3.3</t>
  </si>
  <si>
    <t>3.3.1</t>
  </si>
  <si>
    <t>3.3.2</t>
  </si>
  <si>
    <t>3.3.3</t>
  </si>
  <si>
    <t xml:space="preserve">VEDAÇÕES </t>
  </si>
  <si>
    <t xml:space="preserve">ESQUADRIAS </t>
  </si>
  <si>
    <t>2.1.2</t>
  </si>
  <si>
    <t>2.1.3</t>
  </si>
  <si>
    <t>2.2.1</t>
  </si>
  <si>
    <t>2.2.2</t>
  </si>
  <si>
    <t>2.2.3</t>
  </si>
  <si>
    <t>2.2.4</t>
  </si>
  <si>
    <t>2.2.5</t>
  </si>
  <si>
    <t>8.1</t>
  </si>
  <si>
    <t>8.2</t>
  </si>
  <si>
    <t>2.2.6</t>
  </si>
  <si>
    <t>2.2.7</t>
  </si>
  <si>
    <t>2.2.8</t>
  </si>
  <si>
    <t>9.1</t>
  </si>
  <si>
    <t>9.2</t>
  </si>
  <si>
    <t xml:space="preserve">FUNDAÇÕES </t>
  </si>
  <si>
    <t xml:space="preserve">VIGAS BALDRAME </t>
  </si>
  <si>
    <t>3.3.4</t>
  </si>
  <si>
    <t>___________________________________________________________</t>
  </si>
  <si>
    <t>Proprietário:</t>
  </si>
  <si>
    <t>________________________________________________________</t>
  </si>
  <si>
    <t xml:space="preserve">SAPATAS </t>
  </si>
  <si>
    <t xml:space="preserve">Descrição da Composição </t>
  </si>
  <si>
    <t xml:space="preserve">PILARES PRÉ FABRICADOS </t>
  </si>
  <si>
    <t>CR</t>
  </si>
  <si>
    <t>1.1</t>
  </si>
  <si>
    <t>1.4</t>
  </si>
  <si>
    <t>1.5</t>
  </si>
  <si>
    <t>1.6</t>
  </si>
  <si>
    <t>1.7</t>
  </si>
  <si>
    <t>1.8</t>
  </si>
  <si>
    <t>1.9</t>
  </si>
  <si>
    <t>1.10</t>
  </si>
  <si>
    <t xml:space="preserve">VIGAS CINTA </t>
  </si>
  <si>
    <t xml:space="preserve">LAJE </t>
  </si>
  <si>
    <t xml:space="preserve">COBERTURA </t>
  </si>
  <si>
    <t xml:space="preserve">PISOS INTERNOS </t>
  </si>
  <si>
    <t>m²</t>
  </si>
  <si>
    <t xml:space="preserve">PINTURA </t>
  </si>
  <si>
    <t>8.3</t>
  </si>
  <si>
    <t>2.1.1</t>
  </si>
  <si>
    <t>2.1.4</t>
  </si>
  <si>
    <t>2.1.5</t>
  </si>
  <si>
    <t>2.1.6</t>
  </si>
  <si>
    <t>2.1.7</t>
  </si>
  <si>
    <t>11.3</t>
  </si>
  <si>
    <t>4.1.1</t>
  </si>
  <si>
    <t>4.1.3</t>
  </si>
  <si>
    <t>4.1.5</t>
  </si>
  <si>
    <t>5.3</t>
  </si>
  <si>
    <t>7.2</t>
  </si>
  <si>
    <t>13.1</t>
  </si>
  <si>
    <t>13.2</t>
  </si>
  <si>
    <t xml:space="preserve">M </t>
  </si>
  <si>
    <t>PORTAS P 02</t>
  </si>
  <si>
    <t>PORTAS P 01</t>
  </si>
  <si>
    <t>PORTAS P 03</t>
  </si>
  <si>
    <t>PORTAS P 04</t>
  </si>
  <si>
    <t>PORTAS P 05</t>
  </si>
  <si>
    <t>PORTAS P 09</t>
  </si>
  <si>
    <t>PORTAS P 07</t>
  </si>
  <si>
    <t xml:space="preserve">JANELAS COM FOLHAS DE VIDRO E MARCO E VISTAS EM MADEIRA J 02 </t>
  </si>
  <si>
    <t>JANELAS COM FOLHAS DE VIDRO MAXI AR E MARCO E VISTAS EM MADEIRA J 03</t>
  </si>
  <si>
    <t>JANELAS COM VIDRO FIXO SEM ABERTURA COM MARCO E VISTAS EM MADEIRA J 04</t>
  </si>
  <si>
    <t>JANELAS COM VIDRO FIXO SEM ABERTURA COM MARCO E VISTAS EM MADEIRA J 05</t>
  </si>
  <si>
    <t>7.3</t>
  </si>
  <si>
    <t>7.4</t>
  </si>
  <si>
    <t>8.4</t>
  </si>
  <si>
    <t>13.7</t>
  </si>
  <si>
    <t>15.2</t>
  </si>
  <si>
    <t>14.1</t>
  </si>
  <si>
    <t>14.2</t>
  </si>
  <si>
    <t>14.5</t>
  </si>
  <si>
    <t>14.6</t>
  </si>
  <si>
    <t>14.7</t>
  </si>
  <si>
    <t>14.9</t>
  </si>
  <si>
    <t>16.1</t>
  </si>
  <si>
    <t xml:space="preserve">ALAMBRADO </t>
  </si>
  <si>
    <t>11.4</t>
  </si>
  <si>
    <t>11.5</t>
  </si>
  <si>
    <t>11.6</t>
  </si>
  <si>
    <t>11.7</t>
  </si>
  <si>
    <t>11.8</t>
  </si>
  <si>
    <t>8.5</t>
  </si>
  <si>
    <t>6.8</t>
  </si>
  <si>
    <t>10.14</t>
  </si>
  <si>
    <t>COMPOSIÇÃO 06- PORTA DE GIRO 100X210 CM (P5)</t>
  </si>
  <si>
    <t>2.2.9</t>
  </si>
  <si>
    <t>3.1.2</t>
  </si>
  <si>
    <t>3.1.3</t>
  </si>
  <si>
    <t>3.1.4</t>
  </si>
  <si>
    <t>3.2.5</t>
  </si>
  <si>
    <t>3.1</t>
  </si>
  <si>
    <t>3.1.1</t>
  </si>
  <si>
    <t>3.1.5</t>
  </si>
  <si>
    <t>5.1</t>
  </si>
  <si>
    <t>5.2</t>
  </si>
  <si>
    <t>5.4</t>
  </si>
  <si>
    <t>5.5</t>
  </si>
  <si>
    <t>5.6</t>
  </si>
  <si>
    <t>5.7</t>
  </si>
  <si>
    <t>5.8</t>
  </si>
  <si>
    <t>6.1</t>
  </si>
  <si>
    <t>6.2</t>
  </si>
  <si>
    <t>6.3</t>
  </si>
  <si>
    <t>6.4</t>
  </si>
  <si>
    <t>6.5</t>
  </si>
  <si>
    <t>6.6</t>
  </si>
  <si>
    <t>6.7</t>
  </si>
  <si>
    <t>7.5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</si>
  <si>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</si>
  <si>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</si>
  <si>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</si>
  <si>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</si>
  <si>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</si>
  <si>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</si>
  <si>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</si>
  <si>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</si>
  <si>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</si>
  <si>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</si>
  <si>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</si>
  <si>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</si>
  <si>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</si>
  <si>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10.15</t>
  </si>
  <si>
    <t>11.1</t>
  </si>
  <si>
    <t>11.2</t>
  </si>
  <si>
    <t>12.1</t>
  </si>
  <si>
    <t>12.2</t>
  </si>
  <si>
    <t>12.3</t>
  </si>
  <si>
    <t>13.3</t>
  </si>
  <si>
    <t>13.4</t>
  </si>
  <si>
    <t>13.5</t>
  </si>
  <si>
    <t>13.6</t>
  </si>
  <si>
    <t>13.8</t>
  </si>
  <si>
    <t>14.3</t>
  </si>
  <si>
    <t>14.4</t>
  </si>
  <si>
    <t>14.8</t>
  </si>
  <si>
    <t>15.1</t>
  </si>
  <si>
    <t>15.1.1</t>
  </si>
  <si>
    <t>15.1.2</t>
  </si>
  <si>
    <t>15.1.3</t>
  </si>
  <si>
    <t>15.2.1</t>
  </si>
  <si>
    <t>15.2.2</t>
  </si>
  <si>
    <t>15.2.3</t>
  </si>
  <si>
    <t>15.2.4</t>
  </si>
  <si>
    <t>11.9</t>
  </si>
  <si>
    <t>11.10</t>
  </si>
  <si>
    <t xml:space="preserve">ACESSIBILIDADE  </t>
  </si>
  <si>
    <t>16.2</t>
  </si>
  <si>
    <t>16.3</t>
  </si>
  <si>
    <t>16.4</t>
  </si>
  <si>
    <t>17.1</t>
  </si>
  <si>
    <t>17.2</t>
  </si>
  <si>
    <t>17.3</t>
  </si>
  <si>
    <t>17.4</t>
  </si>
  <si>
    <t>18.1</t>
  </si>
  <si>
    <t>LOCACAO CONVENCIONAL DE OBRA, UTILIZANDO GABARITO DE TÁBUAS CORRIDAS PONTA LETADAS A CADA 2,00M - 2 UTILIZAÇÕES. AF_10/2018</t>
  </si>
  <si>
    <t>ESCAVAÇÃO MANUAL PARA BLOCO DE COROAMENTO OU SAPATA (INCLUINDO ESCAVAÇÃO PARA COLOCAÇÃO DE FÔRMAS). AF_06/2017</t>
  </si>
  <si>
    <t>TRANSPORTE COM CAMINHÃO BASCULANTE DE 10 M³, EM VIA URBANA PAVIMENTADA, DMT ATÉ 30 KM (UNIDADE: TXKM). AF_07/2020</t>
  </si>
  <si>
    <t>LASTRO COM MATERIAL GRANULAR, APLICADO EM BLOCOS DE COROAMENTO, ESPESSURADE *10 CM*. AF_08/2017</t>
  </si>
  <si>
    <t>LASTRO DE CONCRETO MAGRO, APLICADO EM BLOCOS DE COROAMENTO OU SAPATAS, ESP ESSURA DE 5 CM. AF_08/2017</t>
  </si>
  <si>
    <t>CONCRETAGEM DE BLOCOS DE COROAMENTO E VIGAS BALDRAMES, FCK 30 MPA, COM USO DE BOMBA LANÇAMENTO, ADENSAMENTO E ACABAMENTO. AF_06/2017</t>
  </si>
  <si>
    <t>REATERRO MANUAL DE VALAS, COM COMPACTADOR DE SOLOS DE PERCUSSÃO. AF_08/2023</t>
  </si>
  <si>
    <t>FABRICAÇÃO, MONTAGEM E DESMONTAGEM DE FÔRMA PARA VIGA BALDRAME, EM MADEIRA SERRADA, E=25 MM, 4 UTILIZAÇÕES. AF_06/2017</t>
  </si>
  <si>
    <t>LASTRO DE CONCRETO MAGRO, APLICADO EM PISOS, LAJES SOBRE SOLO OU RADIERS, ESPESSURA DE 5 CM. AF_07/2016</t>
  </si>
  <si>
    <t>ARMAÇÃO DE ESTRUTURAS DIVERSAS DE CONCRETO ARMADO, EXCETO VIGAS, PILARES, LAJES E FUNDAÇÕES, UTILIZANDO AÇO CA-60 DE 5,0 MM - MONTAGEM. AF_06/2022</t>
  </si>
  <si>
    <t>ARMAÇÃO DE ESTRUTURAS DIVERSAS DE CONCRETO ARMADO, EXCETO VIGAS, PILARES, LAJES E FUNDAÇÕES, UTILIZANDO AÇO CA-50 DE 8,0 MM - MONTAGEM. AF_06/2022</t>
  </si>
  <si>
    <t>ARMAÇÃO DE ESTRUTURAS DIVERSAS DE CONCRETO ARMADO, EXCETO VIGAS, PILARES, LAJES E FUNDAÇÕES, UTILIZANDO AÇO CA-50 DE 10,0 MM - MONTAGEM. AF_06/2022</t>
  </si>
  <si>
    <t>CONCRETAGEM DE SAPATAS, FCK 30 MPA, COM USO DE JERICA LANÇAMENTO, ADENSA MENTO E ACABAMENTO. AF_06/2017</t>
  </si>
  <si>
    <t>IMPERMEABILIZAÇÃO DE SUPERFÍCIE COM EMULSÃO ASFÁLTICA, 2 DEMÃOS. AF_09/2023</t>
  </si>
  <si>
    <t>FABRICAÇÃO DE FÔRMA PARA PILARES E ESTRUTURAS SIMILARES, EM CHAPA DE MADEIRA COMPENSADA RESINADA, E = 17 MM. AF_09/2020</t>
  </si>
  <si>
    <t>ARMAÇÃO DE ESTRUTURAS DIVERSAS DE CONCRETO ARMADO, EXCETO VIGAS, PILARES, LAJES E FUNDAÇÕES, UTILIZANDO AÇO CA-50 DE 6,3 MM - MONTAGEM. AF_06/2022</t>
  </si>
  <si>
    <t>CONCRETAGEM DE PILARES, FCK=25 MPA, COM USO DE JERICAS EM CREMALHEIRA - LANÇAMENTO, ADENSAMENTO E ACABAMENTO. AF_02/2022</t>
  </si>
  <si>
    <t>FABRICAÇÃO DE FÔRMA PARA VIGAS, EM CHAPA DE MADEIRA COMPENSADA RESINADA, 17 MM. AF_09/2020</t>
  </si>
  <si>
    <t>CONCRETAGEM DE VIGAS E LAJES, FCK=25 MPA, PARA LAJES MACIÇAS OU NERVURADAS COM USO DE BOMBA - LANÇAMENTO, ADENSAMENTO E ACABAMENTO. AF_02/2022_PS</t>
  </si>
  <si>
    <t>TELA DE ACO SOLDADA NERVURADA, CA-60, Q-159, (2,52 KG/M2), DIAMETRO DO FIO= 4,5 MM, LARGURA = 2,45 M, ESPACAMENTO DA MALHA = 10 X 10 CM</t>
  </si>
  <si>
    <t>VERGA MOLDADA IN LOCO EM CONCRETO PARA JANELAS COM ATE DE 1,5 M DE VÃO. AF_03/2016</t>
  </si>
  <si>
    <t>CONTRAVERGA MOLDADA IN LOCO EM CONCRETO PARA VÃOS DE ATE 1,5 M DE COMPRIMENTO. AF_03/2016</t>
  </si>
  <si>
    <t>TRAMA DE MADEIRA COMPOSTA POR TERÇAS PARA TELHADOS DE ATÉ 2 ÁGUAS PARA TELHA ONDULADA DE FIBROCIMENTO, METÁLICA, PLÁSTICA OU TERMOACÚSTICA, INCLUSO TRANSPORTE VERTICAL. AF_07/2019</t>
  </si>
  <si>
    <t>TELHAMENTO COM TELHA METÁLICA TERMOACÚSTICA E = 30 MM, COM ATÉ 2 ÁGUAS, INCLUSO IÇAMENTO. AF_07/2019 (LANTERNA)</t>
  </si>
  <si>
    <t>CALHA EM CHAPA DE AÇO GALVANIZADO NÚMERO 24, DESENVOLVIMENTO DE 100 CM, INCLUSO TRANSPORTE VERTICAL. AF_07/2019</t>
  </si>
  <si>
    <t>FORRO EM RÉGUAS DE PVC, FRISADO, PARA AMBIENTES RESIDENCIAIS, INCLUSIVE ESTRUTURA UNIDIRECIONAL DE FIXAÇÃO. AF_08/2023_PS (FORRO DE ABAS)</t>
  </si>
  <si>
    <t>ACABAMENTOS PARA FORRO (RODA-FORRO EM PERFIL METÁLICO E PLÁSTICO). AF_08/2023 (FORRO DE ABAS)</t>
  </si>
  <si>
    <t>TABUA APARELHADA *2,5 X 15* CM, EM MACARANDUBA/MASSARANDUBA, ANGELIM OU EQUIVALENTE DA REGIAO (ESPELHOS DAS ABAS)</t>
  </si>
  <si>
    <t>COMPOSIÇÃO PARAMÉTRICA DE INSTALAÇÃO DE TUBOS DE PVC, SÉRIE R, PARA COLETA DE ÁGUA PLUVIAL EM VARANDA, INSTALADO EM RAMAL DE ENCAMINHAMENTO E CONDUTOR VERTICAL, COM CONEXÕES, RALOS, CORTES E FIXAÇÕES, PARA PRÉDIO. AF_05/2023</t>
  </si>
  <si>
    <t xml:space="preserve"> LASTRO COM MATERIAL GRANULAR, APLICADO EM PISOS OU LAJES SOBRE SOLO, ESPESSURA DE *5 CM*. AF_08/2017</t>
  </si>
  <si>
    <t>APLICAÇÃO DE LONA PLÁSTICA PARA EXECUÇÃO DE PAVIMENTOS DE CONCRETO. AF_04/2022</t>
  </si>
  <si>
    <t>ARMAÇÃO PARA EXECUÇÃO DE RADIER, PISO DE CONCRETO OU LAJE SOBRE SOLO, COM USO DE TELA Q-138. AF_09/2021</t>
  </si>
  <si>
    <t>PISO EM CONCRETO 20 MPA PREPARO MECÂNICO, ESPESSURA 7CM. AF_09/2020</t>
  </si>
  <si>
    <t>REVESTIMENTO CERÂMICO PARA PISO COM PLACAS TIPO ESMALTADA EXTRA DE DIMENSÕES 35X35 CM APLICADA EM AMBIENTES. AF_02/2023_PE</t>
  </si>
  <si>
    <t>RODAPÉ CERÂMICO DE 7CM DE ALTURA COM PLACAS TIPO ESMALTADA EXTRA DE DIMENSÕES 35X35CM. AF_02/2023</t>
  </si>
  <si>
    <t>LIMPEZA DE PISO CERÂMICO OU PORCELANATO UTILIZANDO DETERGENTE NEUTRO E ESCOVAÇÃO MANUAL. AF_04/2019</t>
  </si>
  <si>
    <t>IMPERMEABILIZAÇÃO DE SUPERFÍCIE COM ARGAMASSA POLIMÉRICA / MEMBRANA ACRÍLICA, 3 DEMÃOS. AF_09/2023 (IMPERMEABILIZAÇÃO DE AREAS UMIDAS ATE H: 1,5 M</t>
  </si>
  <si>
    <t>CHAPISCO APLICADO EM ALVENARIAS E ESTRUTURAS DE CONCRETO INTERNAS, COM COLHER DE PEDREIRO. ARGAMASSA TRAÇO 1:3 COM PREPARO EM BETONEIRA 400L. AF_10/2022</t>
  </si>
  <si>
    <t>MASSA ÚNICA, PARA RECEBIMENTO DE PINTURA, EM ARGAMASSA TRAÇO 1:2:8, PREPARO MANUAL, APLICADA MANUALMENTE EM FACES INTERNAS DE PAREDES, ESPESSURA DE 20MM, COM EXECUÇÃO DE TALISCAS. AF_06/2014</t>
  </si>
  <si>
    <t>REVESTIMENTO CERÂMICO PARA PAREDES INTERNAS COM PLACAS TIPO ESMALTADA EXTRA DE DIMENSÕES 25X35 CM APLICADAS NA ALTURA INTEIRA DAS PAREDES. AF_02/2023_PE</t>
  </si>
  <si>
    <t>APLICAÇÃO MANUAL DE FUNDO SELADOR ACRÍLICO EM PANOS COM PRESENÇA DE VÃOS DE EDIFÍCIOS DE MÚLTIPLOS PAVIMENTOS. AF_06/2014</t>
  </si>
  <si>
    <t>APLICAÇÃO MANUAL DE MASSA ACRÍLICA EM PANOS DE FACHADA COM PRESENÇA DE VÃOS, DE EDIFÍCIOS DE MÚLTIPLOS PAVIMENTOS, DUAS DEMÃOS. AF_05/2017 (EXTERNA)</t>
  </si>
  <si>
    <t>EMASSAMENTO COM MASSA LÁTEX, APLICAÇÃO EM PAREDE, UMA DEMÃO, LIXAMENTO MANUAL. AF_04/2023 (INTERNA)</t>
  </si>
  <si>
    <t>PINTURA LÁTEX ACRÍLICA PREMIUM, APLICAÇÃO MANUAL EM PAREDES, DUAS DEMÃOS. AF_04/2023</t>
  </si>
  <si>
    <t>ACABAMENTOS PARA FORRO (RODA-FORRO EM PERFIL METÁLICO E PLÁSTICO). AF_08/2023</t>
  </si>
  <si>
    <t>DISJUNTOR TRIPOLAR TIPO DIN, CORRENTE NOMINAL DE 50A - FORNECIMENTO E INSTALAÇÃO. AF_10/2020</t>
  </si>
  <si>
    <t>DISJUNTOR MONOPOLAR TIPO DIN, CORRENTE NOMINAL DE 25A - FORNECIMENTO E INSTALAÇÃO. AF_10/2020</t>
  </si>
  <si>
    <t>DISJUNTOR MONOPOLAR TIPO DIN, CORRENTE NOMINAL DE 16A - FORNECIMENTO E INSTALAÇÃO. AF_10/2020</t>
  </si>
  <si>
    <t>CABO DE COBRE FLEXÍVEL ISOLADO, 6 MM², ANTI-CHAMA 450/750 V, PARA CIRCUITOS TERMINAIS - FORNECIMENTO E INSTALAÇÃO. AF_03/2023</t>
  </si>
  <si>
    <t>CABO DE COBRE FLEXÍVEL ISOLADO, 4 MM², ANTI-CHAMA 450/750 V, PARA CIRCUITOS TERMINAIS - FORNECIMENTO E INSTALAÇÃO. AF_03/2023</t>
  </si>
  <si>
    <t>CABO DE COBRE FLEXÍVEL ISOLADO, 2,5 MM², ANTI-CHAMA 450/750 V, PARA CIRCUITOS TERMINAIS - FORNECIMENTO E INSTALAÇÃO. AF_03/2023</t>
  </si>
  <si>
    <t xml:space="preserve"> SENSOR DE PRESENÇA COM FOTOCÉLULA, FIXAÇÃO EM PAREDE - FORNECIMENTO E INSTALAÇÃO. AF_02/2020</t>
  </si>
  <si>
    <t>104473 C</t>
  </si>
  <si>
    <t>COMPOSIÇÃO PARAMÉTRICA DE PONTO ELÉTRICO DE TOMADA DE USO GERAL 2P+T (10A/ UN250V) EM EDIFÍCIO RESIDENCIAL COM ELETRODUTO EMBUTIDO EM RASGOS NAS PAREDES, INCLUSO TOMADA, ELETRODUTO, CABO, RASGO, QUEBRA E CHUMBAMENTO. AF_11/2022</t>
  </si>
  <si>
    <t>LUMINÁRIA ARANDELA TIPO TARTARUGA, DE SOBREPOR, COM 1 LÂMPADA LED DE 6 W, SEM REATOR - FORNECIMENTO E INSTALAÇÃO. AF_02/2020</t>
  </si>
  <si>
    <t>LUMINÁRIA TIPO PLAFON CIRCULAR, DE SOBREPOR, COM LED DE 12/13 W - FORNECIMENTO E INSTALAÇÃO. AF_03/2022</t>
  </si>
  <si>
    <t>ESCAVAÇÃO MANUAL DE VALA COM PROFUNDIDADE MENOR OU IGUAL A 1,30 M. AF_02/2021</t>
  </si>
  <si>
    <t>CAIXA D´ÁGUA EM POLIÉSTER REFORÇADO COM FIBRA DE VIDRO, 2000 LITROS - FORNECIMENTO E INSTALAÇÃO. AF_06/2021</t>
  </si>
  <si>
    <t>TE, PVC, SOLDÁVEL, DN 40MM, INSTALADO EM PRUMADA DE ÁGUA - FORNECIMENTO E INSTALAÇÃO. AF_06/2022</t>
  </si>
  <si>
    <t>JOELHO 90 GRAUS, PVC, SOLDÁVEL, DN 40MM, INSTALADO EM PRUMADA DE ÁGUA - FORNECIMENTO E INSTALAÇÃO. AF_06/2022</t>
  </si>
  <si>
    <t>REGISTRO DE ESFERA, PVC, SOLDÁVEL, COM VOLANTE, DN 40 MM - FORNECIMENTO E INSTALAÇÃO. AF_08/2021</t>
  </si>
  <si>
    <t>REGISTRO DE ESFERA, PVC, SOLDÁVEL, COM VOLANTE, DN 25 MM - FORNECIMENTO E INSTALAÇÃO. AF_08/2021</t>
  </si>
  <si>
    <t>TUBO, PVC, SOLDÁVEL, DN 40MM, INSTALADO EM RAMAL DE DISTRIBUIÇÃO DE ÁGUA - FORNECIMENTO E INSTALAÇÃO. AF_06/2022</t>
  </si>
  <si>
    <t>TUBO, PVC, SOLDÁVEL, DN 25MM, INSTALADO EM RAMAL OU SUB-RAMAL DE ÁGUA - FORNECIMENTO E INSTALAÇÃO. AF_06/2022</t>
  </si>
  <si>
    <t>CONJUNTO DE PONTOS DE COLETA DE ESGOTO PARA BANHEIRO (RAMAL DE ESGOTO SANITÁRIO), EM PVC SÉRIE NORMAL, COM TUBOS, CONEXÕES, RALOS, CAIXAS SIFONADAS CORTES E FIXAÇÕES EM PRÉDIO COM PRUMADA DE DESCIDA DE ESGOTO DENTRO DO BANHEIRO. AF_05/2023</t>
  </si>
  <si>
    <t>CONJUNTO DE PONTOS DE COLETA DE ESGOTO PARA COZINHA (RAMAL DE ESGOTO SANITÁRIO), EM PVC SÉRIE NORMAL, COM TUBOS, CONEXÕES, CORTES E FIXAÇÕES EM PRÉDIO. AF_05/2023</t>
  </si>
  <si>
    <t>COMP. 02</t>
  </si>
  <si>
    <t>COMP. 03</t>
  </si>
  <si>
    <t>COMP. 06</t>
  </si>
  <si>
    <t>COMP. 07</t>
  </si>
  <si>
    <t>COMP. 08</t>
  </si>
  <si>
    <t>COMP. 09</t>
  </si>
  <si>
    <t>KIT DE PORTA DE MADEIRA PARA PINTURA, SEMI-OCA (LEVE OU MÉDIA), PADRÃO MÉDIO, 90X210CM, ESPESSURA DE 3,5CM, ITENS INCLUSOS: DOBRADIÇAS, MONTAGEM E INSTALAÇÃO DO BATENTE, FECHADURA COM EXECUÇÃO DO FURO - FORNECIMENTO E INSTALAÇÃO. AF_12/2019 (P06)</t>
  </si>
  <si>
    <t>COMP. 10</t>
  </si>
  <si>
    <t>PORTA DE CORRER SEMI OCA 1 FOLHA P07 90X210 CM</t>
  </si>
  <si>
    <t xml:space="preserve">PORTA DE GIRO EM MADEIRA MACIÇA P 09 140X210 CM 2 FOLHAS </t>
  </si>
  <si>
    <t>JANELA EM VIDRO COM MARCO E VISTAS EM MADEIRA J02</t>
  </si>
  <si>
    <t>JANELA EM VIDRO MAXIM AR COM MARCO E VISTAS EM MADEIRA J03</t>
  </si>
  <si>
    <t xml:space="preserve">PORTA DE CORRER EM MADEIRA MACIÇA P 02 150X210 CM </t>
  </si>
  <si>
    <t xml:space="preserve">PORTA DE CORRER EM MADEIRA MACIÇA P 01 150X140 CM </t>
  </si>
  <si>
    <t>TORNEIRA CROMADA LONGA, DE PAREDE, 1/2 OU 3/4, PARA PIA DE COZINHA, PADRÃO POPULAR - FORNECIMENTO E INSTALAÇÃO. AF_01/2020 (SEGUNDA TORNEIRA DA BANCADA)</t>
  </si>
  <si>
    <t>CUBA DE EMBUTIR OVAL EM LOUÇA BRANCA, 35 X 50CM OU EQUIVALENTE - FORNECIME UN
NTO E INSTALAÇÃO. AF_01/2020 (CUBA DAS BANCADA)</t>
  </si>
  <si>
    <t>VASO SANITÁRIO SIFONADO COM CAIXA ACOPLADA LOUÇA BRANCA - FORNECIMENTO E INSTALAÇÃO. AF_01/2020</t>
  </si>
  <si>
    <t>BANCADA DE GRANITO CINZA POLIDO, DE 0,50 X 0,60 M, PARA LAVATÓRIO - FORNECIMENTO E INSTALAÇÃO. AF_01/2020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</si>
  <si>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</si>
  <si>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CHUVEIRO ELÉTRICO COMUM CORPO PLÁSTICO, TIPO DUCHA FORNECIMENTO E INSTALAÇÃO. AF_01/2020</t>
  </si>
  <si>
    <t>PAPELEIRA DE PAREDE EM METAL CROMADO SEM TAMPA, INCLUSO FIXAÇÃO. AF_01/2020</t>
  </si>
  <si>
    <t>SABONETEIRA DE PAREDE EM METAL CROMADO, INCLUSO FIXAÇÃO. AF_01/2020</t>
  </si>
  <si>
    <t>KIT DE ACESSORIOS PARA BANHEIRO EM METAL CROMADO, 5 PECAS, INCLUSO FIXAÇÃO AF_01/2020</t>
  </si>
  <si>
    <t>TELA DE ARAME GALVANIZADA QUADRANGULAR / LOSANGULAR, FIO 2,77 MM (12 BWG), MALHA 5 X 5 CM, H = 2 M</t>
  </si>
  <si>
    <t>ESCAVAÇÃO MECANIZADA PARA VIGA BALDRAME COM MINI-ESCAVADEIRA (SEM ESCAVAÇÃO PARA COLOCAÇÃO DE FÔRMAS). AF_06/2017</t>
  </si>
  <si>
    <t>CANALETA DE CONCRETO ESTRUTURAL 14 X 19 X 39 CM, FBK 14 MPA (NBR 6136) (MURETA)</t>
  </si>
  <si>
    <t>ARMAÇÃO DE ESTRUTURAS DIVERSAS DE CONCRETO ARMADO, EXCETO VIGAS, PILARES, LAJES E FUNDAÇÕES, UTILIZANDO AÇO CA-60 DE 5,0 MM - MONTAGEM. AF_06/2022 (VIGA CINTA)</t>
  </si>
  <si>
    <t>CONCRETAGEM DE VIGAS E LAJES, FCK=25 MPA, PARA LAJES MACIÇAS OU NERVURADAS COM USO DE BOMBA - LANÇAMENTO, ADENSAMENTO E ACABAMENTO. AF_02/2022_PS (VIGA CINTA)</t>
  </si>
  <si>
    <t>IMPERMEABILIZAÇÃO DE SUPERFÍCIE COM MEMBRANA À BASE DE RESINA ACRÍLICA, 3 DEMÃOS. AF_09/2023</t>
  </si>
  <si>
    <t>PORTA DE FERRO, DE ABRIR, TIPO GRADE, COM GUARNIÇÕES. AF_12/2019</t>
  </si>
  <si>
    <t>PISO EM PEDRA PORTUGUESA ASSENTADO SOBRE ARGAMASSA SECA DE CIMENTO E AREIA, TRAÇO 1:3, REJUNTADO COM CIMENTO COMUM. AF_05/2020 (FACHADA E DETALHES NOS PILARES DA FACHADA )</t>
  </si>
  <si>
    <t>MPERMEABILIZAÇÃO DE SUPERFÍCIE COM MEMBRANA À BASE DE RESINA ACRÍLICA, 3 DEMÃOS. AF_09/2023 ( IMPERMEABILIZAÇÃO DAS PEDRAS)</t>
  </si>
  <si>
    <t>98554 I</t>
  </si>
  <si>
    <t>INSTALAÇÃO DE TESOURA (INTEIRA OU MEIA), BIAPOIADA, EM MADEIRA NÃO APARELH UNADA, PARA VÃOS MAIORES OU IGUAIS A 3,0 M E MENORES QUE 6,0 M, INCLUSO IÇAM
ENTO. AF_07/2019</t>
  </si>
  <si>
    <t xml:space="preserve">TELHAMENTO COM TELHA METÁLICA TERMOACÚSTICA E = 30 MM, COM ATÉ 2 ÁGUAS, INCLUSO IÇAMENTO. AF_07/2019 </t>
  </si>
  <si>
    <t>COMP. 13</t>
  </si>
  <si>
    <t xml:space="preserve">VIDRO FIXO COM MOLDURAS EM MADEIRA </t>
  </si>
  <si>
    <t xml:space="preserve"> BANCO ARTICULADO, EM ACO INOX, PARA PCD, FIXADO NA PAREDE - FORNECIMENTO E INSTALAÇÃO. AF_01/2020 </t>
  </si>
  <si>
    <t>BARRA DE APOIO RETA, EM ALUMINIO, COMPRIMENTO 60 CM, FIXADA NA PAREDE - FORNECIMENTO E INSTALAÇÃO. AF_01/2020</t>
  </si>
  <si>
    <t>BARRA DE APOIO RETA, EM ALUMINIO, COMPRIMENTO 80 CM, FIXADA NA PAREDE - FORNECIMENTO E INSTALAÇÃO. AF_01/2020</t>
  </si>
  <si>
    <t>PISO PODOTÁTIL DE ALERTA OU DIRECIONAL, DE BORRACHA, ASSENTADO SOBRE ARGAMASSA. AF_05/2020</t>
  </si>
  <si>
    <t>EXTINTOR DE INCÊNDIO PORTÁTIL COM CARGA DE PQS DE 4 KG, CLASSE BC - FORNECIMENTO E INSTALAÇÃO. AF_10/2020_PE</t>
  </si>
  <si>
    <t xml:space="preserve">LIMPEZA DE SUPERFÍCIE COM JATO DE ALTA PRESSÃO. AF_04/2019 </t>
  </si>
  <si>
    <t>PLACA DE SINALIZACAO DE SEGURANCA CONTRA INCENDIO, FOTOLUMINESCENTE, RETANGULAR, *20 X 40* CM, EM PVC *2* MM ANTI-CHAMAS (SIMBOLOS, CORES E PICTOGRAMAS CONFORME NBR 16820)</t>
  </si>
  <si>
    <t>00037558 INSUMO</t>
  </si>
  <si>
    <t>CAMPAINHA ALTA POTENCIA 110V / 220V (PARA BANHEIRO PCD)</t>
  </si>
  <si>
    <t>00012114 INSUMO</t>
  </si>
  <si>
    <t>FORROS</t>
  </si>
  <si>
    <t>PINTURA LÁTEX ACRÍLICA PREMIUM, APLICAÇÃO MANUAL EM PAREDES, DUAS DEMÃOS. AF_04/2023 (PINTURA DOS MOURÕES)</t>
  </si>
  <si>
    <t>PINTURA COM TINTA ALQUÍDICA DE FUNDO E ACABAMENTO (ESMALTE SINTÉTICO GRAFITE) PULVERIZADA SOBRE SUPERFÍCIES METÁLICAS (EXCETO PERFIL) EXECUTADO EM OBRA (POR DEMÃO). AF_01/2020_PE (PINTURA DE TELA)</t>
  </si>
  <si>
    <t>PILARES</t>
  </si>
  <si>
    <t>15.1.4</t>
  </si>
  <si>
    <t>15.1.5</t>
  </si>
  <si>
    <t>15.1.6</t>
  </si>
  <si>
    <t>15.1.7</t>
  </si>
  <si>
    <t>15.1.8</t>
  </si>
  <si>
    <t>15.1.9</t>
  </si>
  <si>
    <t>15.1.10</t>
  </si>
  <si>
    <t>15.1.11</t>
  </si>
  <si>
    <t>15.2.5</t>
  </si>
  <si>
    <t>15.2.6</t>
  </si>
  <si>
    <t>15.2.7</t>
  </si>
  <si>
    <t>15.2.8</t>
  </si>
  <si>
    <t>15.2.9</t>
  </si>
  <si>
    <t>DISJUNTOR MONOPOLAR TIPO DIN, CORRENTE NOMINAL DE 40A - FORNECIMENTO E INSTALAÇÃO. AF_10/2020</t>
  </si>
  <si>
    <t>DISJUNTOR MONOPOLAR TIPO DIN, CORRENTE NOMINAL DE 20A - FORNECIMENTO E INSTALAÇÃO. AF_10/2020</t>
  </si>
  <si>
    <t>CABO DE COBRE FLEXÍVEL ISOLADO, 16 MM², ANTI-CHAMA 0,6/1,0 KV, PARA CIRCUITOS TERMINAIS - FORNECIMENTO E INSTALAÇÃO. AF_03/2023</t>
  </si>
  <si>
    <t>COMPOSIÇÃO PARAMÉTRICA DE PONTO ELÉTRICO DE ILUMINAÇÃO, COM INTERRUPTOR SIMPLES, EM EDIFÍCIO RESIDENCIAL COM ELETRODUTO EMBUTIDO EM RASGOS NAS PAREDES, INCLUSO TOMADA, ELETRODUTO, CABO, RASGO E CHUMBAMENTO (SEM LUMINÁRIA ELÂMPADA). AF_11/2022</t>
  </si>
  <si>
    <t>QUADRO DE DISTRIBUIÇÃO DE ENERGIA EM CHAPA DE AÇO GALVANIZADO, DE EMBUTIR, COM BARRAMENTO TRIFÁSICO, PARA 40 DISJUNTORES DIN 100A - FORNECIMENTO E INSTALAÇÃO. AF_10/2020</t>
  </si>
  <si>
    <t>ELETRODUTO FLEXÍVEL CORRUGADO REFORÇADO, PVC, DN 25 MM (3/4"), PARA CIRCUITOS TERMINAIS, INSTALADO EM LAJE - FORNECIMENTO E INSTALAÇÃO. AF_03/2023</t>
  </si>
  <si>
    <t>10.16</t>
  </si>
  <si>
    <t>MÊS 05</t>
  </si>
  <si>
    <t>MÊS 06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</si>
  <si>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</si>
  <si>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</si>
  <si>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</si>
  <si>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</si>
  <si>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</si>
  <si>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</si>
  <si>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</si>
  <si>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</si>
  <si>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</si>
  <si>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3.4</t>
  </si>
  <si>
    <t>3.5</t>
  </si>
  <si>
    <t>3.6</t>
  </si>
  <si>
    <t>3.7</t>
  </si>
  <si>
    <t>3.8</t>
  </si>
  <si>
    <t>3.9</t>
  </si>
  <si>
    <t>3.10</t>
  </si>
  <si>
    <t>3.11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</si>
  <si>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</si>
  <si>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</si>
  <si>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</si>
  <si>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</si>
  <si>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</si>
  <si>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</si>
  <si>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</si>
  <si>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</si>
  <si>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</si>
  <si>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</si>
  <si>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</si>
  <si>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8.6</t>
  </si>
  <si>
    <t>9.3</t>
  </si>
  <si>
    <t>9.4</t>
  </si>
  <si>
    <t>12.4</t>
  </si>
  <si>
    <t>PLANILHA DE COMPOSIÇÕES</t>
  </si>
  <si>
    <t>174,72 M²</t>
  </si>
  <si>
    <t>MONTAGEM E DESMONTAGEM DE FÔRMA DE PILARES RETANGULARES E ESTRUTURAS SIMILARES, PÉ-DIREITO SIMPLES, EM CHAPA DE MADEIRA COMPENSADA RESINADA, 2 UTILIZAÇÕES. AF_09/2020</t>
  </si>
  <si>
    <t>ARMAÇÃO DE ESTRUTURAS DIVERSAS DE CONCRETO ARMADO, EXCETO VIGAS, PILARES, LAJES E FUNDAÇÕES, UTILIZANDO AÇO CA-50 DE 12,5 MM - MONTAGEM. AF_06/2022</t>
  </si>
  <si>
    <t xml:space="preserve">AJUDANTE DE ESTRUTURA METÁLICA COM ENCARGOS COMPLEMENTARES </t>
  </si>
  <si>
    <t>MONTADOR DE ESTRUTURA METÁLICA COM ENCARGOS COMPLEMENTARES</t>
  </si>
  <si>
    <t xml:space="preserve"> GUINDASTE HIDRÁULICO AUTOPROPELIDO, COM LANÇA TELESCÓPICA 40 M, CAPACIDADE MÁXIMA 60 T, POTÊNCIA 260 KW - CHP DIURNO. AF_03/2016</t>
  </si>
  <si>
    <t>GUINDASTE HIDRÁULICO AUTOPROPELIDO, COM LANÇA TELESCÓPICA 40 M, CAPACIDADE MÁXIMA 60 T, POTÊNCIA 260 KW - CHI DIURNO. AF_03/2016</t>
  </si>
  <si>
    <t>TABUA APARELHADA *2,5 X 15* CM, EM MACARANDUBA/MASSARANDUBA, ANGELIM OU EQUIVALENTE DA REGIAO (FOLHA DA PORTA)</t>
  </si>
  <si>
    <t>PREGO DE ACO POLIDO COM CABECA 17 X 27 (2 1/2 X 11)</t>
  </si>
  <si>
    <t xml:space="preserve"> CAIBRO APARELHADO *7,5 X 7,5* CM, EM MACARANDUBA/MASSARANDUBA, ANGELIM OU EQUIVALENTE DA REGIAO (FOLHA DA PORTA)</t>
  </si>
  <si>
    <t>AJUDANTE DE CARPINTEIRO COM ENCARGOS COMPLEMENTARES</t>
  </si>
  <si>
    <t>CARPINTEIRO DE FORMAS COM ENCARGOS COMPLEMENTARES</t>
  </si>
  <si>
    <t>SERRA CIRCULAR DE BANCADA COM MOTOR ELÉTRICO POTÊNCIA DE 5HP, COM COIFA PARA DISCO 10" - CHP DIURNO. AF_08/2015</t>
  </si>
  <si>
    <t>GUARNICAO / ALIZAR / VISTA LISA EM MADEIRA MACICA, PARA PORTA , E = *1* COM, L = *5* CM, CEDRINHO / ANGELIM COMERCIAL / TAURI/ CURUPIXA / PEROBA / C
UMARU OU EQUIVALENTE DA REGIAO (VISTAS)</t>
  </si>
  <si>
    <t>CANTONEIRA ACO ABAS IGUAIS (QUALQUER BITOLA), ESPESSURA ENTRE 1/8" E 1/4" (ESTRUTURA PARA PORTA DE CORRER)</t>
  </si>
  <si>
    <t>BUCHA DE NYLON SEM ABA S10, COM PARAFUSO DE 6,10 X 65 MM EM ACO ZINCADO COM ROSCA SOBERBA, CABECA CHATA E FENDA PHILLIPS (FIXAÇÃO)</t>
  </si>
  <si>
    <t>BATENTE PARA PORTA DE MADEIRA, PADRÃO MÉDIO - FORNECIMENTO E MONTAGEM. AF_12/2019 (ESTRUTURA PARA PORTA DE CORRER)</t>
  </si>
  <si>
    <t>PREGO DE ACO POLIDO COM CABECA 17 X 21 (2 X 11)</t>
  </si>
  <si>
    <t>CAIBRO APARELHADO *7,5 X 7,5* CM, EM MACARANDUBA/MASSARANDUBA, ANGELIM OU EQUIVALENTE DA REGIAO (FOLHA DA PORTA)</t>
  </si>
  <si>
    <t>FECHO DE EMBUTIR TIPO UNHA 40CM. AF_12/2019 (FECHADURA)</t>
  </si>
  <si>
    <t xml:space="preserve"> KIT DE PORTA DE MADEIRA TIPO MEXICANA, MACIÇA (PESADA OU SUPERPESADA), PADRÃO MÉDIO, 80X210CM, ESPESSURA DE 3CM, ITENS INCLUSOS: DOBRADIÇAS, MONTAGEM E INSTALAÇÃO DO BATENTE, SEM FECHADURA - FORNECIMENTO E INSTALAÇÃO. AF_12/2019</t>
  </si>
  <si>
    <t>JANELA DE ALUMÍNIO DE CORRER COM 2 FOLHAS PARA VIDROS, COM VIDROS, BATENTE, ACABAMENTO COM ACETATO OU BRILHANTE E FERRAGENS. EXCLUSIVE ALIZAR E CONTRAMARCO. FORNECIMENTO E INSTALAÇÃO. AF_12/2019</t>
  </si>
  <si>
    <t>JANELA DE ALUMÍNIO TIPO MAXIM-AR, COM VIDROS, BATENTE E FERRAGENS. EXCLUSI VE ALIZAR, ACABAMENTO E CONTRAMARCO. FORNECIMENTO E INSTALAÇÃO. AF_12/2019</t>
  </si>
  <si>
    <t>INSTALAÇÃO DE VIDRO TEMPERADO, E = 10 MM, ENCAIXADO EM PERFIL U. AF_01/2021_PS</t>
  </si>
  <si>
    <t>DISTRITO DE TRIGOLÂNDIA, MUNICÍPIO DE PIÊN-PR</t>
  </si>
  <si>
    <t>OBRA/ BLOCO:</t>
  </si>
  <si>
    <t>LIMPEZA FINAL</t>
  </si>
  <si>
    <t>FORNECIMENTO E INSTALAÇÃO DE PLACA DE OBRA COM CHAPA GALVANIZADA E ESTRUTURA DE MADEIRA. AF_03/2022_PS</t>
  </si>
  <si>
    <t>TOTAL DO ITEM 1 =</t>
  </si>
  <si>
    <t>FABRICAÇÃO, MONTAGEM E DESMONTAGEM DE FÔRMA PARA SAPATA, EM MADEIRA SERRADA, E=25 MM, 4 UTILIZAÇÕES. AF_06/2017</t>
  </si>
  <si>
    <t>LAJE PRÉ-MOLDADA UNIDIRECIONAL, BIAPOIADA, PARA FORRO, ENCHIMENTO EM CERÂMICA, VIGOTA CONVENCIONAL, ALTURA TOTAL DA LAJE (ENCHIMENTO+CAPA) = (8+3). AF_11/2020_PA</t>
  </si>
  <si>
    <t>ALVENARIA DE VEDAÇÃO DE BLOCOS CERÂMICOS FURADOS NA HORIZONTAL DE 14X9X19 CM (ESPESSURA 14 CM, BLOCO DEITADO) E ARGAMASSA DE ASSENTAMENTO COM PREPARO EM BETONEIRA. AF_12/2021</t>
  </si>
  <si>
    <t>INSTALAÇÃO DE TESOURA (INTEIRA OU MEIA), BIAPOIADA, EM MADEIRA NÃO APARELHADA, PARA VÃOS MAIORES OU IGUAIS A 6,0 M E MENORES QUE 8,0 M, INCLUSO IÇAMENTO. AF_07/2019</t>
  </si>
  <si>
    <t>PINTURA TINTA DE ACABAMENTO (PIGMENTADA) A ÓLEO EM MADEIRA, 2 DEMÃOS. AF_01/2021 (PINTURA DE PORTAS, MARCO E ESPELHOS DAS ABAS)</t>
  </si>
  <si>
    <t>FORRO EM RÉGUAS DE PVC, FRISADO, PARA AMBIENTES RESIDENCIAIS, INCLUSIVE ESTRUTURA UNIDIRECIONAL DE FIXAÇÃO. AF_08/2023_PS</t>
  </si>
  <si>
    <t>INSTALAÇÕES ELÉTRICAS</t>
  </si>
  <si>
    <t>INSTALAÇÕES HIDRÁULICAS</t>
  </si>
  <si>
    <t>REGISTRO DE GAVETA BRUTO, LATÃO, ROSCÁVEL, 3/4", COM ACABAMENTO E CANOPLA UM CROMADOS - FORNECIMENTO E INSTALAÇÃO. AF_08/2021</t>
  </si>
  <si>
    <t>TUBO PVC, SERIE NORMAL, ESGOTO PREDIAL, DN 100 MM, FORNECIDO E INSTALADO EM RAMAL DE DESCARGA OU RAMAL DE ESGOTO SANITÁRIO. AF_08/2022</t>
  </si>
  <si>
    <t>CERCA COM MOURÕES DE CONCRETO, RETO, H=3,00 M, ESPAÇAMENTO DE 2,5 M, CRAVADOS 0,5 M, COM 4 FIOS DE ARAME DE AÇO OVALADO 15X17 - FORNECIMENTO E INSTA
LAÇÃO. AF_05/2020</t>
  </si>
  <si>
    <t>PILAR QUADRADO NAO APARELHADO *15 X 15* CM, EM MACARANDUBA/MASSARANDUBA, ANGELIM OU EQUIVALENTE DA REGIAO</t>
  </si>
  <si>
    <t>VIGA APARELHADA *6 X 16* CM, EM MACARANDUBA/MASSARANDUBA, ANGELIM OU EQUIVALENTE DA REGIAO</t>
  </si>
  <si>
    <t>TOTAL DO ITEM 2.1 =</t>
  </si>
  <si>
    <t>TOTAL DO ITEM 2.2 =</t>
  </si>
  <si>
    <t>TOTAL DO ITEM 2 =</t>
  </si>
  <si>
    <t>TOTAL DO ITEM 3.1 =</t>
  </si>
  <si>
    <t>TOTAL DO ITEM 3.2 =</t>
  </si>
  <si>
    <t>TOTAL DO ITEM 3.3 =</t>
  </si>
  <si>
    <t>TOTAL DO ITEM 3 =</t>
  </si>
  <si>
    <t>TOTAL DO ITEM 4 =</t>
  </si>
  <si>
    <t>TOTAL DO ITEM 5 =</t>
  </si>
  <si>
    <t>TOTAL DO ITEM 6 =</t>
  </si>
  <si>
    <t>TOTAL DO ITEM 7 =</t>
  </si>
  <si>
    <t>TOTAL DO ITEM 8 =</t>
  </si>
  <si>
    <t>TOTAL DO ITEM 9 =</t>
  </si>
  <si>
    <t>TOTAL DO ITEM 10 =</t>
  </si>
  <si>
    <t>TOTAL DO ITEM 11 =</t>
  </si>
  <si>
    <t>TOTAL DO ITEM 12 =</t>
  </si>
  <si>
    <t>TOTAL DO ITEM 13 =</t>
  </si>
  <si>
    <t>TOTAL DO ITEM 14 =</t>
  </si>
  <si>
    <t>TOTAL DO ITEM 15 =</t>
  </si>
  <si>
    <t>TOTAL DO ITEM 16 =</t>
  </si>
  <si>
    <t>TOTAL DO ITEM 15.1 =</t>
  </si>
  <si>
    <t>TOTAL DO ITEM 15.2 =</t>
  </si>
  <si>
    <t>TOTAL DO ITEM 17 =</t>
  </si>
  <si>
    <t>TOTAL DO ITEM 18 =</t>
  </si>
  <si>
    <t>TOTAL  GLOBAL =</t>
  </si>
  <si>
    <t>Guatambú/SC,  26 de janeiro de 2024</t>
  </si>
  <si>
    <t>PREFEITURA MUNICIPAL DE PIÊN PR</t>
  </si>
  <si>
    <t xml:space="preserve">CNPJ: 76.002.666/0001-40 </t>
  </si>
  <si>
    <t>PONTO DE CONSUMO TERMINAL DE ÁGUA FRIA (SUBRAMAL) COM TUBULAÇÃO DE PVC, DN 25 MM, INSTALADO EM RAMAL DE ÁGUA, INCLUSOS RASGO E CHUMBAMENTO EM ALVENARIA. AF_12/2014</t>
  </si>
  <si>
    <t>LUMINÁRIA DE EMERGÊNCIA, COM 30 LÂMPADAS LED DE 2 W, SEM REATOR - FORNECIMENTO E INSTALAÇÃO. AF_02/2020</t>
  </si>
  <si>
    <t>INSTALAÇÕES SANITÁRIAS</t>
  </si>
  <si>
    <t xml:space="preserve">LOUÇAS, ACESSÓRIOS E METAIS </t>
  </si>
  <si>
    <t xml:space="preserve">ÁREA EXTERNA </t>
  </si>
  <si>
    <t>HALL DE ENTRADA COBERTO</t>
  </si>
  <si>
    <t>INSTALAÇÕES DO SISTEMA PREVENTIVO CONTRA INCÊNDIO</t>
  </si>
  <si>
    <t>OBRA/BLOCO:</t>
  </si>
  <si>
    <t>Guatambú/SC, 26 de janeiro de 2024</t>
  </si>
  <si>
    <t>PREFEITURA MUNICIPAL DE PIÊN/PR</t>
  </si>
  <si>
    <t>CNPJ: 76.002.666/0001-40</t>
  </si>
  <si>
    <t xml:space="preserve">TOTAL DA COMPOSIÇÃO 1 = </t>
  </si>
  <si>
    <t xml:space="preserve">TOTAL DA COMPOSIÇÃO 2 = </t>
  </si>
  <si>
    <t xml:space="preserve">TOTAL DA COMPOSIÇÃO 3 = </t>
  </si>
  <si>
    <t xml:space="preserve">TOTAL DA COMPOSIÇÃO 4 = </t>
  </si>
  <si>
    <t xml:space="preserve">TOTAL DA COMPOSIÇÃO 5 = </t>
  </si>
  <si>
    <t xml:space="preserve">TOTAL DA COMPOSIÇÃO 6 = </t>
  </si>
  <si>
    <t xml:space="preserve">TOTAL DA COMPOSIÇÃO 7 = </t>
  </si>
  <si>
    <t xml:space="preserve">TOTAL DA COMPOSIÇÃO 8 = </t>
  </si>
  <si>
    <t xml:space="preserve">TOTAL DA COMPOSIÇÃO 9 = </t>
  </si>
  <si>
    <t xml:space="preserve">TOTAL DA COMPOSIÇÃO 10 = </t>
  </si>
  <si>
    <t xml:space="preserve">TOTAL DA COMPOSIÇÃO 11 = </t>
  </si>
  <si>
    <t xml:space="preserve">TOTAL DA COMPOSIÇÃO 12 = </t>
  </si>
  <si>
    <t xml:space="preserve">TOTAL DA COMPOSIÇÃO 13 = </t>
  </si>
  <si>
    <t>REVESTIMENTOS EM PAREDES (ARGAMSSADOS E CERÂMICOS)</t>
  </si>
  <si>
    <t>COMPLEXO ESCOLA ESPECIAL / BLOCO 01 (SEDE ESCOLA ESPECIAL)</t>
  </si>
  <si>
    <t>COMPLEXO ESCOLA ESPECIAL / BLOCO 01 (SDE ESCOLA ESPECIAL)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</si>
</sst>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 * #,##0.00_ ;_ * \-#,##0.00_ ;_ * &quot;-&quot;??_ ;_ @_ 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_(&quot;R$&quot;* #,##0.00_);_(&quot;R$&quot;* \(#,##0.00\);_(&quot;R$&quot;* &quot;-&quot;??_);_(@_)"/>
    <numFmt numFmtId="168" formatCode="#\,##0.00"/>
    <numFmt numFmtId="169" formatCode="#\,##0."/>
    <numFmt numFmtId="170" formatCode="\$#.00"/>
    <numFmt numFmtId="171" formatCode="\$#."/>
    <numFmt numFmtId="172" formatCode="#.00"/>
    <numFmt numFmtId="173" formatCode="%#.00"/>
    <numFmt numFmtId="174" formatCode="&quot;R$&quot;\ #,##0.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8"/>
      <name val="Times New Roman"/>
      <family val="1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b/>
      <sz val="11"/>
      <name val="Arial"/>
      <family val="2"/>
    </font>
    <font>
      <sz val="8"/>
      <name val="Calibri"/>
      <family val="2"/>
      <scheme val="minor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8918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27447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168" fontId="7" fillId="0" borderId="0">
      <protection locked="0"/>
    </xf>
    <xf numFmtId="169" fontId="7" fillId="0" borderId="0">
      <protection locked="0"/>
    </xf>
    <xf numFmtId="170" fontId="7" fillId="0" borderId="0">
      <protection locked="0"/>
    </xf>
    <xf numFmtId="171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0"/>
    <xf numFmtId="0" fontId="4" fillId="0" borderId="0"/>
    <xf numFmtId="172" fontId="7" fillId="0" borderId="0">
      <protection locked="0"/>
    </xf>
    <xf numFmtId="172" fontId="7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44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173" fontId="7" fillId="0" borderId="0">
      <protection locked="0"/>
    </xf>
    <xf numFmtId="173" fontId="7" fillId="0" borderId="0">
      <protection locked="0"/>
    </xf>
    <xf numFmtId="0" fontId="8" fillId="0" borderId="1" applyNumberFormat="0" applyFont="0" applyBorder="0" applyAlignment="0"/>
    <xf numFmtId="168" fontId="7" fillId="0" borderId="0">
      <protection locked="0"/>
    </xf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>
      <protection locked="0"/>
    </xf>
    <xf numFmtId="0" fontId="9" fillId="0" borderId="0">
      <protection locked="0"/>
    </xf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167" fontId="14" fillId="0" borderId="2" xfId="13" applyNumberFormat="1" applyFont="1" applyFill="1" applyBorder="1" applyAlignment="1">
      <alignment vertical="center" wrapText="1"/>
    </xf>
    <xf numFmtId="167" fontId="14" fillId="3" borderId="2" xfId="13" applyNumberFormat="1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2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167" fontId="16" fillId="8" borderId="2" xfId="13" applyNumberFormat="1" applyFont="1" applyFill="1" applyBorder="1" applyAlignment="1">
      <alignment vertical="center" wrapText="1"/>
    </xf>
    <xf numFmtId="10" fontId="14" fillId="6" borderId="2" xfId="0" applyNumberFormat="1" applyFont="1" applyFill="1" applyBorder="1" applyAlignment="1">
      <alignment horizontal="center" vertical="center"/>
    </xf>
    <xf numFmtId="44" fontId="14" fillId="6" borderId="2" xfId="0" applyNumberFormat="1" applyFont="1" applyFill="1" applyBorder="1" applyAlignment="1">
      <alignment horizontal="center" vertical="center"/>
    </xf>
    <xf numFmtId="2" fontId="14" fillId="6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174" fontId="14" fillId="6" borderId="2" xfId="0" applyNumberFormat="1" applyFont="1" applyFill="1" applyBorder="1" applyAlignment="1">
      <alignment horizontal="center" vertical="center" wrapText="1"/>
    </xf>
    <xf numFmtId="174" fontId="22" fillId="0" borderId="0" xfId="0" applyNumberFormat="1" applyFont="1" applyAlignment="1">
      <alignment horizontal="center" vertical="center"/>
    </xf>
    <xf numFmtId="174" fontId="21" fillId="0" borderId="0" xfId="0" applyNumberFormat="1" applyFont="1" applyAlignment="1">
      <alignment horizontal="center" vertical="center"/>
    </xf>
    <xf numFmtId="174" fontId="18" fillId="0" borderId="0" xfId="0" applyNumberFormat="1" applyFont="1" applyAlignment="1">
      <alignment vertical="center"/>
    </xf>
    <xf numFmtId="174" fontId="18" fillId="0" borderId="2" xfId="0" applyNumberFormat="1" applyFont="1" applyBorder="1" applyAlignment="1">
      <alignment vertical="center"/>
    </xf>
    <xf numFmtId="2" fontId="22" fillId="0" borderId="0" xfId="0" applyNumberFormat="1" applyFont="1" applyAlignment="1">
      <alignment horizontal="center" vertical="center"/>
    </xf>
    <xf numFmtId="2" fontId="18" fillId="0" borderId="0" xfId="0" applyNumberFormat="1" applyFont="1" applyAlignment="1">
      <alignment vertical="center"/>
    </xf>
    <xf numFmtId="2" fontId="18" fillId="0" borderId="2" xfId="0" applyNumberFormat="1" applyFont="1" applyBorder="1" applyAlignment="1">
      <alignment vertical="center"/>
    </xf>
    <xf numFmtId="2" fontId="14" fillId="0" borderId="2" xfId="31" applyNumberFormat="1" applyFont="1" applyFill="1" applyBorder="1" applyAlignment="1">
      <alignment horizontal="center" vertical="center"/>
    </xf>
    <xf numFmtId="174" fontId="14" fillId="0" borderId="2" xfId="13" applyNumberFormat="1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174" fontId="14" fillId="6" borderId="2" xfId="0" applyNumberFormat="1" applyFont="1" applyFill="1" applyBorder="1" applyAlignment="1">
      <alignment horizontal="right" vertical="center" wrapText="1"/>
    </xf>
    <xf numFmtId="2" fontId="14" fillId="0" borderId="2" xfId="41" applyNumberFormat="1" applyFont="1" applyFill="1" applyBorder="1" applyAlignment="1">
      <alignment horizontal="center" vertical="center"/>
    </xf>
    <xf numFmtId="174" fontId="14" fillId="0" borderId="2" xfId="18" applyNumberFormat="1" applyFont="1" applyFill="1" applyBorder="1" applyAlignment="1">
      <alignment vertical="center" wrapText="1"/>
    </xf>
    <xf numFmtId="167" fontId="14" fillId="0" borderId="2" xfId="18" applyNumberFormat="1" applyFont="1" applyFill="1" applyBorder="1" applyAlignment="1">
      <alignment vertical="center" wrapText="1"/>
    </xf>
    <xf numFmtId="167" fontId="14" fillId="3" borderId="2" xfId="18" applyNumberFormat="1" applyFont="1" applyFill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10" fontId="14" fillId="9" borderId="2" xfId="0" applyNumberFormat="1" applyFont="1" applyFill="1" applyBorder="1" applyAlignment="1">
      <alignment horizontal="center" vertical="center"/>
    </xf>
    <xf numFmtId="9" fontId="14" fillId="9" borderId="2" xfId="0" applyNumberFormat="1" applyFont="1" applyFill="1" applyBorder="1" applyAlignment="1">
      <alignment horizontal="center" vertical="center" wrapText="1"/>
    </xf>
    <xf numFmtId="174" fontId="14" fillId="9" borderId="2" xfId="0" applyNumberFormat="1" applyFont="1" applyFill="1" applyBorder="1" applyAlignment="1">
      <alignment horizontal="center" vertical="center"/>
    </xf>
    <xf numFmtId="174" fontId="14" fillId="9" borderId="2" xfId="0" applyNumberFormat="1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10" borderId="2" xfId="0" applyFont="1" applyFill="1" applyBorder="1" applyAlignment="1">
      <alignment horizontal="center" vertical="center" wrapText="1"/>
    </xf>
    <xf numFmtId="2" fontId="16" fillId="10" borderId="2" xfId="0" applyNumberFormat="1" applyFont="1" applyFill="1" applyBorder="1" applyAlignment="1">
      <alignment horizontal="center" vertical="center" wrapText="1"/>
    </xf>
    <xf numFmtId="174" fontId="16" fillId="10" borderId="2" xfId="0" applyNumberFormat="1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/>
    </xf>
    <xf numFmtId="167" fontId="14" fillId="6" borderId="2" xfId="18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7" fontId="16" fillId="8" borderId="2" xfId="18" applyNumberFormat="1" applyFont="1" applyFill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174" fontId="16" fillId="4" borderId="5" xfId="0" applyNumberFormat="1" applyFont="1" applyFill="1" applyBorder="1" applyAlignment="1">
      <alignment horizontal="right" vertical="center" wrapText="1"/>
    </xf>
    <xf numFmtId="0" fontId="25" fillId="6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10" fillId="0" borderId="5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2" fontId="21" fillId="0" borderId="0" xfId="0" applyNumberFormat="1" applyFont="1" applyAlignment="1">
      <alignment horizontal="left" vertical="center"/>
    </xf>
    <xf numFmtId="174" fontId="21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2" fontId="14" fillId="0" borderId="0" xfId="0" applyNumberFormat="1" applyFont="1" applyAlignment="1">
      <alignment horizontal="left" vertical="center"/>
    </xf>
    <xf numFmtId="174" fontId="14" fillId="0" borderId="0" xfId="0" applyNumberFormat="1" applyFont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174" fontId="22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174" fontId="20" fillId="0" borderId="0" xfId="0" applyNumberFormat="1" applyFont="1" applyAlignment="1">
      <alignment horizontal="left" vertical="center"/>
    </xf>
    <xf numFmtId="174" fontId="14" fillId="0" borderId="0" xfId="0" applyNumberFormat="1" applyFont="1" applyAlignment="1">
      <alignment horizontal="left" vertical="center" wrapText="1"/>
    </xf>
    <xf numFmtId="174" fontId="15" fillId="0" borderId="0" xfId="0" applyNumberFormat="1" applyFont="1" applyAlignment="1">
      <alignment vertical="center"/>
    </xf>
    <xf numFmtId="174" fontId="0" fillId="0" borderId="0" xfId="0" applyNumberFormat="1" applyAlignment="1">
      <alignment horizontal="left" vertical="center"/>
    </xf>
    <xf numFmtId="174" fontId="0" fillId="0" borderId="0" xfId="0" applyNumberFormat="1" applyAlignment="1">
      <alignment vertical="center"/>
    </xf>
    <xf numFmtId="174" fontId="17" fillId="0" borderId="0" xfId="0" applyNumberFormat="1" applyFont="1" applyAlignment="1">
      <alignment horizontal="left" vertical="center"/>
    </xf>
    <xf numFmtId="9" fontId="14" fillId="0" borderId="2" xfId="0" applyNumberFormat="1" applyFont="1" applyFill="1" applyBorder="1" applyAlignment="1">
      <alignment horizontal="center" vertical="center" wrapText="1"/>
    </xf>
    <xf numFmtId="174" fontId="14" fillId="0" borderId="2" xfId="0" applyNumberFormat="1" applyFont="1" applyFill="1" applyBorder="1" applyAlignment="1">
      <alignment horizontal="center" vertical="center"/>
    </xf>
    <xf numFmtId="10" fontId="14" fillId="0" borderId="2" xfId="0" applyNumberFormat="1" applyFont="1" applyFill="1" applyBorder="1" applyAlignment="1">
      <alignment horizontal="center" vertical="center"/>
    </xf>
    <xf numFmtId="174" fontId="14" fillId="0" borderId="2" xfId="0" applyNumberFormat="1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/>
    </xf>
    <xf numFmtId="44" fontId="14" fillId="9" borderId="2" xfId="0" applyNumberFormat="1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6" fillId="8" borderId="3" xfId="0" quotePrefix="1" applyFont="1" applyFill="1" applyBorder="1" applyAlignment="1">
      <alignment horizontal="right" vertical="center"/>
    </xf>
    <xf numFmtId="0" fontId="16" fillId="8" borderId="4" xfId="0" quotePrefix="1" applyFont="1" applyFill="1" applyBorder="1" applyAlignment="1">
      <alignment horizontal="right" vertical="center"/>
    </xf>
    <xf numFmtId="0" fontId="16" fillId="8" borderId="5" xfId="0" quotePrefix="1" applyFont="1" applyFill="1" applyBorder="1" applyAlignment="1">
      <alignment horizontal="right" vertical="center"/>
    </xf>
    <xf numFmtId="0" fontId="16" fillId="11" borderId="3" xfId="0" applyFont="1" applyFill="1" applyBorder="1" applyAlignment="1">
      <alignment horizontal="left" vertical="center" wrapText="1"/>
    </xf>
    <xf numFmtId="0" fontId="16" fillId="11" borderId="4" xfId="0" applyFont="1" applyFill="1" applyBorder="1" applyAlignment="1">
      <alignment horizontal="left" vertical="center" wrapText="1"/>
    </xf>
    <xf numFmtId="0" fontId="16" fillId="11" borderId="5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17" fontId="16" fillId="5" borderId="2" xfId="0" applyNumberFormat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6" fillId="12" borderId="2" xfId="0" applyFont="1" applyFill="1" applyBorder="1" applyAlignment="1">
      <alignment horizontal="center" vertical="center" wrapText="1"/>
    </xf>
    <xf numFmtId="44" fontId="13" fillId="4" borderId="2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0" fontId="16" fillId="5" borderId="2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6" borderId="2" xfId="0" applyFont="1" applyFill="1" applyBorder="1" applyAlignment="1">
      <alignment horizontal="left" vertical="center" wrapText="1"/>
    </xf>
    <xf numFmtId="0" fontId="14" fillId="9" borderId="2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74" fontId="14" fillId="0" borderId="2" xfId="0" applyNumberFormat="1" applyFont="1" applyBorder="1" applyAlignment="1">
      <alignment horizontal="center" vertical="center" wrapText="1"/>
    </xf>
    <xf numFmtId="44" fontId="14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 wrapText="1"/>
    </xf>
    <xf numFmtId="0" fontId="16" fillId="7" borderId="4" xfId="0" applyFont="1" applyFill="1" applyBorder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/>
    </xf>
    <xf numFmtId="0" fontId="26" fillId="12" borderId="3" xfId="0" applyFont="1" applyFill="1" applyBorder="1" applyAlignment="1">
      <alignment horizontal="center" vertical="center" wrapText="1"/>
    </xf>
    <xf numFmtId="0" fontId="26" fillId="12" borderId="4" xfId="0" applyFont="1" applyFill="1" applyBorder="1" applyAlignment="1">
      <alignment horizontal="center" vertical="center" wrapText="1"/>
    </xf>
    <xf numFmtId="0" fontId="26" fillId="12" borderId="5" xfId="0" applyFont="1" applyFill="1" applyBorder="1" applyAlignment="1">
      <alignment horizontal="center" vertical="center" wrapText="1"/>
    </xf>
  </cellXfs>
  <cellStyles count="42">
    <cellStyle name="Comma" xfId="1"/>
    <cellStyle name="Comma0" xfId="2"/>
    <cellStyle name="Currency" xfId="3"/>
    <cellStyle name="Currency0" xfId="4"/>
    <cellStyle name="Data" xfId="5"/>
    <cellStyle name="Date" xfId="6"/>
    <cellStyle name="Estilo 1" xfId="7"/>
    <cellStyle name="Estilo 1 2" xfId="8"/>
    <cellStyle name="Fixed" xfId="9"/>
    <cellStyle name="Fixo" xfId="10"/>
    <cellStyle name="Heading 1" xfId="11"/>
    <cellStyle name="Heading 2" xfId="12"/>
    <cellStyle name="Moeda" xfId="13" builtinId="4"/>
    <cellStyle name="Moeda 2" xfId="14"/>
    <cellStyle name="Moeda 2 2" xfId="15"/>
    <cellStyle name="Moeda 3" xfId="16"/>
    <cellStyle name="Moeda 3 2" xfId="17"/>
    <cellStyle name="Moeda 4" xfId="18"/>
    <cellStyle name="Normal" xfId="0" builtinId="0"/>
    <cellStyle name="Normal 2" xfId="19"/>
    <cellStyle name="Normal 3" xfId="20"/>
    <cellStyle name="Normal 3 3" xfId="21"/>
    <cellStyle name="Percent" xfId="22"/>
    <cellStyle name="Percentual" xfId="23"/>
    <cellStyle name="planilhas" xfId="24"/>
    <cellStyle name="Ponto" xfId="25"/>
    <cellStyle name="Porcentagem 2" xfId="26"/>
    <cellStyle name="Porcentagem 2 2" xfId="27"/>
    <cellStyle name="Porcentagem 2 2 2" xfId="28"/>
    <cellStyle name="Porcentagem 2 3" xfId="29"/>
    <cellStyle name="Porcentagem 3" xfId="30"/>
    <cellStyle name="Separador de milhares 2" xfId="32"/>
    <cellStyle name="Separador de milhares 2 2" xfId="33"/>
    <cellStyle name="Separador de milhares 2 2 2" xfId="34"/>
    <cellStyle name="Separador de milhares 2 3" xfId="35"/>
    <cellStyle name="Separador de milhares 3" xfId="36"/>
    <cellStyle name="Separador de milhares 3 2" xfId="37"/>
    <cellStyle name="Titulo1" xfId="38"/>
    <cellStyle name="Titulo2" xfId="39"/>
    <cellStyle name="Vírgula" xfId="31" builtinId="3"/>
    <cellStyle name="Vírgula 2" xfId="40"/>
    <cellStyle name="Vírgula 3" xfId="41"/>
  </cellStyles>
  <dxfs count="0"/>
  <tableStyles count="0" defaultTableStyle="TableStyleMedium9" defaultPivotStyle="PivotStyleLight16"/>
  <colors>
    <mruColors>
      <color rgb="FFF18918"/>
      <color rgb="FF274470"/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83521</xdr:colOff>
      <xdr:row>0</xdr:row>
      <xdr:rowOff>98961</xdr:rowOff>
    </xdr:from>
    <xdr:to>
      <xdr:col>2</xdr:col>
      <xdr:colOff>516399</xdr:colOff>
      <xdr:row>4</xdr:row>
      <xdr:rowOff>179416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193" y="98961"/>
          <a:ext cx="1010947" cy="11971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64670</xdr:colOff>
      <xdr:row>0</xdr:row>
      <xdr:rowOff>98425</xdr:rowOff>
    </xdr:from>
    <xdr:to>
      <xdr:col>2</xdr:col>
      <xdr:colOff>561394</xdr:colOff>
      <xdr:row>4</xdr:row>
      <xdr:rowOff>228600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170" y="98425"/>
          <a:ext cx="1093624" cy="1247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51000</xdr:colOff>
      <xdr:row>0</xdr:row>
      <xdr:rowOff>103868</xdr:rowOff>
    </xdr:from>
    <xdr:to>
      <xdr:col>2</xdr:col>
      <xdr:colOff>540179</xdr:colOff>
      <xdr:row>4</xdr:row>
      <xdr:rowOff>268653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58" y="103868"/>
          <a:ext cx="1075333" cy="12760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co-0\trabalhos\Trabalhos%20em%20Andamento\Santa%20B&#225;rbara\Petrobr&#225;s\Edise\06-%20Custo\C&#193;LCULO%20DE%20BDI%20SISC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retas"/>
      <sheetName val="CANTEIRO"/>
      <sheetName val="BDI - ANALÍTICO 1"/>
      <sheetName val="BDI - ANALÍTICO 2"/>
      <sheetName val="BDI - APRESENTAÇÃO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462"/>
  <sheetViews>
    <sheetView showGridLines="0" view="pageBreakPreview" zoomScale="75" zoomScaleNormal="70" zoomScaleSheetLayoutView="75" workbookViewId="0">
      <pane ySplit="7" topLeftCell="A188" activePane="bottomLeft" state="frozen"/>
      <selection pane="bottomLeft" activeCell="C190" sqref="C190:F190"/>
    </sheetView>
  </sheetViews>
  <sheetFormatPr defaultColWidth="9.140625" defaultRowHeight="15" x14ac:dyDescent="0.25"/>
  <cols>
    <col min="1" max="1" width="1.7109375" style="20" customWidth="1"/>
    <col min="2" max="2" width="8.7109375" style="28" customWidth="1"/>
    <col min="3" max="3" width="8.85546875" style="28" customWidth="1"/>
    <col min="4" max="4" width="17.140625" style="28" customWidth="1"/>
    <col min="5" max="5" width="12.42578125" style="28" bestFit="1" customWidth="1"/>
    <col min="6" max="6" width="97.42578125" style="28" customWidth="1"/>
    <col min="7" max="7" width="14.7109375" style="29" customWidth="1"/>
    <col min="8" max="8" width="7.7109375" style="28" customWidth="1"/>
    <col min="9" max="9" width="11.7109375" style="37" customWidth="1"/>
    <col min="10" max="10" width="19.85546875" style="34" customWidth="1"/>
    <col min="11" max="12" width="18.7109375" style="28" customWidth="1"/>
    <col min="13" max="13" width="9.140625" style="20"/>
    <col min="14" max="14" width="29.5703125" style="20" customWidth="1"/>
    <col min="15" max="16384" width="9.140625" style="20"/>
  </cols>
  <sheetData>
    <row r="1" spans="2:12" ht="30" customHeight="1" x14ac:dyDescent="0.25">
      <c r="B1" s="121"/>
      <c r="C1" s="121"/>
      <c r="D1" s="110" t="s">
        <v>24</v>
      </c>
      <c r="E1" s="110"/>
      <c r="F1" s="110"/>
      <c r="G1" s="110"/>
      <c r="H1" s="110"/>
      <c r="I1" s="110"/>
      <c r="J1" s="110"/>
      <c r="K1" s="111">
        <f>L197</f>
        <v>723892.64978253131</v>
      </c>
      <c r="L1" s="111"/>
    </row>
    <row r="2" spans="2:12" ht="6" customHeight="1" x14ac:dyDescent="0.25">
      <c r="B2" s="121"/>
      <c r="C2" s="121"/>
      <c r="D2" s="116"/>
      <c r="E2" s="117"/>
      <c r="F2" s="117"/>
      <c r="G2" s="117"/>
      <c r="H2" s="117"/>
      <c r="I2" s="117"/>
      <c r="J2" s="118"/>
      <c r="K2" s="118"/>
      <c r="L2" s="119"/>
    </row>
    <row r="3" spans="2:12" ht="26.25" customHeight="1" x14ac:dyDescent="0.25">
      <c r="B3" s="121"/>
      <c r="C3" s="121"/>
      <c r="D3" s="61" t="s">
        <v>410</v>
      </c>
      <c r="E3" s="122" t="s">
        <v>480</v>
      </c>
      <c r="F3" s="123"/>
      <c r="G3" s="63">
        <v>1.2273000000000001</v>
      </c>
      <c r="H3" s="64"/>
      <c r="I3" s="65"/>
      <c r="J3" s="62" t="s">
        <v>23</v>
      </c>
      <c r="K3" s="120">
        <v>0.2273</v>
      </c>
      <c r="L3" s="120"/>
    </row>
    <row r="4" spans="2:12" ht="25.5" customHeight="1" x14ac:dyDescent="0.25">
      <c r="B4" s="121"/>
      <c r="C4" s="121"/>
      <c r="D4" s="61" t="s">
        <v>10</v>
      </c>
      <c r="E4" s="96" t="s">
        <v>409</v>
      </c>
      <c r="F4" s="97"/>
      <c r="G4" s="66"/>
      <c r="H4" s="64"/>
      <c r="I4" s="65"/>
      <c r="J4" s="62" t="s">
        <v>22</v>
      </c>
      <c r="K4" s="109" t="s">
        <v>25</v>
      </c>
      <c r="L4" s="109"/>
    </row>
    <row r="5" spans="2:12" ht="25.5" customHeight="1" x14ac:dyDescent="0.25">
      <c r="B5" s="121"/>
      <c r="C5" s="121"/>
      <c r="D5" s="61" t="s">
        <v>4</v>
      </c>
      <c r="E5" s="96" t="s">
        <v>385</v>
      </c>
      <c r="F5" s="97"/>
      <c r="G5" s="66"/>
      <c r="H5" s="67"/>
      <c r="I5" s="65"/>
      <c r="J5" s="62" t="s">
        <v>21</v>
      </c>
      <c r="K5" s="108">
        <v>45310</v>
      </c>
      <c r="L5" s="109"/>
    </row>
    <row r="6" spans="2:12" ht="10.5" customHeight="1" x14ac:dyDescent="0.25">
      <c r="B6" s="112"/>
      <c r="C6" s="113"/>
      <c r="D6" s="113"/>
      <c r="E6" s="114"/>
      <c r="F6" s="114"/>
      <c r="G6" s="114"/>
      <c r="H6" s="114"/>
      <c r="I6" s="114"/>
      <c r="J6" s="113"/>
      <c r="K6" s="113"/>
      <c r="L6" s="115"/>
    </row>
    <row r="7" spans="2:12" s="21" customFormat="1" ht="46.5" customHeight="1" x14ac:dyDescent="0.25">
      <c r="B7" s="51" t="s">
        <v>11</v>
      </c>
      <c r="C7" s="124" t="s">
        <v>12</v>
      </c>
      <c r="D7" s="124"/>
      <c r="E7" s="124"/>
      <c r="F7" s="124"/>
      <c r="G7" s="52" t="s">
        <v>13</v>
      </c>
      <c r="H7" s="52" t="s">
        <v>2</v>
      </c>
      <c r="I7" s="53" t="s">
        <v>3</v>
      </c>
      <c r="J7" s="54" t="s">
        <v>17</v>
      </c>
      <c r="K7" s="52" t="s">
        <v>14</v>
      </c>
      <c r="L7" s="52" t="s">
        <v>15</v>
      </c>
    </row>
    <row r="8" spans="2:12" s="21" customFormat="1" ht="33" customHeight="1" x14ac:dyDescent="0.25">
      <c r="B8" s="55">
        <v>1</v>
      </c>
      <c r="C8" s="102" t="s">
        <v>48</v>
      </c>
      <c r="D8" s="103"/>
      <c r="E8" s="103"/>
      <c r="F8" s="103"/>
      <c r="G8" s="103"/>
      <c r="H8" s="103"/>
      <c r="I8" s="103"/>
      <c r="J8" s="103"/>
      <c r="K8" s="103"/>
      <c r="L8" s="104"/>
    </row>
    <row r="9" spans="2:12" s="21" customFormat="1" ht="39" customHeight="1" x14ac:dyDescent="0.25">
      <c r="B9" s="13" t="s">
        <v>82</v>
      </c>
      <c r="C9" s="93" t="s">
        <v>412</v>
      </c>
      <c r="D9" s="94"/>
      <c r="E9" s="94"/>
      <c r="F9" s="95"/>
      <c r="G9" s="12">
        <v>103689</v>
      </c>
      <c r="H9" s="12" t="s">
        <v>50</v>
      </c>
      <c r="I9" s="18">
        <v>2</v>
      </c>
      <c r="J9" s="30">
        <v>316.94</v>
      </c>
      <c r="K9" s="56">
        <f t="shared" ref="K9:K10" si="0">J9*$G$3</f>
        <v>388.98046199999999</v>
      </c>
      <c r="L9" s="45">
        <f t="shared" ref="L9:L10" si="1">I9*K9</f>
        <v>777.96092399999998</v>
      </c>
    </row>
    <row r="10" spans="2:12" s="21" customFormat="1" ht="39" customHeight="1" x14ac:dyDescent="0.25">
      <c r="B10" s="13" t="s">
        <v>0</v>
      </c>
      <c r="C10" s="93" t="s">
        <v>213</v>
      </c>
      <c r="D10" s="94"/>
      <c r="E10" s="94"/>
      <c r="F10" s="95"/>
      <c r="G10" s="12">
        <v>99059</v>
      </c>
      <c r="H10" s="12" t="s">
        <v>50</v>
      </c>
      <c r="I10" s="18">
        <f>22.97+22.97+9.5+9.5</f>
        <v>64.94</v>
      </c>
      <c r="J10" s="30">
        <v>66.42</v>
      </c>
      <c r="K10" s="56">
        <f t="shared" si="0"/>
        <v>81.517266000000006</v>
      </c>
      <c r="L10" s="45">
        <f t="shared" si="1"/>
        <v>5293.7312540399998</v>
      </c>
    </row>
    <row r="11" spans="2:12" s="21" customFormat="1" ht="33" customHeight="1" x14ac:dyDescent="0.25">
      <c r="B11" s="99" t="s">
        <v>413</v>
      </c>
      <c r="C11" s="100"/>
      <c r="D11" s="100"/>
      <c r="E11" s="100"/>
      <c r="F11" s="100"/>
      <c r="G11" s="100"/>
      <c r="H11" s="100"/>
      <c r="I11" s="100"/>
      <c r="J11" s="100"/>
      <c r="K11" s="101"/>
      <c r="L11" s="60">
        <f>SUM(L9:L10)</f>
        <v>6071.6921780399998</v>
      </c>
    </row>
    <row r="12" spans="2:12" s="21" customFormat="1" ht="33" customHeight="1" x14ac:dyDescent="0.25">
      <c r="B12" s="55">
        <v>2</v>
      </c>
      <c r="C12" s="102" t="s">
        <v>72</v>
      </c>
      <c r="D12" s="103"/>
      <c r="E12" s="103"/>
      <c r="F12" s="103"/>
      <c r="G12" s="103"/>
      <c r="H12" s="103"/>
      <c r="I12" s="103"/>
      <c r="J12" s="103"/>
      <c r="K12" s="103"/>
      <c r="L12" s="104"/>
    </row>
    <row r="13" spans="2:12" s="22" customFormat="1" ht="33" customHeight="1" x14ac:dyDescent="0.25">
      <c r="B13" s="11" t="s">
        <v>1</v>
      </c>
      <c r="C13" s="105" t="s">
        <v>78</v>
      </c>
      <c r="D13" s="106"/>
      <c r="E13" s="106"/>
      <c r="F13" s="106"/>
      <c r="G13" s="106"/>
      <c r="H13" s="106"/>
      <c r="I13" s="106"/>
      <c r="J13" s="106"/>
      <c r="K13" s="106"/>
      <c r="L13" s="107"/>
    </row>
    <row r="14" spans="2:12" s="21" customFormat="1" ht="39" customHeight="1" x14ac:dyDescent="0.25">
      <c r="B14" s="13" t="s">
        <v>97</v>
      </c>
      <c r="C14" s="93" t="s">
        <v>214</v>
      </c>
      <c r="D14" s="94"/>
      <c r="E14" s="94"/>
      <c r="F14" s="95"/>
      <c r="G14" s="12">
        <v>96523</v>
      </c>
      <c r="H14" s="12" t="s">
        <v>49</v>
      </c>
      <c r="I14" s="18">
        <f>0.8*0.8*0.5*31</f>
        <v>9.9200000000000017</v>
      </c>
      <c r="J14" s="30">
        <v>121.41</v>
      </c>
      <c r="K14" s="56">
        <f>J14*$G$3</f>
        <v>149.00649300000001</v>
      </c>
      <c r="L14" s="45">
        <f>I14*K14</f>
        <v>1478.1444105600003</v>
      </c>
    </row>
    <row r="15" spans="2:12" s="21" customFormat="1" ht="39" customHeight="1" x14ac:dyDescent="0.25">
      <c r="B15" s="13" t="s">
        <v>58</v>
      </c>
      <c r="C15" s="93" t="s">
        <v>215</v>
      </c>
      <c r="D15" s="94"/>
      <c r="E15" s="94"/>
      <c r="F15" s="95"/>
      <c r="G15" s="12">
        <v>95878</v>
      </c>
      <c r="H15" s="12" t="s">
        <v>49</v>
      </c>
      <c r="I15" s="18">
        <f>I14</f>
        <v>9.9200000000000017</v>
      </c>
      <c r="J15" s="30">
        <v>1.7</v>
      </c>
      <c r="K15" s="56">
        <f>J15*$G$3</f>
        <v>2.0864099999999999</v>
      </c>
      <c r="L15" s="45">
        <f>I15*K15</f>
        <v>20.697187200000002</v>
      </c>
    </row>
    <row r="16" spans="2:12" s="21" customFormat="1" ht="39" customHeight="1" x14ac:dyDescent="0.25">
      <c r="B16" s="13" t="s">
        <v>59</v>
      </c>
      <c r="C16" s="93" t="s">
        <v>216</v>
      </c>
      <c r="D16" s="94"/>
      <c r="E16" s="94"/>
      <c r="F16" s="95"/>
      <c r="G16" s="12">
        <v>96623</v>
      </c>
      <c r="H16" s="12" t="s">
        <v>49</v>
      </c>
      <c r="I16" s="18">
        <f>0.8*0.8*0.05*31</f>
        <v>0.99200000000000021</v>
      </c>
      <c r="J16" s="30">
        <v>201.15</v>
      </c>
      <c r="K16" s="56">
        <f t="shared" ref="K16" si="2">J16*$G$3</f>
        <v>246.87139500000001</v>
      </c>
      <c r="L16" s="45">
        <f t="shared" ref="L16" si="3">I16*K16</f>
        <v>244.89642384000007</v>
      </c>
    </row>
    <row r="17" spans="2:12" s="21" customFormat="1" ht="39" customHeight="1" x14ac:dyDescent="0.25">
      <c r="B17" s="13" t="s">
        <v>59</v>
      </c>
      <c r="C17" s="93" t="s">
        <v>217</v>
      </c>
      <c r="D17" s="94"/>
      <c r="E17" s="94"/>
      <c r="F17" s="95"/>
      <c r="G17" s="12">
        <v>96619</v>
      </c>
      <c r="H17" s="12" t="s">
        <v>50</v>
      </c>
      <c r="I17" s="18">
        <f>0.8*0.8*0.05*31</f>
        <v>0.99200000000000021</v>
      </c>
      <c r="J17" s="30">
        <v>34.56</v>
      </c>
      <c r="K17" s="56">
        <f t="shared" ref="K17:K21" si="4">J17*$G$3</f>
        <v>42.415488000000003</v>
      </c>
      <c r="L17" s="45">
        <f t="shared" ref="L17:L21" si="5">I17*K17</f>
        <v>42.076164096000014</v>
      </c>
    </row>
    <row r="18" spans="2:12" s="21" customFormat="1" ht="39" customHeight="1" x14ac:dyDescent="0.25">
      <c r="B18" s="13" t="s">
        <v>98</v>
      </c>
      <c r="C18" s="93" t="s">
        <v>414</v>
      </c>
      <c r="D18" s="94"/>
      <c r="E18" s="94"/>
      <c r="F18" s="95"/>
      <c r="G18" s="12">
        <v>96535</v>
      </c>
      <c r="H18" s="12" t="s">
        <v>50</v>
      </c>
      <c r="I18" s="18">
        <f>(0.8*4)*0.3*31</f>
        <v>29.759999999999998</v>
      </c>
      <c r="J18" s="30">
        <v>180.67</v>
      </c>
      <c r="K18" s="56">
        <f t="shared" si="4"/>
        <v>221.73629099999999</v>
      </c>
      <c r="L18" s="45">
        <f t="shared" si="5"/>
        <v>6598.872020159999</v>
      </c>
    </row>
    <row r="19" spans="2:12" s="21" customFormat="1" ht="39" customHeight="1" x14ac:dyDescent="0.25">
      <c r="B19" s="13" t="s">
        <v>99</v>
      </c>
      <c r="C19" s="93" t="s">
        <v>223</v>
      </c>
      <c r="D19" s="94"/>
      <c r="E19" s="94"/>
      <c r="F19" s="95"/>
      <c r="G19" s="12">
        <v>92917</v>
      </c>
      <c r="H19" s="12" t="s">
        <v>51</v>
      </c>
      <c r="I19" s="18">
        <v>186</v>
      </c>
      <c r="J19" s="30">
        <v>13.84</v>
      </c>
      <c r="K19" s="56">
        <f t="shared" si="4"/>
        <v>16.985832000000002</v>
      </c>
      <c r="L19" s="45">
        <f t="shared" si="5"/>
        <v>3159.3647520000004</v>
      </c>
    </row>
    <row r="20" spans="2:12" s="21" customFormat="1" ht="39" customHeight="1" x14ac:dyDescent="0.25">
      <c r="B20" s="13" t="s">
        <v>100</v>
      </c>
      <c r="C20" s="93" t="s">
        <v>218</v>
      </c>
      <c r="D20" s="94"/>
      <c r="E20" s="94"/>
      <c r="F20" s="95"/>
      <c r="G20" s="12">
        <v>96557</v>
      </c>
      <c r="H20" s="12" t="s">
        <v>49</v>
      </c>
      <c r="I20" s="18">
        <f>0.8*0.8*0.3*31</f>
        <v>5.9520000000000008</v>
      </c>
      <c r="J20" s="30">
        <v>593.11</v>
      </c>
      <c r="K20" s="56">
        <f t="shared" si="4"/>
        <v>727.923903</v>
      </c>
      <c r="L20" s="45">
        <f t="shared" si="5"/>
        <v>4332.6030706560005</v>
      </c>
    </row>
    <row r="21" spans="2:12" s="21" customFormat="1" ht="39" customHeight="1" x14ac:dyDescent="0.25">
      <c r="B21" s="13" t="s">
        <v>101</v>
      </c>
      <c r="C21" s="93" t="s">
        <v>219</v>
      </c>
      <c r="D21" s="94"/>
      <c r="E21" s="94"/>
      <c r="F21" s="95"/>
      <c r="G21" s="12">
        <v>93382</v>
      </c>
      <c r="H21" s="12" t="s">
        <v>49</v>
      </c>
      <c r="I21" s="18">
        <f>I14*0.5</f>
        <v>4.9600000000000009</v>
      </c>
      <c r="J21" s="30">
        <v>30.86</v>
      </c>
      <c r="K21" s="56">
        <f t="shared" si="4"/>
        <v>37.874478000000003</v>
      </c>
      <c r="L21" s="45">
        <f t="shared" si="5"/>
        <v>187.85741088000006</v>
      </c>
    </row>
    <row r="22" spans="2:12" s="21" customFormat="1" ht="33" customHeight="1" x14ac:dyDescent="0.25">
      <c r="B22" s="99" t="s">
        <v>427</v>
      </c>
      <c r="C22" s="100"/>
      <c r="D22" s="100"/>
      <c r="E22" s="100"/>
      <c r="F22" s="100"/>
      <c r="G22" s="100"/>
      <c r="H22" s="100"/>
      <c r="I22" s="100"/>
      <c r="J22" s="100"/>
      <c r="K22" s="101"/>
      <c r="L22" s="60">
        <f>SUM(L14:L21)</f>
        <v>16064.511439392003</v>
      </c>
    </row>
    <row r="23" spans="2:12" s="22" customFormat="1" ht="33" customHeight="1" x14ac:dyDescent="0.25">
      <c r="B23" s="11" t="s">
        <v>46</v>
      </c>
      <c r="C23" s="105" t="s">
        <v>73</v>
      </c>
      <c r="D23" s="106"/>
      <c r="E23" s="106"/>
      <c r="F23" s="106"/>
      <c r="G23" s="106"/>
      <c r="H23" s="106"/>
      <c r="I23" s="106"/>
      <c r="J23" s="106"/>
      <c r="K23" s="106"/>
      <c r="L23" s="107"/>
    </row>
    <row r="24" spans="2:12" s="21" customFormat="1" ht="39" customHeight="1" x14ac:dyDescent="0.25">
      <c r="B24" s="13" t="s">
        <v>60</v>
      </c>
      <c r="C24" s="93" t="s">
        <v>214</v>
      </c>
      <c r="D24" s="94"/>
      <c r="E24" s="94"/>
      <c r="F24" s="95"/>
      <c r="G24" s="12">
        <v>96523</v>
      </c>
      <c r="H24" s="12" t="s">
        <v>49</v>
      </c>
      <c r="I24" s="18">
        <f>132.88*0.25*0.3</f>
        <v>9.9659999999999993</v>
      </c>
      <c r="J24" s="30">
        <v>121.41</v>
      </c>
      <c r="K24" s="56">
        <f>J24*$G$3</f>
        <v>149.00649300000001</v>
      </c>
      <c r="L24" s="45">
        <f>I24*K24</f>
        <v>1484.9987092379999</v>
      </c>
    </row>
    <row r="25" spans="2:12" s="21" customFormat="1" ht="39" customHeight="1" x14ac:dyDescent="0.25">
      <c r="B25" s="13" t="s">
        <v>61</v>
      </c>
      <c r="C25" s="93" t="s">
        <v>220</v>
      </c>
      <c r="D25" s="94"/>
      <c r="E25" s="94"/>
      <c r="F25" s="95"/>
      <c r="G25" s="12">
        <v>96536</v>
      </c>
      <c r="H25" s="12" t="s">
        <v>50</v>
      </c>
      <c r="I25" s="18">
        <f>132.88*0.6</f>
        <v>79.727999999999994</v>
      </c>
      <c r="J25" s="30">
        <v>90.79</v>
      </c>
      <c r="K25" s="56">
        <f t="shared" ref="K25:K32" si="6">J25*$G$3</f>
        <v>111.42656700000002</v>
      </c>
      <c r="L25" s="45">
        <f t="shared" ref="L25:L32" si="7">I25*K25</f>
        <v>8883.8173337760018</v>
      </c>
    </row>
    <row r="26" spans="2:12" s="21" customFormat="1" ht="39" customHeight="1" x14ac:dyDescent="0.25">
      <c r="B26" s="13" t="s">
        <v>62</v>
      </c>
      <c r="C26" s="93" t="s">
        <v>221</v>
      </c>
      <c r="D26" s="94"/>
      <c r="E26" s="94"/>
      <c r="F26" s="95"/>
      <c r="G26" s="12">
        <v>95241</v>
      </c>
      <c r="H26" s="12" t="s">
        <v>50</v>
      </c>
      <c r="I26" s="18">
        <f>132.88*0.14*0.05</f>
        <v>0.9301600000000001</v>
      </c>
      <c r="J26" s="30">
        <v>32.93</v>
      </c>
      <c r="K26" s="56">
        <f t="shared" si="6"/>
        <v>40.414988999999998</v>
      </c>
      <c r="L26" s="45">
        <f t="shared" si="7"/>
        <v>37.592406168240004</v>
      </c>
    </row>
    <row r="27" spans="2:12" s="21" customFormat="1" ht="39" customHeight="1" x14ac:dyDescent="0.25">
      <c r="B27" s="13" t="s">
        <v>63</v>
      </c>
      <c r="C27" s="93" t="s">
        <v>222</v>
      </c>
      <c r="D27" s="94"/>
      <c r="E27" s="94"/>
      <c r="F27" s="95"/>
      <c r="G27" s="12">
        <v>92915</v>
      </c>
      <c r="H27" s="12" t="s">
        <v>51</v>
      </c>
      <c r="I27" s="18">
        <v>132</v>
      </c>
      <c r="J27" s="30">
        <v>17.97</v>
      </c>
      <c r="K27" s="56">
        <f t="shared" si="6"/>
        <v>22.054580999999999</v>
      </c>
      <c r="L27" s="45">
        <f t="shared" si="7"/>
        <v>2911.2046919999998</v>
      </c>
    </row>
    <row r="28" spans="2:12" s="21" customFormat="1" ht="39" customHeight="1" x14ac:dyDescent="0.25">
      <c r="B28" s="13" t="s">
        <v>64</v>
      </c>
      <c r="C28" s="93" t="s">
        <v>223</v>
      </c>
      <c r="D28" s="94"/>
      <c r="E28" s="94"/>
      <c r="F28" s="95"/>
      <c r="G28" s="12">
        <v>92917</v>
      </c>
      <c r="H28" s="12" t="s">
        <v>51</v>
      </c>
      <c r="I28" s="18">
        <v>124</v>
      </c>
      <c r="J28" s="30">
        <v>13.84</v>
      </c>
      <c r="K28" s="56">
        <f t="shared" si="6"/>
        <v>16.985832000000002</v>
      </c>
      <c r="L28" s="45">
        <f t="shared" si="7"/>
        <v>2106.2431680000004</v>
      </c>
    </row>
    <row r="29" spans="2:12" s="21" customFormat="1" ht="39" customHeight="1" x14ac:dyDescent="0.25">
      <c r="B29" s="13" t="s">
        <v>67</v>
      </c>
      <c r="C29" s="93" t="s">
        <v>224</v>
      </c>
      <c r="D29" s="94"/>
      <c r="E29" s="94"/>
      <c r="F29" s="95"/>
      <c r="G29" s="12">
        <v>92919</v>
      </c>
      <c r="H29" s="12" t="s">
        <v>51</v>
      </c>
      <c r="I29" s="18">
        <v>256</v>
      </c>
      <c r="J29" s="30">
        <v>11.81</v>
      </c>
      <c r="K29" s="56">
        <f t="shared" si="6"/>
        <v>14.494413000000002</v>
      </c>
      <c r="L29" s="45">
        <f t="shared" si="7"/>
        <v>3710.5697280000004</v>
      </c>
    </row>
    <row r="30" spans="2:12" s="21" customFormat="1" ht="39" customHeight="1" x14ac:dyDescent="0.25">
      <c r="B30" s="13" t="s">
        <v>68</v>
      </c>
      <c r="C30" s="93" t="s">
        <v>225</v>
      </c>
      <c r="D30" s="94"/>
      <c r="E30" s="94"/>
      <c r="F30" s="95"/>
      <c r="G30" s="12">
        <v>96556</v>
      </c>
      <c r="H30" s="12" t="s">
        <v>49</v>
      </c>
      <c r="I30" s="18">
        <f>132.88*0.14*0.3</f>
        <v>5.5809600000000001</v>
      </c>
      <c r="J30" s="30">
        <v>809.08</v>
      </c>
      <c r="K30" s="56">
        <f t="shared" si="6"/>
        <v>992.9838840000001</v>
      </c>
      <c r="L30" s="45">
        <f t="shared" si="7"/>
        <v>5541.8033372486407</v>
      </c>
    </row>
    <row r="31" spans="2:12" s="21" customFormat="1" ht="39" customHeight="1" x14ac:dyDescent="0.25">
      <c r="B31" s="13" t="s">
        <v>69</v>
      </c>
      <c r="C31" s="93" t="s">
        <v>226</v>
      </c>
      <c r="D31" s="94"/>
      <c r="E31" s="94"/>
      <c r="F31" s="95"/>
      <c r="G31" s="12">
        <v>98557</v>
      </c>
      <c r="H31" s="12" t="s">
        <v>50</v>
      </c>
      <c r="I31" s="18">
        <f>I25</f>
        <v>79.727999999999994</v>
      </c>
      <c r="J31" s="30">
        <v>43.79</v>
      </c>
      <c r="K31" s="56">
        <f t="shared" si="6"/>
        <v>53.743467000000003</v>
      </c>
      <c r="L31" s="45">
        <f t="shared" si="7"/>
        <v>4284.8591369759997</v>
      </c>
    </row>
    <row r="32" spans="2:12" s="21" customFormat="1" ht="39" customHeight="1" x14ac:dyDescent="0.25">
      <c r="B32" s="13" t="s">
        <v>144</v>
      </c>
      <c r="C32" s="93" t="s">
        <v>219</v>
      </c>
      <c r="D32" s="94"/>
      <c r="E32" s="94"/>
      <c r="F32" s="95"/>
      <c r="G32" s="12">
        <v>93382</v>
      </c>
      <c r="H32" s="12" t="s">
        <v>49</v>
      </c>
      <c r="I32" s="18">
        <f>I24*0.5</f>
        <v>4.9829999999999997</v>
      </c>
      <c r="J32" s="30">
        <v>30.86</v>
      </c>
      <c r="K32" s="56">
        <f t="shared" si="6"/>
        <v>37.874478000000003</v>
      </c>
      <c r="L32" s="45">
        <f t="shared" si="7"/>
        <v>188.72852387399999</v>
      </c>
    </row>
    <row r="33" spans="2:12" s="21" customFormat="1" ht="33" customHeight="1" x14ac:dyDescent="0.25">
      <c r="B33" s="99" t="s">
        <v>428</v>
      </c>
      <c r="C33" s="100"/>
      <c r="D33" s="100"/>
      <c r="E33" s="100"/>
      <c r="F33" s="100"/>
      <c r="G33" s="100"/>
      <c r="H33" s="100"/>
      <c r="I33" s="100"/>
      <c r="J33" s="100"/>
      <c r="K33" s="101"/>
      <c r="L33" s="60">
        <f>SUM(L24:L32)</f>
        <v>29149.817035280885</v>
      </c>
    </row>
    <row r="34" spans="2:12" s="21" customFormat="1" ht="33" customHeight="1" x14ac:dyDescent="0.25">
      <c r="B34" s="99" t="s">
        <v>429</v>
      </c>
      <c r="C34" s="100"/>
      <c r="D34" s="100"/>
      <c r="E34" s="100"/>
      <c r="F34" s="100"/>
      <c r="G34" s="100"/>
      <c r="H34" s="100"/>
      <c r="I34" s="100"/>
      <c r="J34" s="100"/>
      <c r="K34" s="101"/>
      <c r="L34" s="60">
        <f>L33+L22</f>
        <v>45214.32847467289</v>
      </c>
    </row>
    <row r="35" spans="2:12" s="21" customFormat="1" ht="33" customHeight="1" x14ac:dyDescent="0.25">
      <c r="B35" s="55">
        <v>3</v>
      </c>
      <c r="C35" s="102" t="s">
        <v>16</v>
      </c>
      <c r="D35" s="103"/>
      <c r="E35" s="103"/>
      <c r="F35" s="103"/>
      <c r="G35" s="103"/>
      <c r="H35" s="103"/>
      <c r="I35" s="103"/>
      <c r="J35" s="103"/>
      <c r="K35" s="103"/>
      <c r="L35" s="104"/>
    </row>
    <row r="36" spans="2:12" s="22" customFormat="1" ht="33" customHeight="1" x14ac:dyDescent="0.25">
      <c r="B36" s="11" t="s">
        <v>149</v>
      </c>
      <c r="C36" s="105" t="s">
        <v>329</v>
      </c>
      <c r="D36" s="106"/>
      <c r="E36" s="106"/>
      <c r="F36" s="106"/>
      <c r="G36" s="106"/>
      <c r="H36" s="106"/>
      <c r="I36" s="106"/>
      <c r="J36" s="106"/>
      <c r="K36" s="106"/>
      <c r="L36" s="107"/>
    </row>
    <row r="37" spans="2:12" s="21" customFormat="1" ht="39" customHeight="1" x14ac:dyDescent="0.25">
      <c r="B37" s="13" t="s">
        <v>150</v>
      </c>
      <c r="C37" s="93" t="s">
        <v>227</v>
      </c>
      <c r="D37" s="94"/>
      <c r="E37" s="94"/>
      <c r="F37" s="95"/>
      <c r="G37" s="12">
        <v>92263</v>
      </c>
      <c r="H37" s="12" t="s">
        <v>50</v>
      </c>
      <c r="I37" s="18">
        <f>(0.14+0.14+0.3+0.3)*3*31</f>
        <v>81.840000000000018</v>
      </c>
      <c r="J37" s="30">
        <v>154.13</v>
      </c>
      <c r="K37" s="56">
        <f t="shared" ref="K37:K41" si="8">J37*$G$3</f>
        <v>189.163749</v>
      </c>
      <c r="L37" s="45">
        <f>K37*I37</f>
        <v>15481.161218160003</v>
      </c>
    </row>
    <row r="38" spans="2:12" s="21" customFormat="1" ht="39" customHeight="1" x14ac:dyDescent="0.25">
      <c r="B38" s="13" t="s">
        <v>145</v>
      </c>
      <c r="C38" s="93" t="s">
        <v>224</v>
      </c>
      <c r="D38" s="94"/>
      <c r="E38" s="94"/>
      <c r="F38" s="95"/>
      <c r="G38" s="12">
        <v>92919</v>
      </c>
      <c r="H38" s="12" t="s">
        <v>51</v>
      </c>
      <c r="I38" s="18">
        <v>352</v>
      </c>
      <c r="J38" s="30">
        <v>11.81</v>
      </c>
      <c r="K38" s="56">
        <f t="shared" si="8"/>
        <v>14.494413000000002</v>
      </c>
      <c r="L38" s="45">
        <f t="shared" ref="L38:L40" si="9">I38*K38</f>
        <v>5102.0333760000003</v>
      </c>
    </row>
    <row r="39" spans="2:12" s="21" customFormat="1" ht="39" customHeight="1" x14ac:dyDescent="0.25">
      <c r="B39" s="13" t="s">
        <v>146</v>
      </c>
      <c r="C39" s="93" t="s">
        <v>228</v>
      </c>
      <c r="D39" s="94"/>
      <c r="E39" s="94"/>
      <c r="F39" s="95"/>
      <c r="G39" s="12">
        <v>92916</v>
      </c>
      <c r="H39" s="12" t="s">
        <v>51</v>
      </c>
      <c r="I39" s="18">
        <v>25</v>
      </c>
      <c r="J39" s="30">
        <v>15.72</v>
      </c>
      <c r="K39" s="56">
        <f t="shared" si="8"/>
        <v>19.293156000000003</v>
      </c>
      <c r="L39" s="45">
        <f t="shared" si="9"/>
        <v>482.32890000000009</v>
      </c>
    </row>
    <row r="40" spans="2:12" s="21" customFormat="1" ht="39" customHeight="1" x14ac:dyDescent="0.25">
      <c r="B40" s="13" t="s">
        <v>147</v>
      </c>
      <c r="C40" s="93" t="s">
        <v>222</v>
      </c>
      <c r="D40" s="94"/>
      <c r="E40" s="94"/>
      <c r="F40" s="95"/>
      <c r="G40" s="12">
        <v>92915</v>
      </c>
      <c r="H40" s="12" t="s">
        <v>51</v>
      </c>
      <c r="I40" s="18">
        <v>143</v>
      </c>
      <c r="J40" s="30">
        <v>17.97</v>
      </c>
      <c r="K40" s="56">
        <f t="shared" si="8"/>
        <v>22.054580999999999</v>
      </c>
      <c r="L40" s="45">
        <f t="shared" si="9"/>
        <v>3153.8050829999997</v>
      </c>
    </row>
    <row r="41" spans="2:12" s="21" customFormat="1" ht="39" customHeight="1" x14ac:dyDescent="0.25">
      <c r="B41" s="13" t="s">
        <v>151</v>
      </c>
      <c r="C41" s="93" t="s">
        <v>229</v>
      </c>
      <c r="D41" s="94"/>
      <c r="E41" s="94"/>
      <c r="F41" s="95"/>
      <c r="G41" s="12">
        <v>103688</v>
      </c>
      <c r="H41" s="12" t="s">
        <v>49</v>
      </c>
      <c r="I41" s="18">
        <f>0.14*0.3*3*31</f>
        <v>3.9060000000000001</v>
      </c>
      <c r="J41" s="30">
        <v>778.48</v>
      </c>
      <c r="K41" s="56">
        <f t="shared" si="8"/>
        <v>955.42850400000009</v>
      </c>
      <c r="L41" s="45">
        <f>K41*I41</f>
        <v>3731.9037366240004</v>
      </c>
    </row>
    <row r="42" spans="2:12" s="21" customFormat="1" ht="33" customHeight="1" x14ac:dyDescent="0.25">
      <c r="B42" s="99" t="s">
        <v>430</v>
      </c>
      <c r="C42" s="100"/>
      <c r="D42" s="100"/>
      <c r="E42" s="100"/>
      <c r="F42" s="100"/>
      <c r="G42" s="100"/>
      <c r="H42" s="100"/>
      <c r="I42" s="100"/>
      <c r="J42" s="100"/>
      <c r="K42" s="101"/>
      <c r="L42" s="60">
        <f>SUM(L37:L41)</f>
        <v>27951.232313784003</v>
      </c>
    </row>
    <row r="43" spans="2:12" s="22" customFormat="1" ht="33" customHeight="1" x14ac:dyDescent="0.25">
      <c r="B43" s="11" t="s">
        <v>5</v>
      </c>
      <c r="C43" s="105" t="s">
        <v>90</v>
      </c>
      <c r="D43" s="106"/>
      <c r="E43" s="106"/>
      <c r="F43" s="106"/>
      <c r="G43" s="106"/>
      <c r="H43" s="106"/>
      <c r="I43" s="106"/>
      <c r="J43" s="106"/>
      <c r="K43" s="106"/>
      <c r="L43" s="107"/>
    </row>
    <row r="44" spans="2:12" s="21" customFormat="1" ht="39" customHeight="1" x14ac:dyDescent="0.25">
      <c r="B44" s="13" t="s">
        <v>6</v>
      </c>
      <c r="C44" s="93" t="s">
        <v>230</v>
      </c>
      <c r="D44" s="94"/>
      <c r="E44" s="94"/>
      <c r="F44" s="95"/>
      <c r="G44" s="12">
        <v>92265</v>
      </c>
      <c r="H44" s="12" t="s">
        <v>50</v>
      </c>
      <c r="I44" s="18">
        <f>132.88*0.8</f>
        <v>106.304</v>
      </c>
      <c r="J44" s="30">
        <v>113.88</v>
      </c>
      <c r="K44" s="56">
        <f t="shared" ref="K44:K48" si="10">J44*$G$3</f>
        <v>139.76492400000001</v>
      </c>
      <c r="L44" s="45">
        <f t="shared" ref="L44:L48" si="11">I44*K44</f>
        <v>14857.570480896002</v>
      </c>
    </row>
    <row r="45" spans="2:12" s="21" customFormat="1" ht="39" customHeight="1" x14ac:dyDescent="0.25">
      <c r="B45" s="13" t="s">
        <v>7</v>
      </c>
      <c r="C45" s="93" t="s">
        <v>222</v>
      </c>
      <c r="D45" s="94"/>
      <c r="E45" s="94"/>
      <c r="F45" s="95"/>
      <c r="G45" s="12">
        <v>92915</v>
      </c>
      <c r="H45" s="12" t="s">
        <v>51</v>
      </c>
      <c r="I45" s="18">
        <v>147</v>
      </c>
      <c r="J45" s="30">
        <v>17.97</v>
      </c>
      <c r="K45" s="56">
        <f t="shared" si="10"/>
        <v>22.054580999999999</v>
      </c>
      <c r="L45" s="45">
        <f t="shared" si="11"/>
        <v>3242.0234069999997</v>
      </c>
    </row>
    <row r="46" spans="2:12" s="21" customFormat="1" ht="39" customHeight="1" x14ac:dyDescent="0.25">
      <c r="B46" s="13" t="s">
        <v>8</v>
      </c>
      <c r="C46" s="93" t="s">
        <v>223</v>
      </c>
      <c r="D46" s="94"/>
      <c r="E46" s="94"/>
      <c r="F46" s="95"/>
      <c r="G46" s="12">
        <v>92917</v>
      </c>
      <c r="H46" s="12" t="s">
        <v>51</v>
      </c>
      <c r="I46" s="18">
        <v>135</v>
      </c>
      <c r="J46" s="30">
        <v>13.84</v>
      </c>
      <c r="K46" s="56">
        <f t="shared" si="10"/>
        <v>16.985832000000002</v>
      </c>
      <c r="L46" s="45">
        <f t="shared" si="11"/>
        <v>2293.0873200000001</v>
      </c>
    </row>
    <row r="47" spans="2:12" s="21" customFormat="1" ht="39" customHeight="1" x14ac:dyDescent="0.25">
      <c r="B47" s="13" t="s">
        <v>9</v>
      </c>
      <c r="C47" s="93" t="s">
        <v>224</v>
      </c>
      <c r="D47" s="94"/>
      <c r="E47" s="94"/>
      <c r="F47" s="95"/>
      <c r="G47" s="12">
        <v>92919</v>
      </c>
      <c r="H47" s="12" t="s">
        <v>51</v>
      </c>
      <c r="I47" s="18">
        <v>276</v>
      </c>
      <c r="J47" s="30">
        <v>11.81</v>
      </c>
      <c r="K47" s="56">
        <f t="shared" si="10"/>
        <v>14.494413000000002</v>
      </c>
      <c r="L47" s="45">
        <f t="shared" si="11"/>
        <v>4000.4579880000006</v>
      </c>
    </row>
    <row r="48" spans="2:12" s="21" customFormat="1" ht="39" customHeight="1" x14ac:dyDescent="0.25">
      <c r="B48" s="13" t="s">
        <v>148</v>
      </c>
      <c r="C48" s="93" t="s">
        <v>231</v>
      </c>
      <c r="D48" s="94"/>
      <c r="E48" s="94"/>
      <c r="F48" s="95"/>
      <c r="G48" s="12">
        <v>103675</v>
      </c>
      <c r="H48" s="12" t="s">
        <v>49</v>
      </c>
      <c r="I48" s="18">
        <f>132.88*0.14*0.4</f>
        <v>7.4412800000000008</v>
      </c>
      <c r="J48" s="30">
        <v>579.27</v>
      </c>
      <c r="K48" s="56">
        <f t="shared" si="10"/>
        <v>710.93807100000004</v>
      </c>
      <c r="L48" s="45">
        <f t="shared" si="11"/>
        <v>5290.2892489708811</v>
      </c>
    </row>
    <row r="49" spans="2:12" s="21" customFormat="1" ht="33" customHeight="1" x14ac:dyDescent="0.25">
      <c r="B49" s="99" t="s">
        <v>431</v>
      </c>
      <c r="C49" s="100"/>
      <c r="D49" s="100"/>
      <c r="E49" s="100"/>
      <c r="F49" s="100"/>
      <c r="G49" s="100"/>
      <c r="H49" s="100"/>
      <c r="I49" s="100"/>
      <c r="J49" s="100"/>
      <c r="K49" s="101"/>
      <c r="L49" s="60">
        <f>SUM(L44:L48)</f>
        <v>29683.428444866884</v>
      </c>
    </row>
    <row r="50" spans="2:12" s="22" customFormat="1" ht="33" customHeight="1" x14ac:dyDescent="0.25">
      <c r="B50" s="11" t="s">
        <v>52</v>
      </c>
      <c r="C50" s="105" t="s">
        <v>91</v>
      </c>
      <c r="D50" s="106"/>
      <c r="E50" s="106"/>
      <c r="F50" s="106"/>
      <c r="G50" s="106"/>
      <c r="H50" s="106"/>
      <c r="I50" s="106"/>
      <c r="J50" s="106"/>
      <c r="K50" s="106"/>
      <c r="L50" s="107"/>
    </row>
    <row r="51" spans="2:12" s="21" customFormat="1" ht="39" customHeight="1" x14ac:dyDescent="0.25">
      <c r="B51" s="13" t="s">
        <v>53</v>
      </c>
      <c r="C51" s="93" t="s">
        <v>415</v>
      </c>
      <c r="D51" s="94"/>
      <c r="E51" s="94"/>
      <c r="F51" s="95"/>
      <c r="G51" s="12">
        <v>101964</v>
      </c>
      <c r="H51" s="12" t="s">
        <v>50</v>
      </c>
      <c r="I51" s="18">
        <f>21.57*8.1</f>
        <v>174.71699999999998</v>
      </c>
      <c r="J51" s="30">
        <v>172.47</v>
      </c>
      <c r="K51" s="56">
        <f t="shared" ref="K51:K54" si="12">J51*$G$3</f>
        <v>211.67243100000002</v>
      </c>
      <c r="L51" s="45">
        <f t="shared" ref="L51:L54" si="13">I51*K51</f>
        <v>36982.772127026998</v>
      </c>
    </row>
    <row r="52" spans="2:12" s="21" customFormat="1" ht="39" customHeight="1" x14ac:dyDescent="0.25">
      <c r="B52" s="13" t="s">
        <v>54</v>
      </c>
      <c r="C52" s="93" t="s">
        <v>232</v>
      </c>
      <c r="D52" s="94"/>
      <c r="E52" s="94"/>
      <c r="F52" s="95"/>
      <c r="G52" s="12">
        <v>42406</v>
      </c>
      <c r="H52" s="12" t="s">
        <v>50</v>
      </c>
      <c r="I52" s="18">
        <f>I51</f>
        <v>174.71699999999998</v>
      </c>
      <c r="J52" s="30">
        <v>21.22</v>
      </c>
      <c r="K52" s="56">
        <f t="shared" si="12"/>
        <v>26.043306000000001</v>
      </c>
      <c r="L52" s="45">
        <f t="shared" si="13"/>
        <v>4550.2082944019994</v>
      </c>
    </row>
    <row r="53" spans="2:12" s="21" customFormat="1" ht="39" customHeight="1" x14ac:dyDescent="0.25">
      <c r="B53" s="13" t="s">
        <v>55</v>
      </c>
      <c r="C53" s="93" t="s">
        <v>228</v>
      </c>
      <c r="D53" s="94"/>
      <c r="E53" s="94"/>
      <c r="F53" s="95"/>
      <c r="G53" s="12">
        <v>92916</v>
      </c>
      <c r="H53" s="12" t="s">
        <v>51</v>
      </c>
      <c r="I53" s="18">
        <v>187</v>
      </c>
      <c r="J53" s="30">
        <v>15.72</v>
      </c>
      <c r="K53" s="56">
        <f t="shared" si="12"/>
        <v>19.293156000000003</v>
      </c>
      <c r="L53" s="45">
        <f t="shared" si="13"/>
        <v>3607.8201720000006</v>
      </c>
    </row>
    <row r="54" spans="2:12" s="21" customFormat="1" ht="39" customHeight="1" x14ac:dyDescent="0.25">
      <c r="B54" s="13" t="s">
        <v>74</v>
      </c>
      <c r="C54" s="93" t="s">
        <v>231</v>
      </c>
      <c r="D54" s="94"/>
      <c r="E54" s="94"/>
      <c r="F54" s="95"/>
      <c r="G54" s="12">
        <v>103675</v>
      </c>
      <c r="H54" s="12" t="s">
        <v>49</v>
      </c>
      <c r="I54" s="18">
        <f>I51*0.08</f>
        <v>13.977359999999999</v>
      </c>
      <c r="J54" s="30">
        <v>579.27</v>
      </c>
      <c r="K54" s="56">
        <f t="shared" si="12"/>
        <v>710.93807100000004</v>
      </c>
      <c r="L54" s="45">
        <f t="shared" si="13"/>
        <v>9937.0373560725602</v>
      </c>
    </row>
    <row r="55" spans="2:12" s="21" customFormat="1" ht="33" customHeight="1" x14ac:dyDescent="0.25">
      <c r="B55" s="99" t="s">
        <v>432</v>
      </c>
      <c r="C55" s="100"/>
      <c r="D55" s="100"/>
      <c r="E55" s="100"/>
      <c r="F55" s="100"/>
      <c r="G55" s="100"/>
      <c r="H55" s="100"/>
      <c r="I55" s="100"/>
      <c r="J55" s="100"/>
      <c r="K55" s="101"/>
      <c r="L55" s="60">
        <f>SUM(L51:L54)</f>
        <v>55077.837949501554</v>
      </c>
    </row>
    <row r="56" spans="2:12" s="21" customFormat="1" ht="33" customHeight="1" x14ac:dyDescent="0.25">
      <c r="B56" s="99" t="s">
        <v>433</v>
      </c>
      <c r="C56" s="100"/>
      <c r="D56" s="100"/>
      <c r="E56" s="100"/>
      <c r="F56" s="100"/>
      <c r="G56" s="100"/>
      <c r="H56" s="100"/>
      <c r="I56" s="100"/>
      <c r="J56" s="100"/>
      <c r="K56" s="101"/>
      <c r="L56" s="60">
        <f>L55+L49+L42</f>
        <v>112712.49870815243</v>
      </c>
    </row>
    <row r="57" spans="2:12" s="21" customFormat="1" ht="33" customHeight="1" x14ac:dyDescent="0.25">
      <c r="B57" s="55">
        <v>4</v>
      </c>
      <c r="C57" s="102" t="s">
        <v>56</v>
      </c>
      <c r="D57" s="103"/>
      <c r="E57" s="103"/>
      <c r="F57" s="103"/>
      <c r="G57" s="103"/>
      <c r="H57" s="103"/>
      <c r="I57" s="103"/>
      <c r="J57" s="103"/>
      <c r="K57" s="103"/>
      <c r="L57" s="104"/>
    </row>
    <row r="58" spans="2:12" s="21" customFormat="1" ht="39" customHeight="1" x14ac:dyDescent="0.25">
      <c r="B58" s="13" t="s">
        <v>103</v>
      </c>
      <c r="C58" s="93" t="s">
        <v>416</v>
      </c>
      <c r="D58" s="94"/>
      <c r="E58" s="94"/>
      <c r="F58" s="95"/>
      <c r="G58" s="12">
        <v>103334</v>
      </c>
      <c r="H58" s="12" t="s">
        <v>50</v>
      </c>
      <c r="I58" s="18">
        <f>437.19-54.13</f>
        <v>383.06</v>
      </c>
      <c r="J58" s="30">
        <v>166.4</v>
      </c>
      <c r="K58" s="56">
        <f t="shared" ref="K58:K60" si="14">J58*$G$3</f>
        <v>204.22272000000001</v>
      </c>
      <c r="L58" s="45">
        <f t="shared" ref="L58:L60" si="15">I58*K58</f>
        <v>78229.5551232</v>
      </c>
    </row>
    <row r="59" spans="2:12" s="21" customFormat="1" ht="39" customHeight="1" x14ac:dyDescent="0.25">
      <c r="B59" s="13" t="s">
        <v>104</v>
      </c>
      <c r="C59" s="93" t="s">
        <v>233</v>
      </c>
      <c r="D59" s="94"/>
      <c r="E59" s="94"/>
      <c r="F59" s="95"/>
      <c r="G59" s="12">
        <v>93187</v>
      </c>
      <c r="H59" s="12" t="s">
        <v>47</v>
      </c>
      <c r="I59" s="18">
        <f>21+1.6+2+29.4+5.6</f>
        <v>59.6</v>
      </c>
      <c r="J59" s="30">
        <v>113.29</v>
      </c>
      <c r="K59" s="56">
        <f t="shared" si="14"/>
        <v>139.040817</v>
      </c>
      <c r="L59" s="45">
        <f t="shared" si="15"/>
        <v>8286.8326932</v>
      </c>
    </row>
    <row r="60" spans="2:12" s="21" customFormat="1" ht="39" customHeight="1" x14ac:dyDescent="0.25">
      <c r="B60" s="13" t="s">
        <v>105</v>
      </c>
      <c r="C60" s="93" t="s">
        <v>234</v>
      </c>
      <c r="D60" s="94"/>
      <c r="E60" s="94"/>
      <c r="F60" s="95"/>
      <c r="G60" s="12">
        <v>93197</v>
      </c>
      <c r="H60" s="12" t="s">
        <v>47</v>
      </c>
      <c r="I60" s="18">
        <f>29.4+5.6</f>
        <v>35</v>
      </c>
      <c r="J60" s="30">
        <v>109.19</v>
      </c>
      <c r="K60" s="56">
        <f t="shared" si="14"/>
        <v>134.00888700000002</v>
      </c>
      <c r="L60" s="45">
        <f t="shared" si="15"/>
        <v>4690.3110450000004</v>
      </c>
    </row>
    <row r="61" spans="2:12" s="21" customFormat="1" ht="33" customHeight="1" x14ac:dyDescent="0.25">
      <c r="B61" s="99" t="s">
        <v>434</v>
      </c>
      <c r="C61" s="100"/>
      <c r="D61" s="100"/>
      <c r="E61" s="100"/>
      <c r="F61" s="100"/>
      <c r="G61" s="100"/>
      <c r="H61" s="100"/>
      <c r="I61" s="100"/>
      <c r="J61" s="100"/>
      <c r="K61" s="101"/>
      <c r="L61" s="60">
        <f>SUM(L58:L60)</f>
        <v>91206.6988614</v>
      </c>
    </row>
    <row r="62" spans="2:12" s="21" customFormat="1" ht="33" customHeight="1" x14ac:dyDescent="0.25">
      <c r="B62" s="55">
        <v>5</v>
      </c>
      <c r="C62" s="102" t="s">
        <v>92</v>
      </c>
      <c r="D62" s="103"/>
      <c r="E62" s="103"/>
      <c r="F62" s="103"/>
      <c r="G62" s="103"/>
      <c r="H62" s="103"/>
      <c r="I62" s="103"/>
      <c r="J62" s="103"/>
      <c r="K62" s="103"/>
      <c r="L62" s="104"/>
    </row>
    <row r="63" spans="2:12" s="21" customFormat="1" ht="39" customHeight="1" x14ac:dyDescent="0.25">
      <c r="B63" s="13" t="s">
        <v>152</v>
      </c>
      <c r="C63" s="93" t="s">
        <v>417</v>
      </c>
      <c r="D63" s="94"/>
      <c r="E63" s="94"/>
      <c r="F63" s="95"/>
      <c r="G63" s="12">
        <v>92260</v>
      </c>
      <c r="H63" s="12" t="s">
        <v>2</v>
      </c>
      <c r="I63" s="18">
        <v>28</v>
      </c>
      <c r="J63" s="30">
        <v>608.64</v>
      </c>
      <c r="K63" s="56">
        <f t="shared" ref="K63:K70" si="16">J63*$G$3</f>
        <v>746.98387200000002</v>
      </c>
      <c r="L63" s="45">
        <f t="shared" ref="L63:L70" si="17">I63*K63</f>
        <v>20915.548416000001</v>
      </c>
    </row>
    <row r="64" spans="2:12" s="21" customFormat="1" ht="39" customHeight="1" x14ac:dyDescent="0.25">
      <c r="B64" s="13" t="s">
        <v>153</v>
      </c>
      <c r="C64" s="93" t="s">
        <v>235</v>
      </c>
      <c r="D64" s="94"/>
      <c r="E64" s="94"/>
      <c r="F64" s="95"/>
      <c r="G64" s="12">
        <v>92543</v>
      </c>
      <c r="H64" s="12" t="s">
        <v>50</v>
      </c>
      <c r="I64" s="18">
        <f>9.5*22.97</f>
        <v>218.21499999999997</v>
      </c>
      <c r="J64" s="30">
        <v>26.37</v>
      </c>
      <c r="K64" s="56">
        <f t="shared" si="16"/>
        <v>32.363901000000006</v>
      </c>
      <c r="L64" s="45">
        <f t="shared" si="17"/>
        <v>7062.2886567150008</v>
      </c>
    </row>
    <row r="65" spans="2:12" s="21" customFormat="1" ht="39" customHeight="1" x14ac:dyDescent="0.25">
      <c r="B65" s="13" t="s">
        <v>106</v>
      </c>
      <c r="C65" s="93" t="s">
        <v>236</v>
      </c>
      <c r="D65" s="94"/>
      <c r="E65" s="94"/>
      <c r="F65" s="95"/>
      <c r="G65" s="12">
        <v>94216</v>
      </c>
      <c r="H65" s="12" t="s">
        <v>50</v>
      </c>
      <c r="I65" s="18">
        <f>I64</f>
        <v>218.21499999999997</v>
      </c>
      <c r="J65" s="30">
        <v>191</v>
      </c>
      <c r="K65" s="56">
        <f t="shared" si="16"/>
        <v>234.4143</v>
      </c>
      <c r="L65" s="45">
        <f t="shared" si="17"/>
        <v>51152.71647449999</v>
      </c>
    </row>
    <row r="66" spans="2:12" s="21" customFormat="1" ht="39" customHeight="1" x14ac:dyDescent="0.25">
      <c r="B66" s="13" t="s">
        <v>154</v>
      </c>
      <c r="C66" s="93" t="s">
        <v>237</v>
      </c>
      <c r="D66" s="94"/>
      <c r="E66" s="94"/>
      <c r="F66" s="95"/>
      <c r="G66" s="12">
        <v>94229</v>
      </c>
      <c r="H66" s="12" t="s">
        <v>47</v>
      </c>
      <c r="I66" s="18">
        <f>22.97+22.97</f>
        <v>45.94</v>
      </c>
      <c r="J66" s="30">
        <v>172.48</v>
      </c>
      <c r="K66" s="56">
        <f t="shared" si="16"/>
        <v>211.68470400000001</v>
      </c>
      <c r="L66" s="45">
        <f t="shared" si="17"/>
        <v>9724.7953017599993</v>
      </c>
    </row>
    <row r="67" spans="2:12" s="21" customFormat="1" ht="39" customHeight="1" x14ac:dyDescent="0.25">
      <c r="B67" s="13" t="s">
        <v>155</v>
      </c>
      <c r="C67" s="93" t="s">
        <v>238</v>
      </c>
      <c r="D67" s="94"/>
      <c r="E67" s="94"/>
      <c r="F67" s="95"/>
      <c r="G67" s="12">
        <v>96111</v>
      </c>
      <c r="H67" s="12" t="s">
        <v>50</v>
      </c>
      <c r="I67" s="18">
        <f>(22.97+22.97+9.5+9.5)*0.7</f>
        <v>45.457999999999998</v>
      </c>
      <c r="J67" s="30">
        <v>68.400000000000006</v>
      </c>
      <c r="K67" s="56">
        <f t="shared" si="16"/>
        <v>83.947320000000005</v>
      </c>
      <c r="L67" s="45">
        <f t="shared" si="17"/>
        <v>3816.07727256</v>
      </c>
    </row>
    <row r="68" spans="2:12" s="21" customFormat="1" ht="39" customHeight="1" x14ac:dyDescent="0.25">
      <c r="B68" s="13" t="s">
        <v>156</v>
      </c>
      <c r="C68" s="93" t="s">
        <v>239</v>
      </c>
      <c r="D68" s="94"/>
      <c r="E68" s="94"/>
      <c r="F68" s="95"/>
      <c r="G68" s="12">
        <v>96121</v>
      </c>
      <c r="H68" s="12" t="s">
        <v>47</v>
      </c>
      <c r="I68" s="18">
        <f>(22.97+22.97+9.5+9.5)</f>
        <v>64.94</v>
      </c>
      <c r="J68" s="30">
        <v>12.72</v>
      </c>
      <c r="K68" s="56">
        <f t="shared" si="16"/>
        <v>15.611256000000001</v>
      </c>
      <c r="L68" s="45">
        <f t="shared" si="17"/>
        <v>1013.79496464</v>
      </c>
    </row>
    <row r="69" spans="2:12" s="21" customFormat="1" ht="39" customHeight="1" x14ac:dyDescent="0.25">
      <c r="B69" s="13" t="s">
        <v>157</v>
      </c>
      <c r="C69" s="93" t="s">
        <v>240</v>
      </c>
      <c r="D69" s="94"/>
      <c r="E69" s="94"/>
      <c r="F69" s="95"/>
      <c r="G69" s="12">
        <v>3993</v>
      </c>
      <c r="H69" s="12" t="s">
        <v>50</v>
      </c>
      <c r="I69" s="18">
        <f>I68</f>
        <v>64.94</v>
      </c>
      <c r="J69" s="30">
        <v>134.18</v>
      </c>
      <c r="K69" s="56">
        <f t="shared" si="16"/>
        <v>164.67911400000003</v>
      </c>
      <c r="L69" s="45">
        <f t="shared" si="17"/>
        <v>10694.261663160001</v>
      </c>
    </row>
    <row r="70" spans="2:12" s="21" customFormat="1" ht="53.25" customHeight="1" x14ac:dyDescent="0.25">
      <c r="B70" s="13" t="s">
        <v>158</v>
      </c>
      <c r="C70" s="93" t="s">
        <v>241</v>
      </c>
      <c r="D70" s="94"/>
      <c r="E70" s="94"/>
      <c r="F70" s="95"/>
      <c r="G70" s="12">
        <v>104674</v>
      </c>
      <c r="H70" s="12" t="s">
        <v>2</v>
      </c>
      <c r="I70" s="18">
        <v>6</v>
      </c>
      <c r="J70" s="30">
        <v>247.05</v>
      </c>
      <c r="K70" s="56">
        <f t="shared" si="16"/>
        <v>303.20446500000003</v>
      </c>
      <c r="L70" s="45">
        <f t="shared" si="17"/>
        <v>1819.2267900000002</v>
      </c>
    </row>
    <row r="71" spans="2:12" s="21" customFormat="1" ht="33" customHeight="1" x14ac:dyDescent="0.25">
      <c r="B71" s="99" t="s">
        <v>435</v>
      </c>
      <c r="C71" s="100"/>
      <c r="D71" s="100"/>
      <c r="E71" s="100"/>
      <c r="F71" s="100"/>
      <c r="G71" s="100"/>
      <c r="H71" s="100"/>
      <c r="I71" s="100"/>
      <c r="J71" s="100"/>
      <c r="K71" s="101"/>
      <c r="L71" s="60">
        <f>SUM(L63:L70)</f>
        <v>106198.70953933497</v>
      </c>
    </row>
    <row r="72" spans="2:12" s="21" customFormat="1" ht="33" customHeight="1" x14ac:dyDescent="0.25">
      <c r="B72" s="55">
        <v>6</v>
      </c>
      <c r="C72" s="102" t="s">
        <v>93</v>
      </c>
      <c r="D72" s="103"/>
      <c r="E72" s="103"/>
      <c r="F72" s="103"/>
      <c r="G72" s="103"/>
      <c r="H72" s="103"/>
      <c r="I72" s="103"/>
      <c r="J72" s="103"/>
      <c r="K72" s="103"/>
      <c r="L72" s="104"/>
    </row>
    <row r="73" spans="2:12" s="21" customFormat="1" ht="39" customHeight="1" x14ac:dyDescent="0.25">
      <c r="B73" s="13" t="s">
        <v>159</v>
      </c>
      <c r="C73" s="93" t="s">
        <v>219</v>
      </c>
      <c r="D73" s="94"/>
      <c r="E73" s="94"/>
      <c r="F73" s="95"/>
      <c r="G73" s="12">
        <v>93382</v>
      </c>
      <c r="H73" s="12" t="s">
        <v>49</v>
      </c>
      <c r="I73" s="18">
        <f>174.71*0.1</f>
        <v>17.471</v>
      </c>
      <c r="J73" s="30">
        <v>30.86</v>
      </c>
      <c r="K73" s="56">
        <f t="shared" ref="K73:K80" si="18">J73*$G$3</f>
        <v>37.874478000000003</v>
      </c>
      <c r="L73" s="45">
        <f t="shared" ref="L73:L80" si="19">I73*K73</f>
        <v>661.70500513800005</v>
      </c>
    </row>
    <row r="74" spans="2:12" s="21" customFormat="1" ht="39" customHeight="1" x14ac:dyDescent="0.25">
      <c r="B74" s="13" t="s">
        <v>160</v>
      </c>
      <c r="C74" s="93" t="s">
        <v>242</v>
      </c>
      <c r="D74" s="94"/>
      <c r="E74" s="94"/>
      <c r="F74" s="95"/>
      <c r="G74" s="12">
        <v>96622</v>
      </c>
      <c r="H74" s="12" t="s">
        <v>49</v>
      </c>
      <c r="I74" s="18">
        <f>0.05*174.71</f>
        <v>8.7355</v>
      </c>
      <c r="J74" s="30">
        <v>127.74</v>
      </c>
      <c r="K74" s="56">
        <f t="shared" si="18"/>
        <v>156.77530200000001</v>
      </c>
      <c r="L74" s="45">
        <f t="shared" si="19"/>
        <v>1369.5106506210002</v>
      </c>
    </row>
    <row r="75" spans="2:12" s="21" customFormat="1" ht="39" customHeight="1" x14ac:dyDescent="0.25">
      <c r="B75" s="13" t="s">
        <v>161</v>
      </c>
      <c r="C75" s="93" t="s">
        <v>243</v>
      </c>
      <c r="D75" s="94"/>
      <c r="E75" s="94"/>
      <c r="F75" s="95"/>
      <c r="G75" s="12">
        <v>97113</v>
      </c>
      <c r="H75" s="12" t="s">
        <v>50</v>
      </c>
      <c r="I75" s="18">
        <f>174.01</f>
        <v>174.01</v>
      </c>
      <c r="J75" s="30">
        <v>2.35</v>
      </c>
      <c r="K75" s="56">
        <f t="shared" si="18"/>
        <v>2.8841550000000002</v>
      </c>
      <c r="L75" s="45">
        <f t="shared" si="19"/>
        <v>501.87181155000002</v>
      </c>
    </row>
    <row r="76" spans="2:12" s="21" customFormat="1" ht="39" customHeight="1" x14ac:dyDescent="0.25">
      <c r="B76" s="13" t="s">
        <v>162</v>
      </c>
      <c r="C76" s="93" t="s">
        <v>244</v>
      </c>
      <c r="D76" s="94"/>
      <c r="E76" s="94"/>
      <c r="F76" s="95"/>
      <c r="G76" s="12">
        <v>97090</v>
      </c>
      <c r="H76" s="12" t="s">
        <v>51</v>
      </c>
      <c r="I76" s="18">
        <f>174.01*2.18</f>
        <v>379.34180000000003</v>
      </c>
      <c r="J76" s="30">
        <v>14.67</v>
      </c>
      <c r="K76" s="56">
        <f t="shared" si="18"/>
        <v>18.004491000000002</v>
      </c>
      <c r="L76" s="45">
        <f t="shared" si="19"/>
        <v>6829.8560240238012</v>
      </c>
    </row>
    <row r="77" spans="2:12" s="21" customFormat="1" ht="39" customHeight="1" x14ac:dyDescent="0.25">
      <c r="B77" s="13" t="s">
        <v>163</v>
      </c>
      <c r="C77" s="93" t="s">
        <v>245</v>
      </c>
      <c r="D77" s="94"/>
      <c r="E77" s="94"/>
      <c r="F77" s="95"/>
      <c r="G77" s="12">
        <v>101747</v>
      </c>
      <c r="H77" s="12" t="s">
        <v>50</v>
      </c>
      <c r="I77" s="18">
        <f>174.01*0.05</f>
        <v>8.7004999999999999</v>
      </c>
      <c r="J77" s="30">
        <v>77.22</v>
      </c>
      <c r="K77" s="56">
        <f t="shared" si="18"/>
        <v>94.772106000000008</v>
      </c>
      <c r="L77" s="45">
        <f t="shared" si="19"/>
        <v>824.56470825300005</v>
      </c>
    </row>
    <row r="78" spans="2:12" s="21" customFormat="1" ht="39" customHeight="1" x14ac:dyDescent="0.25">
      <c r="B78" s="13" t="s">
        <v>164</v>
      </c>
      <c r="C78" s="93" t="s">
        <v>246</v>
      </c>
      <c r="D78" s="94"/>
      <c r="E78" s="94"/>
      <c r="F78" s="95"/>
      <c r="G78" s="12">
        <v>87247</v>
      </c>
      <c r="H78" s="12" t="s">
        <v>50</v>
      </c>
      <c r="I78" s="18">
        <v>153.16999999999999</v>
      </c>
      <c r="J78" s="30">
        <v>61.87</v>
      </c>
      <c r="K78" s="56">
        <f t="shared" si="18"/>
        <v>75.933051000000006</v>
      </c>
      <c r="L78" s="45">
        <f t="shared" si="19"/>
        <v>11630.665421670001</v>
      </c>
    </row>
    <row r="79" spans="2:12" s="21" customFormat="1" ht="39" customHeight="1" x14ac:dyDescent="0.25">
      <c r="B79" s="13" t="s">
        <v>165</v>
      </c>
      <c r="C79" s="93" t="s">
        <v>247</v>
      </c>
      <c r="D79" s="94"/>
      <c r="E79" s="94"/>
      <c r="F79" s="95"/>
      <c r="G79" s="12">
        <v>88648</v>
      </c>
      <c r="H79" s="12" t="s">
        <v>47</v>
      </c>
      <c r="I79" s="18">
        <v>191.81</v>
      </c>
      <c r="J79" s="30">
        <v>7.97</v>
      </c>
      <c r="K79" s="56">
        <f t="shared" si="18"/>
        <v>9.781581000000001</v>
      </c>
      <c r="L79" s="45">
        <f t="shared" si="19"/>
        <v>1876.2050516100003</v>
      </c>
    </row>
    <row r="80" spans="2:12" s="21" customFormat="1" ht="39" customHeight="1" x14ac:dyDescent="0.25">
      <c r="B80" s="13" t="s">
        <v>141</v>
      </c>
      <c r="C80" s="93" t="s">
        <v>248</v>
      </c>
      <c r="D80" s="94"/>
      <c r="E80" s="94"/>
      <c r="F80" s="95"/>
      <c r="G80" s="12">
        <v>99804</v>
      </c>
      <c r="H80" s="12" t="s">
        <v>94</v>
      </c>
      <c r="I80" s="18">
        <f>I78</f>
        <v>153.16999999999999</v>
      </c>
      <c r="J80" s="30">
        <v>6.74</v>
      </c>
      <c r="K80" s="56">
        <f t="shared" si="18"/>
        <v>8.2720020000000005</v>
      </c>
      <c r="L80" s="45">
        <f t="shared" si="19"/>
        <v>1267.02254634</v>
      </c>
    </row>
    <row r="81" spans="2:12" s="21" customFormat="1" ht="33" customHeight="1" x14ac:dyDescent="0.25">
      <c r="B81" s="99" t="s">
        <v>436</v>
      </c>
      <c r="C81" s="100"/>
      <c r="D81" s="100"/>
      <c r="E81" s="100"/>
      <c r="F81" s="100"/>
      <c r="G81" s="100"/>
      <c r="H81" s="100"/>
      <c r="I81" s="100"/>
      <c r="J81" s="100"/>
      <c r="K81" s="101"/>
      <c r="L81" s="60">
        <f>SUM(L73:L80)</f>
        <v>24961.4012192058</v>
      </c>
    </row>
    <row r="82" spans="2:12" s="21" customFormat="1" ht="33" customHeight="1" x14ac:dyDescent="0.25">
      <c r="B82" s="55">
        <v>7</v>
      </c>
      <c r="C82" s="102" t="s">
        <v>479</v>
      </c>
      <c r="D82" s="103"/>
      <c r="E82" s="103"/>
      <c r="F82" s="103"/>
      <c r="G82" s="103"/>
      <c r="H82" s="103"/>
      <c r="I82" s="103"/>
      <c r="J82" s="103"/>
      <c r="K82" s="103"/>
      <c r="L82" s="104"/>
    </row>
    <row r="83" spans="2:12" s="21" customFormat="1" ht="39" customHeight="1" x14ac:dyDescent="0.25">
      <c r="B83" s="13" t="s">
        <v>18</v>
      </c>
      <c r="C83" s="96" t="s">
        <v>249</v>
      </c>
      <c r="D83" s="97"/>
      <c r="E83" s="97"/>
      <c r="F83" s="98"/>
      <c r="G83" s="40">
        <v>98555</v>
      </c>
      <c r="H83" s="6" t="s">
        <v>50</v>
      </c>
      <c r="I83" s="38">
        <v>79.5</v>
      </c>
      <c r="J83" s="39">
        <v>36.729999999999997</v>
      </c>
      <c r="K83" s="8">
        <f t="shared" ref="K83:K86" si="20">J83*$G$3</f>
        <v>45.078728999999996</v>
      </c>
      <c r="L83" s="9">
        <f t="shared" ref="L83:L86" si="21">I83*K83</f>
        <v>3583.7589554999995</v>
      </c>
    </row>
    <row r="84" spans="2:12" s="21" customFormat="1" ht="39" customHeight="1" x14ac:dyDescent="0.25">
      <c r="B84" s="13" t="s">
        <v>107</v>
      </c>
      <c r="C84" s="96" t="s">
        <v>250</v>
      </c>
      <c r="D84" s="97"/>
      <c r="E84" s="97"/>
      <c r="F84" s="98"/>
      <c r="G84" s="40">
        <v>87879</v>
      </c>
      <c r="H84" s="6" t="s">
        <v>50</v>
      </c>
      <c r="I84" s="38">
        <f>I58*2</f>
        <v>766.12</v>
      </c>
      <c r="J84" s="39">
        <v>5.01</v>
      </c>
      <c r="K84" s="8">
        <f t="shared" si="20"/>
        <v>6.1487730000000003</v>
      </c>
      <c r="L84" s="9">
        <f t="shared" si="21"/>
        <v>4710.6979707600003</v>
      </c>
    </row>
    <row r="85" spans="2:12" s="21" customFormat="1" ht="53.25" customHeight="1" x14ac:dyDescent="0.25">
      <c r="B85" s="13" t="s">
        <v>122</v>
      </c>
      <c r="C85" s="96" t="s">
        <v>251</v>
      </c>
      <c r="D85" s="97"/>
      <c r="E85" s="97"/>
      <c r="F85" s="98"/>
      <c r="G85" s="40">
        <v>87530</v>
      </c>
      <c r="H85" s="6" t="s">
        <v>50</v>
      </c>
      <c r="I85" s="38">
        <f>I84</f>
        <v>766.12</v>
      </c>
      <c r="J85" s="39">
        <v>47.33</v>
      </c>
      <c r="K85" s="8">
        <f t="shared" si="20"/>
        <v>58.088109000000003</v>
      </c>
      <c r="L85" s="9">
        <f t="shared" si="21"/>
        <v>44502.46206708</v>
      </c>
    </row>
    <row r="86" spans="2:12" s="21" customFormat="1" ht="39" customHeight="1" x14ac:dyDescent="0.25">
      <c r="B86" s="13" t="s">
        <v>123</v>
      </c>
      <c r="C86" s="96" t="s">
        <v>252</v>
      </c>
      <c r="D86" s="97"/>
      <c r="E86" s="97"/>
      <c r="F86" s="98"/>
      <c r="G86" s="40">
        <v>87269</v>
      </c>
      <c r="H86" s="6" t="s">
        <v>50</v>
      </c>
      <c r="I86" s="38">
        <f>53*2.9</f>
        <v>153.69999999999999</v>
      </c>
      <c r="J86" s="39">
        <v>82.87</v>
      </c>
      <c r="K86" s="8">
        <f t="shared" si="20"/>
        <v>101.70635100000001</v>
      </c>
      <c r="L86" s="9">
        <f t="shared" si="21"/>
        <v>15632.2661487</v>
      </c>
    </row>
    <row r="87" spans="2:12" s="21" customFormat="1" ht="33.75" customHeight="1" x14ac:dyDescent="0.25">
      <c r="B87" s="13" t="s">
        <v>166</v>
      </c>
      <c r="C87" s="96" t="s">
        <v>248</v>
      </c>
      <c r="D87" s="97"/>
      <c r="E87" s="97"/>
      <c r="F87" s="98"/>
      <c r="G87" s="40">
        <v>99804</v>
      </c>
      <c r="H87" s="6" t="s">
        <v>50</v>
      </c>
      <c r="I87" s="38">
        <f>I86</f>
        <v>153.69999999999999</v>
      </c>
      <c r="J87" s="39">
        <v>6.74</v>
      </c>
      <c r="K87" s="8">
        <f t="shared" ref="K87" si="22">J87*$G$3</f>
        <v>8.2720020000000005</v>
      </c>
      <c r="L87" s="9">
        <f t="shared" ref="L87" si="23">I87*K87</f>
        <v>1271.4067074</v>
      </c>
    </row>
    <row r="88" spans="2:12" s="21" customFormat="1" ht="33" customHeight="1" x14ac:dyDescent="0.25">
      <c r="B88" s="99" t="s">
        <v>437</v>
      </c>
      <c r="C88" s="100"/>
      <c r="D88" s="100"/>
      <c r="E88" s="100"/>
      <c r="F88" s="100"/>
      <c r="G88" s="100"/>
      <c r="H88" s="100"/>
      <c r="I88" s="100"/>
      <c r="J88" s="100"/>
      <c r="K88" s="101"/>
      <c r="L88" s="60">
        <f>SUM(L83:L87)</f>
        <v>69700.591849439996</v>
      </c>
    </row>
    <row r="89" spans="2:12" s="21" customFormat="1" ht="33" customHeight="1" x14ac:dyDescent="0.25">
      <c r="B89" s="55">
        <v>8</v>
      </c>
      <c r="C89" s="102" t="s">
        <v>95</v>
      </c>
      <c r="D89" s="103"/>
      <c r="E89" s="103"/>
      <c r="F89" s="103"/>
      <c r="G89" s="103"/>
      <c r="H89" s="103"/>
      <c r="I89" s="103"/>
      <c r="J89" s="103"/>
      <c r="K89" s="103"/>
      <c r="L89" s="104"/>
    </row>
    <row r="90" spans="2:12" s="21" customFormat="1" ht="39" customHeight="1" x14ac:dyDescent="0.25">
      <c r="B90" s="13" t="s">
        <v>65</v>
      </c>
      <c r="C90" s="96" t="s">
        <v>253</v>
      </c>
      <c r="D90" s="97"/>
      <c r="E90" s="97"/>
      <c r="F90" s="98"/>
      <c r="G90" s="40">
        <v>88411</v>
      </c>
      <c r="H90" s="6" t="s">
        <v>50</v>
      </c>
      <c r="I90" s="38">
        <f>I85-I86</f>
        <v>612.42000000000007</v>
      </c>
      <c r="J90" s="39">
        <v>3.39</v>
      </c>
      <c r="K90" s="8">
        <f t="shared" ref="K90:K94" si="24">J90*$G$3</f>
        <v>4.1605470000000002</v>
      </c>
      <c r="L90" s="9">
        <f t="shared" ref="L90:L94" si="25">I90*K90</f>
        <v>2548.0021937400006</v>
      </c>
    </row>
    <row r="91" spans="2:12" s="21" customFormat="1" ht="39" customHeight="1" x14ac:dyDescent="0.25">
      <c r="B91" s="13" t="s">
        <v>66</v>
      </c>
      <c r="C91" s="96" t="s">
        <v>254</v>
      </c>
      <c r="D91" s="97"/>
      <c r="E91" s="97"/>
      <c r="F91" s="98"/>
      <c r="G91" s="40">
        <v>96131</v>
      </c>
      <c r="H91" s="6" t="s">
        <v>50</v>
      </c>
      <c r="I91" s="38">
        <v>220.49</v>
      </c>
      <c r="J91" s="39">
        <v>35.42</v>
      </c>
      <c r="K91" s="8">
        <f t="shared" si="24"/>
        <v>43.470966000000004</v>
      </c>
      <c r="L91" s="9">
        <f t="shared" si="25"/>
        <v>9584.9132933400015</v>
      </c>
    </row>
    <row r="92" spans="2:12" s="21" customFormat="1" ht="39" customHeight="1" x14ac:dyDescent="0.25">
      <c r="B92" s="13" t="s">
        <v>96</v>
      </c>
      <c r="C92" s="96" t="s">
        <v>255</v>
      </c>
      <c r="D92" s="97"/>
      <c r="E92" s="97"/>
      <c r="F92" s="98"/>
      <c r="G92" s="40">
        <v>88495</v>
      </c>
      <c r="H92" s="6" t="s">
        <v>50</v>
      </c>
      <c r="I92" s="38">
        <f>I90-I91</f>
        <v>391.93000000000006</v>
      </c>
      <c r="J92" s="39">
        <v>14.16</v>
      </c>
      <c r="K92" s="8">
        <f t="shared" si="24"/>
        <v>17.378568000000001</v>
      </c>
      <c r="L92" s="9">
        <f t="shared" si="25"/>
        <v>6811.1821562400019</v>
      </c>
    </row>
    <row r="93" spans="2:12" s="21" customFormat="1" ht="39" customHeight="1" x14ac:dyDescent="0.25">
      <c r="B93" s="13" t="s">
        <v>124</v>
      </c>
      <c r="C93" s="96" t="s">
        <v>256</v>
      </c>
      <c r="D93" s="97"/>
      <c r="E93" s="97"/>
      <c r="F93" s="98"/>
      <c r="G93" s="40">
        <v>88489</v>
      </c>
      <c r="H93" s="6" t="s">
        <v>50</v>
      </c>
      <c r="I93" s="38">
        <f>I90</f>
        <v>612.42000000000007</v>
      </c>
      <c r="J93" s="39">
        <v>13.65</v>
      </c>
      <c r="K93" s="8">
        <f t="shared" si="24"/>
        <v>16.752645000000001</v>
      </c>
      <c r="L93" s="9">
        <f t="shared" si="25"/>
        <v>10259.654850900002</v>
      </c>
    </row>
    <row r="94" spans="2:12" s="21" customFormat="1" ht="39" customHeight="1" x14ac:dyDescent="0.25">
      <c r="B94" s="13" t="s">
        <v>140</v>
      </c>
      <c r="C94" s="96" t="s">
        <v>418</v>
      </c>
      <c r="D94" s="97"/>
      <c r="E94" s="97"/>
      <c r="F94" s="98"/>
      <c r="G94" s="40">
        <v>102217</v>
      </c>
      <c r="H94" s="6" t="s">
        <v>50</v>
      </c>
      <c r="I94" s="38">
        <f>11.85+17.85+52.92+1.3+1.4+16.2+2.8</f>
        <v>104.32000000000001</v>
      </c>
      <c r="J94" s="39">
        <v>19.649999999999999</v>
      </c>
      <c r="K94" s="8">
        <f t="shared" si="24"/>
        <v>24.116444999999999</v>
      </c>
      <c r="L94" s="9">
        <f t="shared" si="25"/>
        <v>2515.8275423999999</v>
      </c>
    </row>
    <row r="95" spans="2:12" s="21" customFormat="1" ht="33" customHeight="1" x14ac:dyDescent="0.25">
      <c r="B95" s="99" t="s">
        <v>438</v>
      </c>
      <c r="C95" s="100"/>
      <c r="D95" s="100"/>
      <c r="E95" s="100"/>
      <c r="F95" s="100"/>
      <c r="G95" s="100"/>
      <c r="H95" s="100"/>
      <c r="I95" s="100"/>
      <c r="J95" s="100"/>
      <c r="K95" s="101"/>
      <c r="L95" s="60">
        <f>SUM(L90:L94)</f>
        <v>31719.580036620006</v>
      </c>
    </row>
    <row r="96" spans="2:12" s="21" customFormat="1" ht="33" customHeight="1" x14ac:dyDescent="0.25">
      <c r="B96" s="55">
        <v>9</v>
      </c>
      <c r="C96" s="102" t="s">
        <v>326</v>
      </c>
      <c r="D96" s="103"/>
      <c r="E96" s="103"/>
      <c r="F96" s="103"/>
      <c r="G96" s="103"/>
      <c r="H96" s="103"/>
      <c r="I96" s="103"/>
      <c r="J96" s="103"/>
      <c r="K96" s="103"/>
      <c r="L96" s="104"/>
    </row>
    <row r="97" spans="2:12" s="21" customFormat="1" ht="39" customHeight="1" x14ac:dyDescent="0.25">
      <c r="B97" s="13" t="s">
        <v>70</v>
      </c>
      <c r="C97" s="96" t="s">
        <v>419</v>
      </c>
      <c r="D97" s="97"/>
      <c r="E97" s="97"/>
      <c r="F97" s="98"/>
      <c r="G97" s="40">
        <v>96111</v>
      </c>
      <c r="H97" s="6" t="s">
        <v>50</v>
      </c>
      <c r="I97" s="38">
        <f>I78</f>
        <v>153.16999999999999</v>
      </c>
      <c r="J97" s="39">
        <v>68.400000000000006</v>
      </c>
      <c r="K97" s="8">
        <f t="shared" ref="K97:K98" si="26">J97*$G$3</f>
        <v>83.947320000000005</v>
      </c>
      <c r="L97" s="9">
        <f t="shared" ref="L97" si="27">I97*K97</f>
        <v>12858.2110044</v>
      </c>
    </row>
    <row r="98" spans="2:12" s="21" customFormat="1" ht="39" customHeight="1" x14ac:dyDescent="0.25">
      <c r="B98" s="13" t="s">
        <v>71</v>
      </c>
      <c r="C98" s="96" t="s">
        <v>257</v>
      </c>
      <c r="D98" s="97"/>
      <c r="E98" s="97"/>
      <c r="F98" s="98"/>
      <c r="G98" s="40">
        <v>96121</v>
      </c>
      <c r="H98" s="6" t="s">
        <v>47</v>
      </c>
      <c r="I98" s="38">
        <v>191.81</v>
      </c>
      <c r="J98" s="39">
        <v>12.72</v>
      </c>
      <c r="K98" s="8">
        <f t="shared" si="26"/>
        <v>15.611256000000001</v>
      </c>
      <c r="L98" s="9">
        <f t="shared" ref="L98" si="28">I98*K98</f>
        <v>2994.3950133600001</v>
      </c>
    </row>
    <row r="99" spans="2:12" s="21" customFormat="1" ht="33" customHeight="1" x14ac:dyDescent="0.25">
      <c r="B99" s="99" t="s">
        <v>439</v>
      </c>
      <c r="C99" s="100"/>
      <c r="D99" s="100"/>
      <c r="E99" s="100"/>
      <c r="F99" s="100"/>
      <c r="G99" s="100"/>
      <c r="H99" s="100"/>
      <c r="I99" s="100"/>
      <c r="J99" s="100"/>
      <c r="K99" s="101"/>
      <c r="L99" s="60">
        <f>SUM(L97:L98)</f>
        <v>15852.606017760001</v>
      </c>
    </row>
    <row r="100" spans="2:12" s="21" customFormat="1" ht="33" customHeight="1" x14ac:dyDescent="0.25">
      <c r="B100" s="55">
        <v>10</v>
      </c>
      <c r="C100" s="102" t="s">
        <v>420</v>
      </c>
      <c r="D100" s="103"/>
      <c r="E100" s="103"/>
      <c r="F100" s="103"/>
      <c r="G100" s="103"/>
      <c r="H100" s="103"/>
      <c r="I100" s="103"/>
      <c r="J100" s="103"/>
      <c r="K100" s="103"/>
      <c r="L100" s="104"/>
    </row>
    <row r="101" spans="2:12" s="21" customFormat="1" ht="39" customHeight="1" x14ac:dyDescent="0.25">
      <c r="B101" s="13" t="s">
        <v>167</v>
      </c>
      <c r="C101" s="96" t="s">
        <v>347</v>
      </c>
      <c r="D101" s="97"/>
      <c r="E101" s="97"/>
      <c r="F101" s="98"/>
      <c r="G101" s="40">
        <v>101881</v>
      </c>
      <c r="H101" s="6" t="s">
        <v>2</v>
      </c>
      <c r="I101" s="38">
        <v>1</v>
      </c>
      <c r="J101" s="39">
        <v>898.17</v>
      </c>
      <c r="K101" s="8">
        <f t="shared" ref="K101:K116" si="29">J101*$G$3</f>
        <v>1102.3240410000001</v>
      </c>
      <c r="L101" s="9">
        <f t="shared" ref="L101:L116" si="30">I101*K101</f>
        <v>1102.3240410000001</v>
      </c>
    </row>
    <row r="102" spans="2:12" s="21" customFormat="1" ht="39" customHeight="1" x14ac:dyDescent="0.25">
      <c r="B102" s="13" t="s">
        <v>168</v>
      </c>
      <c r="C102" s="96" t="s">
        <v>258</v>
      </c>
      <c r="D102" s="97"/>
      <c r="E102" s="97"/>
      <c r="F102" s="98"/>
      <c r="G102" s="40">
        <v>93673</v>
      </c>
      <c r="H102" s="6" t="s">
        <v>2</v>
      </c>
      <c r="I102" s="38">
        <v>5</v>
      </c>
      <c r="J102" s="39">
        <v>109.45</v>
      </c>
      <c r="K102" s="8">
        <f t="shared" si="29"/>
        <v>134.32798500000001</v>
      </c>
      <c r="L102" s="9">
        <f t="shared" si="30"/>
        <v>671.63992500000006</v>
      </c>
    </row>
    <row r="103" spans="2:12" s="21" customFormat="1" ht="39" customHeight="1" x14ac:dyDescent="0.25">
      <c r="B103" s="13" t="s">
        <v>169</v>
      </c>
      <c r="C103" s="96" t="s">
        <v>343</v>
      </c>
      <c r="D103" s="97"/>
      <c r="E103" s="97"/>
      <c r="F103" s="98"/>
      <c r="G103" s="40">
        <v>93658</v>
      </c>
      <c r="H103" s="6" t="s">
        <v>2</v>
      </c>
      <c r="I103" s="38">
        <v>2</v>
      </c>
      <c r="J103" s="39">
        <v>24.49</v>
      </c>
      <c r="K103" s="8">
        <f t="shared" si="29"/>
        <v>30.056577000000001</v>
      </c>
      <c r="L103" s="9">
        <f t="shared" si="30"/>
        <v>60.113154000000002</v>
      </c>
    </row>
    <row r="104" spans="2:12" s="21" customFormat="1" ht="39" customHeight="1" x14ac:dyDescent="0.25">
      <c r="B104" s="13" t="s">
        <v>170</v>
      </c>
      <c r="C104" s="96" t="s">
        <v>259</v>
      </c>
      <c r="D104" s="97"/>
      <c r="E104" s="97"/>
      <c r="F104" s="98"/>
      <c r="G104" s="40">
        <v>93656</v>
      </c>
      <c r="H104" s="6" t="s">
        <v>2</v>
      </c>
      <c r="I104" s="38">
        <v>1</v>
      </c>
      <c r="J104" s="39">
        <v>15.08</v>
      </c>
      <c r="K104" s="8">
        <f t="shared" si="29"/>
        <v>18.507684000000001</v>
      </c>
      <c r="L104" s="9">
        <f t="shared" si="30"/>
        <v>18.507684000000001</v>
      </c>
    </row>
    <row r="105" spans="2:12" s="21" customFormat="1" ht="39" customHeight="1" x14ac:dyDescent="0.25">
      <c r="B105" s="13" t="s">
        <v>171</v>
      </c>
      <c r="C105" s="96" t="s">
        <v>344</v>
      </c>
      <c r="D105" s="97"/>
      <c r="E105" s="97"/>
      <c r="F105" s="98"/>
      <c r="G105" s="40">
        <v>93655</v>
      </c>
      <c r="H105" s="6" t="s">
        <v>2</v>
      </c>
      <c r="I105" s="38">
        <v>5</v>
      </c>
      <c r="J105" s="39">
        <v>15.08</v>
      </c>
      <c r="K105" s="8">
        <f t="shared" si="29"/>
        <v>18.507684000000001</v>
      </c>
      <c r="L105" s="9">
        <f t="shared" si="30"/>
        <v>92.538420000000002</v>
      </c>
    </row>
    <row r="106" spans="2:12" s="21" customFormat="1" ht="39" customHeight="1" x14ac:dyDescent="0.25">
      <c r="B106" s="13" t="s">
        <v>172</v>
      </c>
      <c r="C106" s="96" t="s">
        <v>260</v>
      </c>
      <c r="D106" s="97"/>
      <c r="E106" s="97"/>
      <c r="F106" s="98"/>
      <c r="G106" s="40">
        <v>93654</v>
      </c>
      <c r="H106" s="6" t="s">
        <v>2</v>
      </c>
      <c r="I106" s="38">
        <v>12</v>
      </c>
      <c r="J106" s="39">
        <v>13.58</v>
      </c>
      <c r="K106" s="8">
        <f t="shared" si="29"/>
        <v>16.666734000000002</v>
      </c>
      <c r="L106" s="9">
        <f t="shared" si="30"/>
        <v>200.00080800000001</v>
      </c>
    </row>
    <row r="107" spans="2:12" s="21" customFormat="1" ht="39" customHeight="1" x14ac:dyDescent="0.25">
      <c r="B107" s="13" t="s">
        <v>173</v>
      </c>
      <c r="C107" s="96" t="s">
        <v>345</v>
      </c>
      <c r="D107" s="97"/>
      <c r="E107" s="97"/>
      <c r="F107" s="98"/>
      <c r="G107" s="40">
        <v>91935</v>
      </c>
      <c r="H107" s="6" t="s">
        <v>47</v>
      </c>
      <c r="I107" s="38">
        <v>131</v>
      </c>
      <c r="J107" s="39">
        <v>25.9</v>
      </c>
      <c r="K107" s="8">
        <f t="shared" si="29"/>
        <v>31.78707</v>
      </c>
      <c r="L107" s="9">
        <f t="shared" si="30"/>
        <v>4164.10617</v>
      </c>
    </row>
    <row r="108" spans="2:12" s="21" customFormat="1" ht="39" customHeight="1" x14ac:dyDescent="0.25">
      <c r="B108" s="13" t="s">
        <v>174</v>
      </c>
      <c r="C108" s="96" t="s">
        <v>261</v>
      </c>
      <c r="D108" s="97"/>
      <c r="E108" s="97"/>
      <c r="F108" s="98"/>
      <c r="G108" s="40">
        <v>91930</v>
      </c>
      <c r="H108" s="6" t="s">
        <v>47</v>
      </c>
      <c r="I108" s="38">
        <v>90</v>
      </c>
      <c r="J108" s="39">
        <v>9.69</v>
      </c>
      <c r="K108" s="8">
        <f t="shared" si="29"/>
        <v>11.892537000000001</v>
      </c>
      <c r="L108" s="9">
        <f>I108*K108</f>
        <v>1070.3283300000001</v>
      </c>
    </row>
    <row r="109" spans="2:12" s="21" customFormat="1" ht="39" customHeight="1" x14ac:dyDescent="0.25">
      <c r="B109" s="13" t="s">
        <v>175</v>
      </c>
      <c r="C109" s="96" t="s">
        <v>262</v>
      </c>
      <c r="D109" s="97"/>
      <c r="E109" s="97"/>
      <c r="F109" s="98"/>
      <c r="G109" s="40">
        <v>91928</v>
      </c>
      <c r="H109" s="6" t="s">
        <v>47</v>
      </c>
      <c r="I109" s="38">
        <f>45+15+15</f>
        <v>75</v>
      </c>
      <c r="J109" s="39">
        <v>6.98</v>
      </c>
      <c r="K109" s="8">
        <f t="shared" si="29"/>
        <v>8.5665540000000018</v>
      </c>
      <c r="L109" s="9">
        <f t="shared" si="30"/>
        <v>642.49155000000019</v>
      </c>
    </row>
    <row r="110" spans="2:12" s="21" customFormat="1" ht="39" customHeight="1" x14ac:dyDescent="0.25">
      <c r="B110" s="13" t="s">
        <v>176</v>
      </c>
      <c r="C110" s="96" t="s">
        <v>263</v>
      </c>
      <c r="D110" s="97"/>
      <c r="E110" s="97"/>
      <c r="F110" s="98"/>
      <c r="G110" s="40">
        <v>91926</v>
      </c>
      <c r="H110" s="6" t="s">
        <v>47</v>
      </c>
      <c r="I110" s="38">
        <f>17*45</f>
        <v>765</v>
      </c>
      <c r="J110" s="39">
        <v>4.57</v>
      </c>
      <c r="K110" s="8">
        <f t="shared" si="29"/>
        <v>5.6087610000000003</v>
      </c>
      <c r="L110" s="9">
        <f t="shared" si="30"/>
        <v>4290.7021650000006</v>
      </c>
    </row>
    <row r="111" spans="2:12" s="21" customFormat="1" ht="39" customHeight="1" x14ac:dyDescent="0.25">
      <c r="B111" s="13" t="s">
        <v>177</v>
      </c>
      <c r="C111" s="96" t="s">
        <v>348</v>
      </c>
      <c r="D111" s="97"/>
      <c r="E111" s="97"/>
      <c r="F111" s="98"/>
      <c r="G111" s="40">
        <v>91845</v>
      </c>
      <c r="H111" s="6" t="s">
        <v>47</v>
      </c>
      <c r="I111" s="38">
        <v>130</v>
      </c>
      <c r="J111" s="39">
        <v>9.94</v>
      </c>
      <c r="K111" s="8">
        <f t="shared" si="29"/>
        <v>12.199362000000001</v>
      </c>
      <c r="L111" s="9">
        <f t="shared" si="30"/>
        <v>1585.91706</v>
      </c>
    </row>
    <row r="112" spans="2:12" s="21" customFormat="1" ht="39" customHeight="1" x14ac:dyDescent="0.25">
      <c r="B112" s="13" t="s">
        <v>178</v>
      </c>
      <c r="C112" s="96" t="s">
        <v>264</v>
      </c>
      <c r="D112" s="97"/>
      <c r="E112" s="97"/>
      <c r="F112" s="98"/>
      <c r="G112" s="40">
        <v>97595</v>
      </c>
      <c r="H112" s="6" t="s">
        <v>2</v>
      </c>
      <c r="I112" s="38">
        <v>4</v>
      </c>
      <c r="J112" s="39">
        <v>117.18</v>
      </c>
      <c r="K112" s="8">
        <f t="shared" si="29"/>
        <v>143.81501400000002</v>
      </c>
      <c r="L112" s="9">
        <f t="shared" si="30"/>
        <v>575.26005600000008</v>
      </c>
    </row>
    <row r="113" spans="2:12" s="21" customFormat="1" ht="54" customHeight="1" x14ac:dyDescent="0.25">
      <c r="B113" s="13" t="s">
        <v>179</v>
      </c>
      <c r="C113" s="96" t="s">
        <v>266</v>
      </c>
      <c r="D113" s="97"/>
      <c r="E113" s="97"/>
      <c r="F113" s="98"/>
      <c r="G113" s="40">
        <v>104475</v>
      </c>
      <c r="H113" s="6" t="s">
        <v>2</v>
      </c>
      <c r="I113" s="38">
        <v>85</v>
      </c>
      <c r="J113" s="39">
        <v>166.51</v>
      </c>
      <c r="K113" s="8">
        <f t="shared" si="29"/>
        <v>204.35772299999999</v>
      </c>
      <c r="L113" s="9">
        <f t="shared" si="30"/>
        <v>17370.406455</v>
      </c>
    </row>
    <row r="114" spans="2:12" s="21" customFormat="1" ht="54" customHeight="1" x14ac:dyDescent="0.25">
      <c r="B114" s="13" t="s">
        <v>142</v>
      </c>
      <c r="C114" s="96" t="s">
        <v>346</v>
      </c>
      <c r="D114" s="97"/>
      <c r="E114" s="97"/>
      <c r="F114" s="98"/>
      <c r="G114" s="40" t="s">
        <v>265</v>
      </c>
      <c r="H114" s="6" t="s">
        <v>2</v>
      </c>
      <c r="I114" s="38">
        <v>33</v>
      </c>
      <c r="J114" s="39">
        <v>198.41</v>
      </c>
      <c r="K114" s="8">
        <f t="shared" si="29"/>
        <v>243.50859300000002</v>
      </c>
      <c r="L114" s="9">
        <f t="shared" si="30"/>
        <v>8035.7835690000011</v>
      </c>
    </row>
    <row r="115" spans="2:12" s="21" customFormat="1" ht="39" customHeight="1" x14ac:dyDescent="0.25">
      <c r="B115" s="13" t="s">
        <v>180</v>
      </c>
      <c r="C115" s="96" t="s">
        <v>267</v>
      </c>
      <c r="D115" s="97"/>
      <c r="E115" s="97"/>
      <c r="F115" s="98"/>
      <c r="G115" s="40">
        <v>97607</v>
      </c>
      <c r="H115" s="6" t="s">
        <v>2</v>
      </c>
      <c r="I115" s="38">
        <v>7</v>
      </c>
      <c r="J115" s="39">
        <v>125.34</v>
      </c>
      <c r="K115" s="8">
        <f t="shared" si="29"/>
        <v>153.82978200000002</v>
      </c>
      <c r="L115" s="9">
        <f t="shared" si="30"/>
        <v>1076.8084740000002</v>
      </c>
    </row>
    <row r="116" spans="2:12" s="21" customFormat="1" ht="39" customHeight="1" x14ac:dyDescent="0.25">
      <c r="B116" s="13" t="s">
        <v>349</v>
      </c>
      <c r="C116" s="96" t="s">
        <v>268</v>
      </c>
      <c r="D116" s="97"/>
      <c r="E116" s="97"/>
      <c r="F116" s="98"/>
      <c r="G116" s="40">
        <v>103782</v>
      </c>
      <c r="H116" s="6" t="s">
        <v>2</v>
      </c>
      <c r="I116" s="38">
        <v>33</v>
      </c>
      <c r="J116" s="39">
        <v>39.340000000000003</v>
      </c>
      <c r="K116" s="8">
        <f t="shared" si="29"/>
        <v>48.281982000000006</v>
      </c>
      <c r="L116" s="9">
        <f t="shared" si="30"/>
        <v>1593.3054060000002</v>
      </c>
    </row>
    <row r="117" spans="2:12" s="21" customFormat="1" ht="33" customHeight="1" x14ac:dyDescent="0.25">
      <c r="B117" s="99" t="s">
        <v>440</v>
      </c>
      <c r="C117" s="100"/>
      <c r="D117" s="100"/>
      <c r="E117" s="100"/>
      <c r="F117" s="100"/>
      <c r="G117" s="100"/>
      <c r="H117" s="100"/>
      <c r="I117" s="100"/>
      <c r="J117" s="100"/>
      <c r="K117" s="101"/>
      <c r="L117" s="60">
        <f>SUM(L101:L116)</f>
        <v>42550.233267000003</v>
      </c>
    </row>
    <row r="118" spans="2:12" s="21" customFormat="1" ht="33" customHeight="1" x14ac:dyDescent="0.25">
      <c r="B118" s="55">
        <v>11</v>
      </c>
      <c r="C118" s="102" t="s">
        <v>421</v>
      </c>
      <c r="D118" s="103"/>
      <c r="E118" s="103"/>
      <c r="F118" s="103"/>
      <c r="G118" s="103"/>
      <c r="H118" s="103"/>
      <c r="I118" s="103"/>
      <c r="J118" s="103"/>
      <c r="K118" s="103"/>
      <c r="L118" s="104"/>
    </row>
    <row r="119" spans="2:12" s="21" customFormat="1" ht="39" customHeight="1" x14ac:dyDescent="0.25">
      <c r="B119" s="13" t="s">
        <v>181</v>
      </c>
      <c r="C119" s="96" t="s">
        <v>269</v>
      </c>
      <c r="D119" s="97"/>
      <c r="E119" s="97"/>
      <c r="F119" s="98"/>
      <c r="G119" s="40">
        <v>93358</v>
      </c>
      <c r="H119" s="6" t="s">
        <v>49</v>
      </c>
      <c r="I119" s="38">
        <f>6*0.2*0.15</f>
        <v>0.18000000000000002</v>
      </c>
      <c r="J119" s="39">
        <v>106.41</v>
      </c>
      <c r="K119" s="8">
        <f t="shared" ref="K119:K128" si="31">J119*$G$3</f>
        <v>130.596993</v>
      </c>
      <c r="L119" s="9">
        <f t="shared" ref="L119:L128" si="32">I119*K119</f>
        <v>23.507458740000001</v>
      </c>
    </row>
    <row r="120" spans="2:12" s="21" customFormat="1" ht="39" customHeight="1" x14ac:dyDescent="0.25">
      <c r="B120" s="13" t="s">
        <v>182</v>
      </c>
      <c r="C120" s="96" t="s">
        <v>270</v>
      </c>
      <c r="D120" s="97"/>
      <c r="E120" s="97"/>
      <c r="F120" s="98"/>
      <c r="G120" s="40">
        <v>102615</v>
      </c>
      <c r="H120" s="6" t="s">
        <v>2</v>
      </c>
      <c r="I120" s="38">
        <v>1</v>
      </c>
      <c r="J120" s="39">
        <v>3661.14</v>
      </c>
      <c r="K120" s="8">
        <f t="shared" si="31"/>
        <v>4493.3171220000004</v>
      </c>
      <c r="L120" s="9">
        <f t="shared" si="32"/>
        <v>4493.3171220000004</v>
      </c>
    </row>
    <row r="121" spans="2:12" s="21" customFormat="1" ht="39" customHeight="1" x14ac:dyDescent="0.25">
      <c r="B121" s="13" t="s">
        <v>102</v>
      </c>
      <c r="C121" s="96" t="s">
        <v>271</v>
      </c>
      <c r="D121" s="97"/>
      <c r="E121" s="97"/>
      <c r="F121" s="98"/>
      <c r="G121" s="40">
        <v>89623</v>
      </c>
      <c r="H121" s="6" t="s">
        <v>2</v>
      </c>
      <c r="I121" s="38">
        <v>4</v>
      </c>
      <c r="J121" s="39">
        <v>20.78</v>
      </c>
      <c r="K121" s="8">
        <f t="shared" si="31"/>
        <v>25.503294000000004</v>
      </c>
      <c r="L121" s="9">
        <f t="shared" si="32"/>
        <v>102.01317600000002</v>
      </c>
    </row>
    <row r="122" spans="2:12" s="21" customFormat="1" ht="39" customHeight="1" x14ac:dyDescent="0.25">
      <c r="B122" s="13" t="s">
        <v>135</v>
      </c>
      <c r="C122" s="96" t="s">
        <v>272</v>
      </c>
      <c r="D122" s="97"/>
      <c r="E122" s="97"/>
      <c r="F122" s="98"/>
      <c r="G122" s="40">
        <v>89497</v>
      </c>
      <c r="H122" s="6" t="s">
        <v>2</v>
      </c>
      <c r="I122" s="38">
        <v>6</v>
      </c>
      <c r="J122" s="39">
        <v>14.32</v>
      </c>
      <c r="K122" s="8">
        <f t="shared" si="31"/>
        <v>17.574936000000001</v>
      </c>
      <c r="L122" s="9">
        <f t="shared" si="32"/>
        <v>105.44961600000001</v>
      </c>
    </row>
    <row r="123" spans="2:12" s="21" customFormat="1" ht="39" customHeight="1" x14ac:dyDescent="0.25">
      <c r="B123" s="13" t="s">
        <v>136</v>
      </c>
      <c r="C123" s="96" t="s">
        <v>273</v>
      </c>
      <c r="D123" s="97"/>
      <c r="E123" s="97"/>
      <c r="F123" s="98"/>
      <c r="G123" s="40">
        <v>94491</v>
      </c>
      <c r="H123" s="6" t="s">
        <v>2</v>
      </c>
      <c r="I123" s="38">
        <v>4</v>
      </c>
      <c r="J123" s="39">
        <v>67.44</v>
      </c>
      <c r="K123" s="8">
        <f t="shared" si="31"/>
        <v>82.769112000000007</v>
      </c>
      <c r="L123" s="9">
        <f t="shared" si="32"/>
        <v>331.07644800000003</v>
      </c>
    </row>
    <row r="124" spans="2:12" s="21" customFormat="1" ht="39" customHeight="1" x14ac:dyDescent="0.25">
      <c r="B124" s="13" t="s">
        <v>137</v>
      </c>
      <c r="C124" s="96" t="s">
        <v>274</v>
      </c>
      <c r="D124" s="97"/>
      <c r="E124" s="97"/>
      <c r="F124" s="98"/>
      <c r="G124" s="40">
        <v>94489</v>
      </c>
      <c r="H124" s="6" t="s">
        <v>2</v>
      </c>
      <c r="I124" s="38">
        <v>1</v>
      </c>
      <c r="J124" s="39">
        <v>33.61</v>
      </c>
      <c r="K124" s="8">
        <f t="shared" si="31"/>
        <v>41.249552999999999</v>
      </c>
      <c r="L124" s="9">
        <f t="shared" si="32"/>
        <v>41.249552999999999</v>
      </c>
    </row>
    <row r="125" spans="2:12" s="21" customFormat="1" ht="39" customHeight="1" x14ac:dyDescent="0.25">
      <c r="B125" s="13" t="s">
        <v>138</v>
      </c>
      <c r="C125" s="96" t="s">
        <v>422</v>
      </c>
      <c r="D125" s="97"/>
      <c r="E125" s="97"/>
      <c r="F125" s="98"/>
      <c r="G125" s="40">
        <v>89987</v>
      </c>
      <c r="H125" s="6" t="s">
        <v>2</v>
      </c>
      <c r="I125" s="38">
        <v>11</v>
      </c>
      <c r="J125" s="39">
        <v>97.72</v>
      </c>
      <c r="K125" s="8">
        <f t="shared" si="31"/>
        <v>119.93175600000001</v>
      </c>
      <c r="L125" s="9">
        <f t="shared" si="32"/>
        <v>1319.2493160000001</v>
      </c>
    </row>
    <row r="126" spans="2:12" s="21" customFormat="1" ht="39" customHeight="1" x14ac:dyDescent="0.25">
      <c r="B126" s="13" t="s">
        <v>139</v>
      </c>
      <c r="C126" s="96" t="s">
        <v>275</v>
      </c>
      <c r="D126" s="97"/>
      <c r="E126" s="97"/>
      <c r="F126" s="98"/>
      <c r="G126" s="40">
        <v>103978</v>
      </c>
      <c r="H126" s="6" t="s">
        <v>47</v>
      </c>
      <c r="I126" s="38">
        <f>32</f>
        <v>32</v>
      </c>
      <c r="J126" s="39">
        <v>28.26</v>
      </c>
      <c r="K126" s="8">
        <f t="shared" si="31"/>
        <v>34.683498</v>
      </c>
      <c r="L126" s="9">
        <f t="shared" si="32"/>
        <v>1109.871936</v>
      </c>
    </row>
    <row r="127" spans="2:12" s="21" customFormat="1" ht="39" customHeight="1" x14ac:dyDescent="0.25">
      <c r="B127" s="13" t="s">
        <v>202</v>
      </c>
      <c r="C127" s="96" t="s">
        <v>276</v>
      </c>
      <c r="D127" s="97"/>
      <c r="E127" s="97"/>
      <c r="F127" s="98"/>
      <c r="G127" s="40">
        <v>89356</v>
      </c>
      <c r="H127" s="6" t="s">
        <v>47</v>
      </c>
      <c r="I127" s="38">
        <v>18</v>
      </c>
      <c r="J127" s="39">
        <v>27.28</v>
      </c>
      <c r="K127" s="8">
        <f t="shared" si="31"/>
        <v>33.480744000000001</v>
      </c>
      <c r="L127" s="9">
        <f t="shared" si="32"/>
        <v>602.65339200000005</v>
      </c>
    </row>
    <row r="128" spans="2:12" s="21" customFormat="1" ht="39" customHeight="1" x14ac:dyDescent="0.25">
      <c r="B128" s="13" t="s">
        <v>203</v>
      </c>
      <c r="C128" s="96" t="s">
        <v>455</v>
      </c>
      <c r="D128" s="97"/>
      <c r="E128" s="97"/>
      <c r="F128" s="98"/>
      <c r="G128" s="40">
        <v>89957</v>
      </c>
      <c r="H128" s="6" t="s">
        <v>2</v>
      </c>
      <c r="I128" s="38">
        <v>22</v>
      </c>
      <c r="J128" s="39">
        <v>164.41</v>
      </c>
      <c r="K128" s="8">
        <f t="shared" si="31"/>
        <v>201.780393</v>
      </c>
      <c r="L128" s="9">
        <f t="shared" si="32"/>
        <v>4439.1686460000001</v>
      </c>
    </row>
    <row r="129" spans="2:12" s="21" customFormat="1" ht="33" customHeight="1" x14ac:dyDescent="0.25">
      <c r="B129" s="99" t="s">
        <v>441</v>
      </c>
      <c r="C129" s="100"/>
      <c r="D129" s="100"/>
      <c r="E129" s="100"/>
      <c r="F129" s="100"/>
      <c r="G129" s="100"/>
      <c r="H129" s="100"/>
      <c r="I129" s="100"/>
      <c r="J129" s="100"/>
      <c r="K129" s="101"/>
      <c r="L129" s="60">
        <f>SUM(L119:L128)</f>
        <v>12567.556663740001</v>
      </c>
    </row>
    <row r="130" spans="2:12" s="21" customFormat="1" ht="33" customHeight="1" x14ac:dyDescent="0.25">
      <c r="B130" s="55">
        <v>12</v>
      </c>
      <c r="C130" s="102" t="s">
        <v>457</v>
      </c>
      <c r="D130" s="103"/>
      <c r="E130" s="103"/>
      <c r="F130" s="103"/>
      <c r="G130" s="103"/>
      <c r="H130" s="103"/>
      <c r="I130" s="103"/>
      <c r="J130" s="103"/>
      <c r="K130" s="103"/>
      <c r="L130" s="104"/>
    </row>
    <row r="131" spans="2:12" s="21" customFormat="1" ht="54" customHeight="1" x14ac:dyDescent="0.25">
      <c r="B131" s="13" t="s">
        <v>183</v>
      </c>
      <c r="C131" s="96" t="s">
        <v>277</v>
      </c>
      <c r="D131" s="97"/>
      <c r="E131" s="97"/>
      <c r="F131" s="98"/>
      <c r="G131" s="40">
        <v>104676</v>
      </c>
      <c r="H131" s="6" t="s">
        <v>2</v>
      </c>
      <c r="I131" s="38">
        <v>23</v>
      </c>
      <c r="J131" s="39">
        <v>458.62</v>
      </c>
      <c r="K131" s="8">
        <f t="shared" ref="K131" si="33">J131*$G$3</f>
        <v>562.86432600000001</v>
      </c>
      <c r="L131" s="9">
        <f t="shared" ref="L131" si="34">I131*K131</f>
        <v>12945.879498</v>
      </c>
    </row>
    <row r="132" spans="2:12" s="21" customFormat="1" ht="39" customHeight="1" x14ac:dyDescent="0.25">
      <c r="B132" s="13" t="s">
        <v>184</v>
      </c>
      <c r="C132" s="96" t="s">
        <v>278</v>
      </c>
      <c r="D132" s="97"/>
      <c r="E132" s="97"/>
      <c r="F132" s="98"/>
      <c r="G132" s="40">
        <v>104678</v>
      </c>
      <c r="H132" s="6" t="s">
        <v>2</v>
      </c>
      <c r="I132" s="38">
        <v>1</v>
      </c>
      <c r="J132" s="39">
        <v>178.83</v>
      </c>
      <c r="K132" s="8">
        <f t="shared" ref="K132:K133" si="35">J132*$G$3</f>
        <v>219.47805900000003</v>
      </c>
      <c r="L132" s="9">
        <f t="shared" ref="L132:L133" si="36">I132*K132</f>
        <v>219.47805900000003</v>
      </c>
    </row>
    <row r="133" spans="2:12" s="21" customFormat="1" ht="39" customHeight="1" x14ac:dyDescent="0.25">
      <c r="B133" s="13" t="s">
        <v>185</v>
      </c>
      <c r="C133" s="96" t="s">
        <v>423</v>
      </c>
      <c r="D133" s="97"/>
      <c r="E133" s="97"/>
      <c r="F133" s="98"/>
      <c r="G133" s="40">
        <v>89714</v>
      </c>
      <c r="H133" s="6" t="s">
        <v>47</v>
      </c>
      <c r="I133" s="38">
        <v>4</v>
      </c>
      <c r="J133" s="39">
        <v>43.79</v>
      </c>
      <c r="K133" s="8">
        <f t="shared" si="35"/>
        <v>53.743467000000003</v>
      </c>
      <c r="L133" s="9">
        <f t="shared" si="36"/>
        <v>214.97386800000001</v>
      </c>
    </row>
    <row r="134" spans="2:12" s="21" customFormat="1" ht="33" customHeight="1" x14ac:dyDescent="0.25">
      <c r="B134" s="99" t="s">
        <v>442</v>
      </c>
      <c r="C134" s="100"/>
      <c r="D134" s="100"/>
      <c r="E134" s="100"/>
      <c r="F134" s="100"/>
      <c r="G134" s="100"/>
      <c r="H134" s="100"/>
      <c r="I134" s="100"/>
      <c r="J134" s="100"/>
      <c r="K134" s="101"/>
      <c r="L134" s="15">
        <f>SUM(L131:L133)</f>
        <v>13380.331424999998</v>
      </c>
    </row>
    <row r="135" spans="2:12" s="21" customFormat="1" ht="33" customHeight="1" x14ac:dyDescent="0.25">
      <c r="B135" s="55">
        <v>13</v>
      </c>
      <c r="C135" s="102" t="s">
        <v>57</v>
      </c>
      <c r="D135" s="103"/>
      <c r="E135" s="103"/>
      <c r="F135" s="103"/>
      <c r="G135" s="103"/>
      <c r="H135" s="103"/>
      <c r="I135" s="103"/>
      <c r="J135" s="103"/>
      <c r="K135" s="103"/>
      <c r="L135" s="104"/>
    </row>
    <row r="136" spans="2:12" s="21" customFormat="1" ht="39" customHeight="1" x14ac:dyDescent="0.25">
      <c r="B136" s="13" t="s">
        <v>108</v>
      </c>
      <c r="C136" s="96" t="s">
        <v>292</v>
      </c>
      <c r="D136" s="97"/>
      <c r="E136" s="97"/>
      <c r="F136" s="98"/>
      <c r="G136" s="40" t="s">
        <v>279</v>
      </c>
      <c r="H136" s="6" t="s">
        <v>2</v>
      </c>
      <c r="I136" s="38">
        <v>3</v>
      </c>
      <c r="J136" s="39">
        <f>'COMPOSIÇÕES '!L31</f>
        <v>1768.2302658600001</v>
      </c>
      <c r="K136" s="8">
        <f>J136</f>
        <v>1768.2302658600001</v>
      </c>
      <c r="L136" s="9">
        <f t="shared" ref="L136:L138" si="37">I136*K136</f>
        <v>5304.6907975800004</v>
      </c>
    </row>
    <row r="137" spans="2:12" s="21" customFormat="1" ht="39" customHeight="1" x14ac:dyDescent="0.25">
      <c r="B137" s="13" t="s">
        <v>109</v>
      </c>
      <c r="C137" s="96" t="s">
        <v>291</v>
      </c>
      <c r="D137" s="97"/>
      <c r="E137" s="97"/>
      <c r="F137" s="98"/>
      <c r="G137" s="40" t="s">
        <v>280</v>
      </c>
      <c r="H137" s="6" t="s">
        <v>2</v>
      </c>
      <c r="I137" s="38">
        <v>2</v>
      </c>
      <c r="J137" s="39">
        <f>'COMPOSIÇÕES '!L44</f>
        <v>2200.2577844400003</v>
      </c>
      <c r="K137" s="8">
        <f t="shared" ref="K137:K143" si="38">J137</f>
        <v>2200.2577844400003</v>
      </c>
      <c r="L137" s="9">
        <f t="shared" si="37"/>
        <v>4400.5155688800005</v>
      </c>
    </row>
    <row r="138" spans="2:12" s="21" customFormat="1" ht="39" customHeight="1" x14ac:dyDescent="0.25">
      <c r="B138" s="13" t="s">
        <v>186</v>
      </c>
      <c r="C138" s="96" t="s">
        <v>143</v>
      </c>
      <c r="D138" s="97"/>
      <c r="E138" s="97"/>
      <c r="F138" s="98"/>
      <c r="G138" s="40" t="s">
        <v>281</v>
      </c>
      <c r="H138" s="6" t="s">
        <v>2</v>
      </c>
      <c r="I138" s="38">
        <v>1</v>
      </c>
      <c r="J138" s="39">
        <f>'COMPOSIÇÕES '!L63</f>
        <v>1801.0054350900002</v>
      </c>
      <c r="K138" s="8">
        <f t="shared" si="38"/>
        <v>1801.0054350900002</v>
      </c>
      <c r="L138" s="9">
        <f t="shared" si="37"/>
        <v>1801.0054350900002</v>
      </c>
    </row>
    <row r="139" spans="2:12" s="21" customFormat="1" ht="54" customHeight="1" x14ac:dyDescent="0.25">
      <c r="B139" s="13" t="s">
        <v>187</v>
      </c>
      <c r="C139" s="96" t="s">
        <v>285</v>
      </c>
      <c r="D139" s="97"/>
      <c r="E139" s="97"/>
      <c r="F139" s="98"/>
      <c r="G139" s="40">
        <v>90844</v>
      </c>
      <c r="H139" s="6" t="s">
        <v>2</v>
      </c>
      <c r="I139" s="38">
        <v>13</v>
      </c>
      <c r="J139" s="39">
        <v>1322.03</v>
      </c>
      <c r="K139" s="8">
        <f t="shared" ref="K139" si="39">J139*$G$3</f>
        <v>1622.527419</v>
      </c>
      <c r="L139" s="9">
        <f t="shared" ref="L139:L143" si="40">I139*K139</f>
        <v>21092.856446999998</v>
      </c>
    </row>
    <row r="140" spans="2:12" s="21" customFormat="1" ht="39" customHeight="1" x14ac:dyDescent="0.25">
      <c r="B140" s="13" t="s">
        <v>188</v>
      </c>
      <c r="C140" s="96" t="s">
        <v>287</v>
      </c>
      <c r="D140" s="97"/>
      <c r="E140" s="97"/>
      <c r="F140" s="98"/>
      <c r="G140" s="40" t="s">
        <v>283</v>
      </c>
      <c r="H140" s="6" t="s">
        <v>2</v>
      </c>
      <c r="I140" s="38">
        <v>1</v>
      </c>
      <c r="J140" s="39">
        <f>'COMPOSIÇÕES '!L74</f>
        <v>2475.0556791060003</v>
      </c>
      <c r="K140" s="8">
        <f t="shared" si="38"/>
        <v>2475.0556791060003</v>
      </c>
      <c r="L140" s="9">
        <f t="shared" si="40"/>
        <v>2475.0556791060003</v>
      </c>
    </row>
    <row r="141" spans="2:12" s="21" customFormat="1" ht="39" customHeight="1" x14ac:dyDescent="0.25">
      <c r="B141" s="13" t="s">
        <v>189</v>
      </c>
      <c r="C141" s="96" t="s">
        <v>288</v>
      </c>
      <c r="D141" s="97"/>
      <c r="E141" s="97"/>
      <c r="F141" s="98"/>
      <c r="G141" s="40" t="s">
        <v>282</v>
      </c>
      <c r="H141" s="6" t="s">
        <v>2</v>
      </c>
      <c r="I141" s="38">
        <v>1</v>
      </c>
      <c r="J141" s="39">
        <f>'COMPOSIÇÕES '!L66</f>
        <v>5386.8160680000001</v>
      </c>
      <c r="K141" s="8">
        <f t="shared" si="38"/>
        <v>5386.8160680000001</v>
      </c>
      <c r="L141" s="9">
        <f t="shared" si="40"/>
        <v>5386.8160680000001</v>
      </c>
    </row>
    <row r="142" spans="2:12" s="21" customFormat="1" ht="39" customHeight="1" x14ac:dyDescent="0.25">
      <c r="B142" s="13" t="s">
        <v>125</v>
      </c>
      <c r="C142" s="96" t="s">
        <v>289</v>
      </c>
      <c r="D142" s="97"/>
      <c r="E142" s="97"/>
      <c r="F142" s="98"/>
      <c r="G142" s="40" t="s">
        <v>284</v>
      </c>
      <c r="H142" s="6" t="s">
        <v>2</v>
      </c>
      <c r="I142" s="38">
        <v>12</v>
      </c>
      <c r="J142" s="39">
        <f>'COMPOSIÇÕES '!L80</f>
        <v>2211.4964159999995</v>
      </c>
      <c r="K142" s="8">
        <f t="shared" si="38"/>
        <v>2211.4964159999995</v>
      </c>
      <c r="L142" s="9">
        <f t="shared" si="40"/>
        <v>26537.956991999992</v>
      </c>
    </row>
    <row r="143" spans="2:12" s="21" customFormat="1" ht="39" customHeight="1" x14ac:dyDescent="0.25">
      <c r="B143" s="13" t="s">
        <v>190</v>
      </c>
      <c r="C143" s="96" t="s">
        <v>290</v>
      </c>
      <c r="D143" s="97"/>
      <c r="E143" s="97"/>
      <c r="F143" s="98"/>
      <c r="G143" s="40" t="s">
        <v>286</v>
      </c>
      <c r="H143" s="6" t="s">
        <v>2</v>
      </c>
      <c r="I143" s="38">
        <v>4</v>
      </c>
      <c r="J143" s="39">
        <f>'COMPOSIÇÕES '!L86</f>
        <v>1199.63763984</v>
      </c>
      <c r="K143" s="8">
        <f t="shared" si="38"/>
        <v>1199.63763984</v>
      </c>
      <c r="L143" s="9">
        <f t="shared" si="40"/>
        <v>4798.5505593600001</v>
      </c>
    </row>
    <row r="144" spans="2:12" s="21" customFormat="1" ht="33" customHeight="1" x14ac:dyDescent="0.25">
      <c r="B144" s="99" t="s">
        <v>443</v>
      </c>
      <c r="C144" s="100"/>
      <c r="D144" s="100"/>
      <c r="E144" s="100"/>
      <c r="F144" s="100"/>
      <c r="G144" s="100"/>
      <c r="H144" s="100"/>
      <c r="I144" s="100"/>
      <c r="J144" s="100"/>
      <c r="K144" s="101"/>
      <c r="L144" s="60">
        <f>SUM(L136:L143)</f>
        <v>71797.447547015981</v>
      </c>
    </row>
    <row r="145" spans="2:12" s="21" customFormat="1" ht="33" customHeight="1" x14ac:dyDescent="0.25">
      <c r="B145" s="55">
        <v>14</v>
      </c>
      <c r="C145" s="102" t="s">
        <v>458</v>
      </c>
      <c r="D145" s="103"/>
      <c r="E145" s="103"/>
      <c r="F145" s="103"/>
      <c r="G145" s="103"/>
      <c r="H145" s="103"/>
      <c r="I145" s="103"/>
      <c r="J145" s="103"/>
      <c r="K145" s="103"/>
      <c r="L145" s="104"/>
    </row>
    <row r="146" spans="2:12" s="21" customFormat="1" ht="39" customHeight="1" x14ac:dyDescent="0.25">
      <c r="B146" s="13" t="s">
        <v>127</v>
      </c>
      <c r="C146" s="96" t="s">
        <v>293</v>
      </c>
      <c r="D146" s="97"/>
      <c r="E146" s="97"/>
      <c r="F146" s="98"/>
      <c r="G146" s="40">
        <v>86911</v>
      </c>
      <c r="H146" s="6" t="s">
        <v>2</v>
      </c>
      <c r="I146" s="38">
        <v>2</v>
      </c>
      <c r="J146" s="39">
        <v>75.2</v>
      </c>
      <c r="K146" s="8">
        <f t="shared" ref="K146:K154" si="41">J146*$G$3</f>
        <v>92.292960000000008</v>
      </c>
      <c r="L146" s="9">
        <f t="shared" ref="L146:L154" si="42">I146*K146</f>
        <v>184.58592000000002</v>
      </c>
    </row>
    <row r="147" spans="2:12" s="21" customFormat="1" ht="39" customHeight="1" x14ac:dyDescent="0.25">
      <c r="B147" s="13" t="s">
        <v>128</v>
      </c>
      <c r="C147" s="96" t="s">
        <v>294</v>
      </c>
      <c r="D147" s="97"/>
      <c r="E147" s="97"/>
      <c r="F147" s="98"/>
      <c r="G147" s="40">
        <v>86901</v>
      </c>
      <c r="H147" s="6" t="s">
        <v>2</v>
      </c>
      <c r="I147" s="38">
        <v>2</v>
      </c>
      <c r="J147" s="39">
        <v>173.15</v>
      </c>
      <c r="K147" s="8">
        <f t="shared" si="41"/>
        <v>212.50699500000002</v>
      </c>
      <c r="L147" s="9">
        <f t="shared" si="42"/>
        <v>425.01399000000004</v>
      </c>
    </row>
    <row r="148" spans="2:12" s="21" customFormat="1" ht="39" customHeight="1" x14ac:dyDescent="0.25">
      <c r="B148" s="13" t="s">
        <v>191</v>
      </c>
      <c r="C148" s="96" t="s">
        <v>295</v>
      </c>
      <c r="D148" s="97"/>
      <c r="E148" s="97"/>
      <c r="F148" s="98"/>
      <c r="G148" s="40">
        <v>86888</v>
      </c>
      <c r="H148" s="6" t="s">
        <v>2</v>
      </c>
      <c r="I148" s="38">
        <v>4</v>
      </c>
      <c r="J148" s="39">
        <v>551.99</v>
      </c>
      <c r="K148" s="8">
        <f t="shared" si="41"/>
        <v>677.45732700000008</v>
      </c>
      <c r="L148" s="9">
        <f t="shared" si="42"/>
        <v>2709.8293080000003</v>
      </c>
    </row>
    <row r="149" spans="2:12" s="21" customFormat="1" ht="39" customHeight="1" x14ac:dyDescent="0.25">
      <c r="B149" s="13" t="s">
        <v>192</v>
      </c>
      <c r="C149" s="96" t="s">
        <v>296</v>
      </c>
      <c r="D149" s="97"/>
      <c r="E149" s="97"/>
      <c r="F149" s="98"/>
      <c r="G149" s="40">
        <v>86895</v>
      </c>
      <c r="H149" s="6" t="s">
        <v>2</v>
      </c>
      <c r="I149" s="38">
        <v>2</v>
      </c>
      <c r="J149" s="39">
        <v>394.43</v>
      </c>
      <c r="K149" s="8">
        <f t="shared" si="41"/>
        <v>484.08393900000004</v>
      </c>
      <c r="L149" s="9">
        <f t="shared" si="42"/>
        <v>968.16787800000009</v>
      </c>
    </row>
    <row r="150" spans="2:12" s="21" customFormat="1" ht="53.25" customHeight="1" x14ac:dyDescent="0.25">
      <c r="B150" s="13" t="s">
        <v>129</v>
      </c>
      <c r="C150" s="96" t="s">
        <v>297</v>
      </c>
      <c r="D150" s="97"/>
      <c r="E150" s="97"/>
      <c r="F150" s="98"/>
      <c r="G150" s="40">
        <v>86942</v>
      </c>
      <c r="H150" s="6" t="s">
        <v>2</v>
      </c>
      <c r="I150" s="38">
        <v>6</v>
      </c>
      <c r="J150" s="39">
        <v>267.66000000000003</v>
      </c>
      <c r="K150" s="8">
        <f t="shared" si="41"/>
        <v>328.49911800000007</v>
      </c>
      <c r="L150" s="9">
        <f t="shared" si="42"/>
        <v>1970.9947080000004</v>
      </c>
    </row>
    <row r="151" spans="2:12" s="21" customFormat="1" ht="39" customHeight="1" x14ac:dyDescent="0.25">
      <c r="B151" s="13" t="s">
        <v>130</v>
      </c>
      <c r="C151" s="96" t="s">
        <v>298</v>
      </c>
      <c r="D151" s="97"/>
      <c r="E151" s="97"/>
      <c r="F151" s="98"/>
      <c r="G151" s="40">
        <v>100860</v>
      </c>
      <c r="H151" s="6" t="s">
        <v>2</v>
      </c>
      <c r="I151" s="38">
        <v>2</v>
      </c>
      <c r="J151" s="39">
        <v>104.77</v>
      </c>
      <c r="K151" s="8">
        <f t="shared" si="41"/>
        <v>128.58422100000001</v>
      </c>
      <c r="L151" s="9">
        <f t="shared" si="42"/>
        <v>257.16844200000003</v>
      </c>
    </row>
    <row r="152" spans="2:12" s="21" customFormat="1" ht="39" customHeight="1" x14ac:dyDescent="0.25">
      <c r="B152" s="13" t="s">
        <v>131</v>
      </c>
      <c r="C152" s="96" t="s">
        <v>299</v>
      </c>
      <c r="D152" s="97"/>
      <c r="E152" s="97"/>
      <c r="F152" s="98"/>
      <c r="G152" s="40">
        <v>95544</v>
      </c>
      <c r="H152" s="6" t="s">
        <v>2</v>
      </c>
      <c r="I152" s="38">
        <v>12</v>
      </c>
      <c r="J152" s="39">
        <v>99.86</v>
      </c>
      <c r="K152" s="8">
        <f t="shared" si="41"/>
        <v>122.558178</v>
      </c>
      <c r="L152" s="9">
        <f t="shared" si="42"/>
        <v>1470.698136</v>
      </c>
    </row>
    <row r="153" spans="2:12" s="21" customFormat="1" ht="39" customHeight="1" x14ac:dyDescent="0.25">
      <c r="B153" s="13" t="s">
        <v>193</v>
      </c>
      <c r="C153" s="96" t="s">
        <v>300</v>
      </c>
      <c r="D153" s="97"/>
      <c r="E153" s="97"/>
      <c r="F153" s="98"/>
      <c r="G153" s="40">
        <v>95545</v>
      </c>
      <c r="H153" s="6" t="s">
        <v>2</v>
      </c>
      <c r="I153" s="38">
        <v>8</v>
      </c>
      <c r="J153" s="39">
        <v>97.68</v>
      </c>
      <c r="K153" s="8">
        <f t="shared" si="41"/>
        <v>119.88266400000002</v>
      </c>
      <c r="L153" s="9">
        <f t="shared" si="42"/>
        <v>959.06131200000016</v>
      </c>
    </row>
    <row r="154" spans="2:12" s="21" customFormat="1" ht="39" customHeight="1" x14ac:dyDescent="0.25">
      <c r="B154" s="13" t="s">
        <v>132</v>
      </c>
      <c r="C154" s="96" t="s">
        <v>301</v>
      </c>
      <c r="D154" s="97"/>
      <c r="E154" s="97"/>
      <c r="F154" s="98"/>
      <c r="G154" s="40">
        <v>95546</v>
      </c>
      <c r="H154" s="6" t="s">
        <v>2</v>
      </c>
      <c r="I154" s="38">
        <v>2</v>
      </c>
      <c r="J154" s="39">
        <v>302.66000000000003</v>
      </c>
      <c r="K154" s="8">
        <f t="shared" si="41"/>
        <v>371.45461800000004</v>
      </c>
      <c r="L154" s="9">
        <f t="shared" si="42"/>
        <v>742.90923600000008</v>
      </c>
    </row>
    <row r="155" spans="2:12" s="21" customFormat="1" ht="33" customHeight="1" x14ac:dyDescent="0.25">
      <c r="B155" s="99" t="s">
        <v>444</v>
      </c>
      <c r="C155" s="100"/>
      <c r="D155" s="100"/>
      <c r="E155" s="100"/>
      <c r="F155" s="100"/>
      <c r="G155" s="100"/>
      <c r="H155" s="100"/>
      <c r="I155" s="100"/>
      <c r="J155" s="100"/>
      <c r="K155" s="101"/>
      <c r="L155" s="60">
        <f>SUM(L146:L154)</f>
        <v>9688.42893</v>
      </c>
    </row>
    <row r="156" spans="2:12" s="21" customFormat="1" ht="33" customHeight="1" x14ac:dyDescent="0.25">
      <c r="B156" s="55">
        <v>15</v>
      </c>
      <c r="C156" s="102" t="s">
        <v>459</v>
      </c>
      <c r="D156" s="103"/>
      <c r="E156" s="103"/>
      <c r="F156" s="103"/>
      <c r="G156" s="103"/>
      <c r="H156" s="103"/>
      <c r="I156" s="103"/>
      <c r="J156" s="103"/>
      <c r="K156" s="103"/>
      <c r="L156" s="104"/>
    </row>
    <row r="157" spans="2:12" s="22" customFormat="1" ht="33" customHeight="1" x14ac:dyDescent="0.25">
      <c r="B157" s="11" t="s">
        <v>194</v>
      </c>
      <c r="C157" s="105" t="s">
        <v>134</v>
      </c>
      <c r="D157" s="106"/>
      <c r="E157" s="106"/>
      <c r="F157" s="106"/>
      <c r="G157" s="106"/>
      <c r="H157" s="106"/>
      <c r="I157" s="106"/>
      <c r="J157" s="106"/>
      <c r="K157" s="106"/>
      <c r="L157" s="107"/>
    </row>
    <row r="158" spans="2:12" s="21" customFormat="1" ht="54" customHeight="1" x14ac:dyDescent="0.25">
      <c r="B158" s="13" t="s">
        <v>195</v>
      </c>
      <c r="C158" s="96" t="s">
        <v>424</v>
      </c>
      <c r="D158" s="97"/>
      <c r="E158" s="97"/>
      <c r="F158" s="98"/>
      <c r="G158" s="40">
        <v>101190</v>
      </c>
      <c r="H158" s="6" t="s">
        <v>47</v>
      </c>
      <c r="I158" s="38">
        <f>3+58.74</f>
        <v>61.74</v>
      </c>
      <c r="J158" s="39">
        <v>73.75</v>
      </c>
      <c r="K158" s="8">
        <f t="shared" ref="K158:K168" si="43">J158*$G$3</f>
        <v>90.513375000000011</v>
      </c>
      <c r="L158" s="9">
        <f t="shared" ref="L158:L168" si="44">I158*K158</f>
        <v>5588.2957725000006</v>
      </c>
    </row>
    <row r="159" spans="2:12" s="21" customFormat="1" ht="39" customHeight="1" x14ac:dyDescent="0.25">
      <c r="B159" s="13" t="s">
        <v>196</v>
      </c>
      <c r="C159" s="96" t="s">
        <v>302</v>
      </c>
      <c r="D159" s="97"/>
      <c r="E159" s="97"/>
      <c r="F159" s="98"/>
      <c r="G159" s="40">
        <v>7158</v>
      </c>
      <c r="H159" s="6" t="s">
        <v>50</v>
      </c>
      <c r="I159" s="38">
        <f>I158*2.5</f>
        <v>154.35</v>
      </c>
      <c r="J159" s="39">
        <v>43.14</v>
      </c>
      <c r="K159" s="8">
        <f t="shared" si="43"/>
        <v>52.945722000000004</v>
      </c>
      <c r="L159" s="9">
        <f t="shared" si="44"/>
        <v>8172.1721907000001</v>
      </c>
    </row>
    <row r="160" spans="2:12" s="21" customFormat="1" ht="39" customHeight="1" x14ac:dyDescent="0.25">
      <c r="B160" s="13" t="s">
        <v>197</v>
      </c>
      <c r="C160" s="96" t="s">
        <v>303</v>
      </c>
      <c r="D160" s="97"/>
      <c r="E160" s="97"/>
      <c r="F160" s="98"/>
      <c r="G160" s="40">
        <v>96524</v>
      </c>
      <c r="H160" s="6" t="s">
        <v>49</v>
      </c>
      <c r="I160" s="38">
        <f>I158*0.15*0.15</f>
        <v>1.3891499999999999</v>
      </c>
      <c r="J160" s="39">
        <v>232.27</v>
      </c>
      <c r="K160" s="8">
        <f t="shared" ref="K160:K161" si="45">J160*$G$3</f>
        <v>285.06497100000001</v>
      </c>
      <c r="L160" s="9">
        <f t="shared" ref="L160" si="46">I160*K160</f>
        <v>395.99800446464997</v>
      </c>
    </row>
    <row r="161" spans="2:12" s="21" customFormat="1" ht="39" customHeight="1" x14ac:dyDescent="0.25">
      <c r="B161" s="13" t="s">
        <v>330</v>
      </c>
      <c r="C161" s="96" t="s">
        <v>216</v>
      </c>
      <c r="D161" s="97"/>
      <c r="E161" s="97"/>
      <c r="F161" s="98"/>
      <c r="G161" s="40">
        <v>96623</v>
      </c>
      <c r="H161" s="6" t="s">
        <v>49</v>
      </c>
      <c r="I161" s="38">
        <f>I158*0.15*0.05</f>
        <v>0.46304999999999996</v>
      </c>
      <c r="J161" s="39">
        <v>201.15</v>
      </c>
      <c r="K161" s="8">
        <f t="shared" si="45"/>
        <v>246.87139500000001</v>
      </c>
      <c r="L161" s="9">
        <f>I161*K161</f>
        <v>114.31379945475</v>
      </c>
    </row>
    <row r="162" spans="2:12" s="21" customFormat="1" ht="39" customHeight="1" x14ac:dyDescent="0.25">
      <c r="B162" s="13" t="s">
        <v>331</v>
      </c>
      <c r="C162" s="96" t="s">
        <v>304</v>
      </c>
      <c r="D162" s="97"/>
      <c r="E162" s="97"/>
      <c r="F162" s="98"/>
      <c r="G162" s="40">
        <v>38600</v>
      </c>
      <c r="H162" s="6" t="s">
        <v>2</v>
      </c>
      <c r="I162" s="38">
        <f>I158*2.5</f>
        <v>154.35</v>
      </c>
      <c r="J162" s="39">
        <v>4.97</v>
      </c>
      <c r="K162" s="8">
        <f t="shared" si="43"/>
        <v>6.0996810000000004</v>
      </c>
      <c r="L162" s="9">
        <f t="shared" si="44"/>
        <v>941.48576235000007</v>
      </c>
    </row>
    <row r="163" spans="2:12" s="21" customFormat="1" ht="39" customHeight="1" x14ac:dyDescent="0.25">
      <c r="B163" s="13" t="s">
        <v>332</v>
      </c>
      <c r="C163" s="96" t="s">
        <v>305</v>
      </c>
      <c r="D163" s="97"/>
      <c r="E163" s="97"/>
      <c r="F163" s="98"/>
      <c r="G163" s="40">
        <v>92915</v>
      </c>
      <c r="H163" s="6" t="s">
        <v>51</v>
      </c>
      <c r="I163" s="38">
        <f>I164*80</f>
        <v>49.392000000000003</v>
      </c>
      <c r="J163" s="39">
        <v>17.97</v>
      </c>
      <c r="K163" s="8">
        <f t="shared" si="43"/>
        <v>22.054580999999999</v>
      </c>
      <c r="L163" s="9">
        <f t="shared" si="44"/>
        <v>1089.3198647520001</v>
      </c>
    </row>
    <row r="164" spans="2:12" s="21" customFormat="1" ht="39" customHeight="1" x14ac:dyDescent="0.25">
      <c r="B164" s="13" t="s">
        <v>333</v>
      </c>
      <c r="C164" s="96" t="s">
        <v>306</v>
      </c>
      <c r="D164" s="97"/>
      <c r="E164" s="97"/>
      <c r="F164" s="98"/>
      <c r="G164" s="40">
        <v>103675</v>
      </c>
      <c r="H164" s="6" t="s">
        <v>49</v>
      </c>
      <c r="I164" s="38">
        <f>I158*0.1*0.1</f>
        <v>0.61740000000000006</v>
      </c>
      <c r="J164" s="39">
        <v>579.27</v>
      </c>
      <c r="K164" s="8">
        <f t="shared" si="43"/>
        <v>710.93807100000004</v>
      </c>
      <c r="L164" s="9">
        <f t="shared" si="44"/>
        <v>438.93316503540007</v>
      </c>
    </row>
    <row r="165" spans="2:12" s="21" customFormat="1" ht="39" customHeight="1" x14ac:dyDescent="0.25">
      <c r="B165" s="13" t="s">
        <v>334</v>
      </c>
      <c r="C165" s="96" t="s">
        <v>307</v>
      </c>
      <c r="D165" s="97"/>
      <c r="E165" s="97"/>
      <c r="F165" s="98"/>
      <c r="G165" s="40">
        <v>98554</v>
      </c>
      <c r="H165" s="6" t="s">
        <v>50</v>
      </c>
      <c r="I165" s="38">
        <f>I158*0.52</f>
        <v>32.104800000000004</v>
      </c>
      <c r="J165" s="39">
        <v>52.56</v>
      </c>
      <c r="K165" s="8">
        <f t="shared" si="43"/>
        <v>64.506888000000004</v>
      </c>
      <c r="L165" s="9">
        <f t="shared" si="44"/>
        <v>2070.9807378624005</v>
      </c>
    </row>
    <row r="166" spans="2:12" s="21" customFormat="1" ht="39" customHeight="1" x14ac:dyDescent="0.25">
      <c r="B166" s="13" t="s">
        <v>335</v>
      </c>
      <c r="C166" s="96" t="s">
        <v>308</v>
      </c>
      <c r="D166" s="97"/>
      <c r="E166" s="97"/>
      <c r="F166" s="98"/>
      <c r="G166" s="40">
        <v>100701</v>
      </c>
      <c r="H166" s="6" t="s">
        <v>50</v>
      </c>
      <c r="I166" s="38">
        <f>2.5*2</f>
        <v>5</v>
      </c>
      <c r="J166" s="39">
        <v>1050.55</v>
      </c>
      <c r="K166" s="8">
        <f t="shared" si="43"/>
        <v>1289.340015</v>
      </c>
      <c r="L166" s="9">
        <f t="shared" si="44"/>
        <v>6446.7000749999997</v>
      </c>
    </row>
    <row r="167" spans="2:12" s="21" customFormat="1" ht="39" customHeight="1" x14ac:dyDescent="0.25">
      <c r="B167" s="13" t="s">
        <v>336</v>
      </c>
      <c r="C167" s="96" t="s">
        <v>327</v>
      </c>
      <c r="D167" s="97"/>
      <c r="E167" s="97"/>
      <c r="F167" s="98"/>
      <c r="G167" s="40">
        <v>88489</v>
      </c>
      <c r="H167" s="6" t="s">
        <v>50</v>
      </c>
      <c r="I167" s="38">
        <v>26</v>
      </c>
      <c r="J167" s="39">
        <v>13.65</v>
      </c>
      <c r="K167" s="8">
        <f t="shared" si="43"/>
        <v>16.752645000000001</v>
      </c>
      <c r="L167" s="9">
        <f t="shared" si="44"/>
        <v>435.56877000000003</v>
      </c>
    </row>
    <row r="168" spans="2:12" s="21" customFormat="1" ht="39" customHeight="1" x14ac:dyDescent="0.25">
      <c r="B168" s="13" t="s">
        <v>337</v>
      </c>
      <c r="C168" s="96" t="s">
        <v>328</v>
      </c>
      <c r="D168" s="97"/>
      <c r="E168" s="97"/>
      <c r="F168" s="98"/>
      <c r="G168" s="40">
        <v>100725</v>
      </c>
      <c r="H168" s="6" t="s">
        <v>50</v>
      </c>
      <c r="I168" s="38">
        <f>I159*2</f>
        <v>308.7</v>
      </c>
      <c r="J168" s="39">
        <v>28.81</v>
      </c>
      <c r="K168" s="8">
        <f t="shared" si="43"/>
        <v>35.358513000000002</v>
      </c>
      <c r="L168" s="9">
        <f t="shared" si="44"/>
        <v>10915.1729631</v>
      </c>
    </row>
    <row r="169" spans="2:12" s="21" customFormat="1" ht="33" customHeight="1" x14ac:dyDescent="0.25">
      <c r="B169" s="99" t="s">
        <v>447</v>
      </c>
      <c r="C169" s="100"/>
      <c r="D169" s="100"/>
      <c r="E169" s="100"/>
      <c r="F169" s="100"/>
      <c r="G169" s="100"/>
      <c r="H169" s="100"/>
      <c r="I169" s="100"/>
      <c r="J169" s="100"/>
      <c r="K169" s="101"/>
      <c r="L169" s="60">
        <f>SUM(L158:L168)</f>
        <v>36608.941105219201</v>
      </c>
    </row>
    <row r="170" spans="2:12" s="22" customFormat="1" ht="33" customHeight="1" x14ac:dyDescent="0.25">
      <c r="B170" s="11" t="s">
        <v>126</v>
      </c>
      <c r="C170" s="105" t="s">
        <v>460</v>
      </c>
      <c r="D170" s="106"/>
      <c r="E170" s="106"/>
      <c r="F170" s="106"/>
      <c r="G170" s="106"/>
      <c r="H170" s="106"/>
      <c r="I170" s="106"/>
      <c r="J170" s="106"/>
      <c r="K170" s="106"/>
      <c r="L170" s="107"/>
    </row>
    <row r="171" spans="2:12" s="21" customFormat="1" ht="39" customHeight="1" x14ac:dyDescent="0.25">
      <c r="B171" s="13" t="s">
        <v>198</v>
      </c>
      <c r="C171" s="96" t="s">
        <v>309</v>
      </c>
      <c r="D171" s="97"/>
      <c r="E171" s="97"/>
      <c r="F171" s="98"/>
      <c r="G171" s="40">
        <v>101090</v>
      </c>
      <c r="H171" s="6" t="s">
        <v>50</v>
      </c>
      <c r="I171" s="38">
        <f>10.25+10.25+2.8</f>
        <v>23.3</v>
      </c>
      <c r="J171" s="39">
        <v>198.4</v>
      </c>
      <c r="K171" s="8">
        <f>J171*$G$3</f>
        <v>243.49632000000003</v>
      </c>
      <c r="L171" s="9">
        <f>I171*K171</f>
        <v>5673.4642560000011</v>
      </c>
    </row>
    <row r="172" spans="2:12" s="21" customFormat="1" ht="39" customHeight="1" x14ac:dyDescent="0.25">
      <c r="B172" s="13" t="s">
        <v>199</v>
      </c>
      <c r="C172" s="96" t="s">
        <v>310</v>
      </c>
      <c r="D172" s="97"/>
      <c r="E172" s="97"/>
      <c r="F172" s="98"/>
      <c r="G172" s="40" t="s">
        <v>311</v>
      </c>
      <c r="H172" s="6" t="s">
        <v>50</v>
      </c>
      <c r="I172" s="38">
        <f>I171</f>
        <v>23.3</v>
      </c>
      <c r="J172" s="39">
        <v>52.56</v>
      </c>
      <c r="K172" s="8">
        <f t="shared" ref="K172" si="47">J172*$G$3</f>
        <v>64.506888000000004</v>
      </c>
      <c r="L172" s="9">
        <f t="shared" ref="L172" si="48">I172*K172</f>
        <v>1503.0104904000002</v>
      </c>
    </row>
    <row r="173" spans="2:12" s="21" customFormat="1" ht="39" customHeight="1" x14ac:dyDescent="0.25">
      <c r="B173" s="13" t="s">
        <v>200</v>
      </c>
      <c r="C173" s="96" t="s">
        <v>425</v>
      </c>
      <c r="D173" s="97"/>
      <c r="E173" s="97"/>
      <c r="F173" s="98"/>
      <c r="G173" s="40">
        <v>35275</v>
      </c>
      <c r="H173" s="6" t="s">
        <v>47</v>
      </c>
      <c r="I173" s="38">
        <f>3.9*2</f>
        <v>7.8</v>
      </c>
      <c r="J173" s="39">
        <v>118.67</v>
      </c>
      <c r="K173" s="8">
        <f t="shared" ref="K173" si="49">J173*$G$3</f>
        <v>145.64369100000002</v>
      </c>
      <c r="L173" s="9">
        <f t="shared" ref="L173" si="50">I173*K173</f>
        <v>1136.0207898000001</v>
      </c>
    </row>
    <row r="174" spans="2:12" s="21" customFormat="1" ht="39" customHeight="1" x14ac:dyDescent="0.25">
      <c r="B174" s="13" t="s">
        <v>201</v>
      </c>
      <c r="C174" s="96" t="s">
        <v>426</v>
      </c>
      <c r="D174" s="97"/>
      <c r="E174" s="97"/>
      <c r="F174" s="98"/>
      <c r="G174" s="40">
        <v>20211</v>
      </c>
      <c r="H174" s="6" t="s">
        <v>47</v>
      </c>
      <c r="I174" s="38">
        <f>2.7*2</f>
        <v>5.4</v>
      </c>
      <c r="J174" s="39">
        <v>34.590000000000003</v>
      </c>
      <c r="K174" s="8">
        <f t="shared" ref="K174:K178" si="51">J174*$G$3</f>
        <v>42.452307000000005</v>
      </c>
      <c r="L174" s="9">
        <f t="shared" ref="L174:L179" si="52">I174*K174</f>
        <v>229.24245780000004</v>
      </c>
    </row>
    <row r="175" spans="2:12" s="21" customFormat="1" ht="54" customHeight="1" x14ac:dyDescent="0.25">
      <c r="B175" s="13" t="s">
        <v>338</v>
      </c>
      <c r="C175" s="96" t="s">
        <v>312</v>
      </c>
      <c r="D175" s="97"/>
      <c r="E175" s="97"/>
      <c r="F175" s="98"/>
      <c r="G175" s="40">
        <v>92259</v>
      </c>
      <c r="H175" s="6" t="s">
        <v>2</v>
      </c>
      <c r="I175" s="42">
        <v>4</v>
      </c>
      <c r="J175" s="43">
        <v>527.02</v>
      </c>
      <c r="K175" s="44">
        <f t="shared" si="51"/>
        <v>646.811646</v>
      </c>
      <c r="L175" s="45">
        <f t="shared" si="52"/>
        <v>2587.246584</v>
      </c>
    </row>
    <row r="176" spans="2:12" s="21" customFormat="1" ht="39" customHeight="1" x14ac:dyDescent="0.25">
      <c r="B176" s="13" t="s">
        <v>339</v>
      </c>
      <c r="C176" s="96" t="s">
        <v>235</v>
      </c>
      <c r="D176" s="97"/>
      <c r="E176" s="97"/>
      <c r="F176" s="98"/>
      <c r="G176" s="40">
        <v>92543</v>
      </c>
      <c r="H176" s="6" t="s">
        <v>50</v>
      </c>
      <c r="I176" s="38">
        <f>2.7*4.1</f>
        <v>11.07</v>
      </c>
      <c r="J176" s="39">
        <v>26.37</v>
      </c>
      <c r="K176" s="8">
        <f t="shared" si="51"/>
        <v>32.363901000000006</v>
      </c>
      <c r="L176" s="9">
        <f t="shared" si="52"/>
        <v>358.26838407000008</v>
      </c>
    </row>
    <row r="177" spans="2:12" s="21" customFormat="1" ht="39" customHeight="1" x14ac:dyDescent="0.25">
      <c r="B177" s="13" t="s">
        <v>340</v>
      </c>
      <c r="C177" s="96" t="s">
        <v>313</v>
      </c>
      <c r="D177" s="97"/>
      <c r="E177" s="97"/>
      <c r="F177" s="98"/>
      <c r="G177" s="40">
        <v>94216</v>
      </c>
      <c r="H177" s="6" t="s">
        <v>50</v>
      </c>
      <c r="I177" s="38">
        <f>I176</f>
        <v>11.07</v>
      </c>
      <c r="J177" s="39">
        <v>191</v>
      </c>
      <c r="K177" s="8">
        <f t="shared" si="51"/>
        <v>234.4143</v>
      </c>
      <c r="L177" s="9">
        <f t="shared" si="52"/>
        <v>2594.9663009999999</v>
      </c>
    </row>
    <row r="178" spans="2:12" s="21" customFormat="1" ht="39" customHeight="1" x14ac:dyDescent="0.25">
      <c r="B178" s="13" t="s">
        <v>341</v>
      </c>
      <c r="C178" s="96" t="s">
        <v>240</v>
      </c>
      <c r="D178" s="97"/>
      <c r="E178" s="97"/>
      <c r="F178" s="98"/>
      <c r="G178" s="40">
        <v>3993</v>
      </c>
      <c r="H178" s="6" t="s">
        <v>50</v>
      </c>
      <c r="I178" s="38">
        <f>I177</f>
        <v>11.07</v>
      </c>
      <c r="J178" s="39">
        <v>134.18</v>
      </c>
      <c r="K178" s="8">
        <f t="shared" si="51"/>
        <v>164.67911400000003</v>
      </c>
      <c r="L178" s="9">
        <f t="shared" si="52"/>
        <v>1822.9977919800003</v>
      </c>
    </row>
    <row r="179" spans="2:12" s="21" customFormat="1" ht="39" customHeight="1" x14ac:dyDescent="0.25">
      <c r="B179" s="13" t="s">
        <v>342</v>
      </c>
      <c r="C179" s="96" t="s">
        <v>315</v>
      </c>
      <c r="D179" s="97"/>
      <c r="E179" s="97"/>
      <c r="F179" s="98"/>
      <c r="G179" s="40" t="s">
        <v>314</v>
      </c>
      <c r="H179" s="6" t="s">
        <v>2</v>
      </c>
      <c r="I179" s="38">
        <v>1</v>
      </c>
      <c r="J179" s="39">
        <f>'COMPOSIÇÕES '!L104</f>
        <v>1317.3347279999998</v>
      </c>
      <c r="K179" s="8">
        <f>J179</f>
        <v>1317.3347279999998</v>
      </c>
      <c r="L179" s="9">
        <f t="shared" si="52"/>
        <v>1317.3347279999998</v>
      </c>
    </row>
    <row r="180" spans="2:12" s="21" customFormat="1" ht="33" customHeight="1" x14ac:dyDescent="0.25">
      <c r="B180" s="99" t="s">
        <v>448</v>
      </c>
      <c r="C180" s="100"/>
      <c r="D180" s="100"/>
      <c r="E180" s="100"/>
      <c r="F180" s="100"/>
      <c r="G180" s="100"/>
      <c r="H180" s="100"/>
      <c r="I180" s="100"/>
      <c r="J180" s="100"/>
      <c r="K180" s="101"/>
      <c r="L180" s="60">
        <f>SUM(L171:L179)</f>
        <v>17222.551783050003</v>
      </c>
    </row>
    <row r="181" spans="2:12" s="21" customFormat="1" ht="33" customHeight="1" x14ac:dyDescent="0.25">
      <c r="B181" s="99" t="s">
        <v>445</v>
      </c>
      <c r="C181" s="100"/>
      <c r="D181" s="100"/>
      <c r="E181" s="100"/>
      <c r="F181" s="100"/>
      <c r="G181" s="100"/>
      <c r="H181" s="100"/>
      <c r="I181" s="100"/>
      <c r="J181" s="100"/>
      <c r="K181" s="101"/>
      <c r="L181" s="60">
        <f>L180+L169</f>
        <v>53831.492888269204</v>
      </c>
    </row>
    <row r="182" spans="2:12" s="21" customFormat="1" ht="33" customHeight="1" x14ac:dyDescent="0.25">
      <c r="B182" s="55">
        <v>16</v>
      </c>
      <c r="C182" s="102" t="s">
        <v>204</v>
      </c>
      <c r="D182" s="103"/>
      <c r="E182" s="103"/>
      <c r="F182" s="103"/>
      <c r="G182" s="103"/>
      <c r="H182" s="103"/>
      <c r="I182" s="103"/>
      <c r="J182" s="103"/>
      <c r="K182" s="103"/>
      <c r="L182" s="104"/>
    </row>
    <row r="183" spans="2:12" s="21" customFormat="1" ht="39" customHeight="1" x14ac:dyDescent="0.25">
      <c r="B183" s="13" t="s">
        <v>133</v>
      </c>
      <c r="C183" s="96" t="s">
        <v>316</v>
      </c>
      <c r="D183" s="97"/>
      <c r="E183" s="97"/>
      <c r="F183" s="98"/>
      <c r="G183" s="40">
        <v>100875</v>
      </c>
      <c r="H183" s="6" t="s">
        <v>2</v>
      </c>
      <c r="I183" s="38">
        <v>2</v>
      </c>
      <c r="J183" s="39">
        <v>1070.1300000000001</v>
      </c>
      <c r="K183" s="8">
        <f>J183*$G$3</f>
        <v>1313.3705490000002</v>
      </c>
      <c r="L183" s="9">
        <f>I183*K183</f>
        <v>2626.7410980000004</v>
      </c>
    </row>
    <row r="184" spans="2:12" s="21" customFormat="1" ht="39" customHeight="1" x14ac:dyDescent="0.25">
      <c r="B184" s="13" t="s">
        <v>205</v>
      </c>
      <c r="C184" s="96" t="s">
        <v>317</v>
      </c>
      <c r="D184" s="97"/>
      <c r="E184" s="97"/>
      <c r="F184" s="98"/>
      <c r="G184" s="40">
        <v>100870</v>
      </c>
      <c r="H184" s="6" t="s">
        <v>2</v>
      </c>
      <c r="I184" s="38">
        <f>6</f>
        <v>6</v>
      </c>
      <c r="J184" s="39">
        <v>257.79000000000002</v>
      </c>
      <c r="K184" s="8">
        <f>J184*$G$3</f>
        <v>316.38566700000001</v>
      </c>
      <c r="L184" s="9">
        <f>I184*K184</f>
        <v>1898.3140020000001</v>
      </c>
    </row>
    <row r="185" spans="2:12" s="21" customFormat="1" ht="39" customHeight="1" x14ac:dyDescent="0.25">
      <c r="B185" s="13" t="s">
        <v>206</v>
      </c>
      <c r="C185" s="96" t="s">
        <v>318</v>
      </c>
      <c r="D185" s="97"/>
      <c r="E185" s="97"/>
      <c r="F185" s="98"/>
      <c r="G185" s="40">
        <v>100872</v>
      </c>
      <c r="H185" s="6" t="s">
        <v>2</v>
      </c>
      <c r="I185" s="38">
        <f>4+3</f>
        <v>7</v>
      </c>
      <c r="J185" s="39">
        <v>290.52999999999997</v>
      </c>
      <c r="K185" s="8">
        <f>J185*$G$3</f>
        <v>356.56746899999996</v>
      </c>
      <c r="L185" s="9">
        <f>I185*K185</f>
        <v>2495.9722829999996</v>
      </c>
    </row>
    <row r="186" spans="2:12" s="21" customFormat="1" ht="39" customHeight="1" x14ac:dyDescent="0.25">
      <c r="B186" s="13" t="s">
        <v>207</v>
      </c>
      <c r="C186" s="96" t="s">
        <v>319</v>
      </c>
      <c r="D186" s="97"/>
      <c r="E186" s="97"/>
      <c r="F186" s="98"/>
      <c r="G186" s="40">
        <v>101094</v>
      </c>
      <c r="H186" s="6" t="s">
        <v>47</v>
      </c>
      <c r="I186" s="38">
        <v>32.200000000000003</v>
      </c>
      <c r="J186" s="39">
        <v>187.88</v>
      </c>
      <c r="K186" s="8">
        <f>J186*$G$3</f>
        <v>230.58512400000001</v>
      </c>
      <c r="L186" s="9">
        <f>I186*K186</f>
        <v>7424.840992800001</v>
      </c>
    </row>
    <row r="187" spans="2:12" s="21" customFormat="1" ht="33" customHeight="1" x14ac:dyDescent="0.25">
      <c r="B187" s="99" t="s">
        <v>446</v>
      </c>
      <c r="C187" s="100"/>
      <c r="D187" s="100"/>
      <c r="E187" s="100"/>
      <c r="F187" s="100"/>
      <c r="G187" s="100"/>
      <c r="H187" s="100"/>
      <c r="I187" s="100"/>
      <c r="J187" s="100"/>
      <c r="K187" s="101"/>
      <c r="L187" s="60">
        <f>SUM(L183:L186)</f>
        <v>14445.868375800001</v>
      </c>
    </row>
    <row r="188" spans="2:12" s="21" customFormat="1" ht="33" customHeight="1" x14ac:dyDescent="0.25">
      <c r="B188" s="55">
        <v>17</v>
      </c>
      <c r="C188" s="102" t="s">
        <v>461</v>
      </c>
      <c r="D188" s="103"/>
      <c r="E188" s="103"/>
      <c r="F188" s="103"/>
      <c r="G188" s="103"/>
      <c r="H188" s="103"/>
      <c r="I188" s="103"/>
      <c r="J188" s="103"/>
      <c r="K188" s="103"/>
      <c r="L188" s="104"/>
    </row>
    <row r="189" spans="2:12" s="21" customFormat="1" ht="39" customHeight="1" x14ac:dyDescent="0.25">
      <c r="B189" s="13" t="s">
        <v>208</v>
      </c>
      <c r="C189" s="96" t="s">
        <v>456</v>
      </c>
      <c r="D189" s="97"/>
      <c r="E189" s="97"/>
      <c r="F189" s="98"/>
      <c r="G189" s="40">
        <v>97599</v>
      </c>
      <c r="H189" s="6" t="s">
        <v>2</v>
      </c>
      <c r="I189" s="38">
        <v>12</v>
      </c>
      <c r="J189" s="39">
        <v>25.55</v>
      </c>
      <c r="K189" s="8">
        <f>J189*$G$3</f>
        <v>31.357515000000003</v>
      </c>
      <c r="L189" s="9">
        <f>I189*K189</f>
        <v>376.29018000000002</v>
      </c>
    </row>
    <row r="190" spans="2:12" s="21" customFormat="1" ht="39" customHeight="1" x14ac:dyDescent="0.25">
      <c r="B190" s="13" t="s">
        <v>209</v>
      </c>
      <c r="C190" s="96" t="s">
        <v>320</v>
      </c>
      <c r="D190" s="97"/>
      <c r="E190" s="97"/>
      <c r="F190" s="98"/>
      <c r="G190" s="40">
        <v>101908</v>
      </c>
      <c r="H190" s="6" t="s">
        <v>2</v>
      </c>
      <c r="I190" s="38">
        <v>2</v>
      </c>
      <c r="J190" s="39">
        <v>196.81</v>
      </c>
      <c r="K190" s="8">
        <f>J190*$G$3</f>
        <v>241.54491300000001</v>
      </c>
      <c r="L190" s="9">
        <f>I190*K190</f>
        <v>483.08982600000002</v>
      </c>
    </row>
    <row r="191" spans="2:12" s="21" customFormat="1" ht="39" customHeight="1" x14ac:dyDescent="0.25">
      <c r="B191" s="13" t="s">
        <v>210</v>
      </c>
      <c r="C191" s="96" t="s">
        <v>322</v>
      </c>
      <c r="D191" s="97"/>
      <c r="E191" s="97"/>
      <c r="F191" s="98"/>
      <c r="G191" s="40" t="s">
        <v>323</v>
      </c>
      <c r="H191" s="6" t="s">
        <v>2</v>
      </c>
      <c r="I191" s="38">
        <v>11</v>
      </c>
      <c r="J191" s="39">
        <v>20.51</v>
      </c>
      <c r="K191" s="8">
        <f t="shared" ref="K191:K192" si="53">J191*$G$3</f>
        <v>25.171923000000003</v>
      </c>
      <c r="L191" s="9">
        <f t="shared" ref="L191:L192" si="54">I191*K191</f>
        <v>276.89115300000003</v>
      </c>
    </row>
    <row r="192" spans="2:12" s="21" customFormat="1" ht="39" customHeight="1" x14ac:dyDescent="0.25">
      <c r="B192" s="13" t="s">
        <v>211</v>
      </c>
      <c r="C192" s="96" t="s">
        <v>324</v>
      </c>
      <c r="D192" s="97"/>
      <c r="E192" s="97"/>
      <c r="F192" s="98"/>
      <c r="G192" s="40" t="s">
        <v>325</v>
      </c>
      <c r="H192" s="6" t="s">
        <v>2</v>
      </c>
      <c r="I192" s="38">
        <v>2</v>
      </c>
      <c r="J192" s="39">
        <v>138.76</v>
      </c>
      <c r="K192" s="8">
        <f t="shared" si="53"/>
        <v>170.30014800000001</v>
      </c>
      <c r="L192" s="9">
        <f t="shared" si="54"/>
        <v>340.60029600000001</v>
      </c>
    </row>
    <row r="193" spans="2:78" s="21" customFormat="1" ht="33" customHeight="1" x14ac:dyDescent="0.25">
      <c r="B193" s="99" t="s">
        <v>449</v>
      </c>
      <c r="C193" s="100"/>
      <c r="D193" s="100"/>
      <c r="E193" s="100"/>
      <c r="F193" s="100"/>
      <c r="G193" s="100"/>
      <c r="H193" s="100"/>
      <c r="I193" s="100"/>
      <c r="J193" s="100"/>
      <c r="K193" s="101"/>
      <c r="L193" s="60">
        <f>SUM(L189:L192)</f>
        <v>1476.8714550000002</v>
      </c>
    </row>
    <row r="194" spans="2:78" s="21" customFormat="1" ht="33" customHeight="1" x14ac:dyDescent="0.25">
      <c r="B194" s="55">
        <v>18</v>
      </c>
      <c r="C194" s="102" t="s">
        <v>411</v>
      </c>
      <c r="D194" s="103"/>
      <c r="E194" s="103"/>
      <c r="F194" s="103"/>
      <c r="G194" s="103"/>
      <c r="H194" s="103"/>
      <c r="I194" s="103"/>
      <c r="J194" s="103"/>
      <c r="K194" s="103"/>
      <c r="L194" s="104"/>
    </row>
    <row r="195" spans="2:78" s="21" customFormat="1" ht="39" customHeight="1" x14ac:dyDescent="0.25">
      <c r="B195" s="13" t="s">
        <v>212</v>
      </c>
      <c r="C195" s="96" t="s">
        <v>321</v>
      </c>
      <c r="D195" s="97"/>
      <c r="E195" s="97"/>
      <c r="F195" s="98"/>
      <c r="G195" s="40">
        <v>99814</v>
      </c>
      <c r="H195" s="6" t="s">
        <v>50</v>
      </c>
      <c r="I195" s="38">
        <v>174.56</v>
      </c>
      <c r="J195" s="39">
        <v>2.41</v>
      </c>
      <c r="K195" s="8">
        <f t="shared" ref="K195" si="55">J195*$G$3</f>
        <v>2.9577930000000001</v>
      </c>
      <c r="L195" s="9">
        <f t="shared" ref="L195" si="56">I195*K195</f>
        <v>516.31234608</v>
      </c>
    </row>
    <row r="196" spans="2:78" s="21" customFormat="1" ht="33" customHeight="1" x14ac:dyDescent="0.25">
      <c r="B196" s="99" t="s">
        <v>450</v>
      </c>
      <c r="C196" s="100"/>
      <c r="D196" s="100"/>
      <c r="E196" s="100"/>
      <c r="F196" s="100"/>
      <c r="G196" s="100"/>
      <c r="H196" s="100"/>
      <c r="I196" s="100"/>
      <c r="J196" s="100"/>
      <c r="K196" s="101"/>
      <c r="L196" s="60">
        <f>SUM(L195)</f>
        <v>516.31234608</v>
      </c>
    </row>
    <row r="197" spans="2:78" s="21" customFormat="1" ht="33" customHeight="1" x14ac:dyDescent="0.25">
      <c r="B197" s="99" t="s">
        <v>451</v>
      </c>
      <c r="C197" s="100"/>
      <c r="D197" s="100"/>
      <c r="E197" s="100"/>
      <c r="F197" s="100"/>
      <c r="G197" s="100"/>
      <c r="H197" s="100"/>
      <c r="I197" s="100"/>
      <c r="J197" s="100"/>
      <c r="K197" s="101"/>
      <c r="L197" s="60">
        <f>L196+L193+L187+L180+L169+L155+L144+L134+L129+L117+L99+L95+L88+L81+L71+L61+L55+L49+L42+L33+L22+L11</f>
        <v>723892.64978253131</v>
      </c>
    </row>
    <row r="198" spans="2:78" s="68" customFormat="1" ht="31.5" customHeight="1" x14ac:dyDescent="0.25">
      <c r="I198" s="69"/>
      <c r="J198" s="70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  <c r="AR198" s="71"/>
      <c r="AS198" s="71"/>
      <c r="AT198" s="71"/>
      <c r="AU198" s="71"/>
      <c r="AV198" s="71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</row>
    <row r="199" spans="2:78" s="68" customFormat="1" ht="33" customHeight="1" x14ac:dyDescent="0.25">
      <c r="B199" s="125" t="s">
        <v>452</v>
      </c>
      <c r="C199" s="125"/>
      <c r="D199" s="125"/>
      <c r="E199" s="125"/>
      <c r="F199" s="125"/>
      <c r="G199" s="72"/>
      <c r="H199" s="72"/>
      <c r="I199" s="73"/>
      <c r="J199" s="74"/>
      <c r="K199" s="72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  <c r="AR199" s="71"/>
      <c r="AS199" s="71"/>
      <c r="AT199" s="71"/>
      <c r="AU199" s="71"/>
      <c r="AV199" s="71"/>
      <c r="AW199" s="71"/>
      <c r="AX199" s="71"/>
      <c r="AY199" s="71"/>
      <c r="AZ199" s="71"/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1"/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</row>
    <row r="200" spans="2:78" s="68" customFormat="1" ht="15" customHeight="1" x14ac:dyDescent="0.25">
      <c r="B200" s="72"/>
      <c r="C200" s="72"/>
      <c r="D200" s="72"/>
      <c r="E200" s="72"/>
      <c r="F200" s="72"/>
      <c r="G200" s="72"/>
      <c r="H200" s="72"/>
      <c r="I200" s="73"/>
      <c r="J200" s="74"/>
      <c r="K200" s="72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  <c r="AR200" s="71"/>
      <c r="AS200" s="71"/>
      <c r="AT200" s="71"/>
      <c r="AU200" s="71"/>
      <c r="AV200" s="71"/>
      <c r="AW200" s="71"/>
      <c r="AX200" s="71"/>
      <c r="AY200" s="71"/>
      <c r="AZ200" s="71"/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1"/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</row>
    <row r="201" spans="2:78" s="68" customFormat="1" ht="15" customHeight="1" x14ac:dyDescent="0.25">
      <c r="B201" s="72"/>
      <c r="C201" s="72"/>
      <c r="D201" s="72"/>
      <c r="E201" s="72"/>
      <c r="F201" s="72"/>
      <c r="G201" s="72"/>
      <c r="H201" s="72"/>
      <c r="I201" s="73"/>
      <c r="J201" s="74"/>
      <c r="K201" s="72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</row>
    <row r="202" spans="2:78" s="68" customFormat="1" ht="15" customHeight="1" x14ac:dyDescent="0.25">
      <c r="B202" s="72"/>
      <c r="C202" s="72"/>
      <c r="D202" s="72"/>
      <c r="E202" s="72"/>
      <c r="F202" s="72"/>
      <c r="G202" s="72"/>
      <c r="H202" s="72"/>
      <c r="I202" s="73"/>
      <c r="J202" s="74"/>
      <c r="K202" s="72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</row>
    <row r="203" spans="2:78" s="68" customFormat="1" ht="15" customHeight="1" x14ac:dyDescent="0.25">
      <c r="B203" s="72"/>
      <c r="C203" s="72"/>
      <c r="D203" s="72"/>
      <c r="E203" s="72"/>
      <c r="F203" s="72"/>
      <c r="G203" s="72"/>
      <c r="H203" s="72"/>
      <c r="I203" s="73"/>
      <c r="J203" s="74"/>
      <c r="K203" s="72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</row>
    <row r="204" spans="2:78" s="68" customFormat="1" ht="15" customHeight="1" x14ac:dyDescent="0.25">
      <c r="B204" s="72"/>
      <c r="C204" s="72"/>
      <c r="D204" s="72"/>
      <c r="E204" s="72"/>
      <c r="F204" s="72"/>
      <c r="G204" s="72"/>
      <c r="H204" s="72"/>
      <c r="I204" s="73"/>
      <c r="J204" s="74"/>
      <c r="K204" s="72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</row>
    <row r="205" spans="2:78" s="68" customFormat="1" ht="30" customHeight="1" x14ac:dyDescent="0.25">
      <c r="B205" s="72"/>
      <c r="C205" s="72"/>
      <c r="D205" s="72"/>
      <c r="E205" s="72"/>
      <c r="F205" s="72" t="s">
        <v>75</v>
      </c>
      <c r="G205" s="125" t="s">
        <v>77</v>
      </c>
      <c r="H205" s="125"/>
      <c r="I205" s="125"/>
      <c r="J205" s="125"/>
      <c r="K205" s="125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</row>
    <row r="206" spans="2:78" s="68" customFormat="1" ht="20.25" customHeight="1" x14ac:dyDescent="0.25">
      <c r="B206" s="72"/>
      <c r="C206" s="72"/>
      <c r="D206" s="72"/>
      <c r="E206" s="72"/>
      <c r="F206" s="72" t="s">
        <v>40</v>
      </c>
      <c r="G206" s="125" t="s">
        <v>76</v>
      </c>
      <c r="H206" s="125"/>
      <c r="I206" s="125"/>
      <c r="J206" s="125"/>
      <c r="K206" s="125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  <c r="AA206" s="71"/>
      <c r="AB206" s="71"/>
      <c r="AC206" s="71"/>
      <c r="AD206" s="71"/>
      <c r="AE206" s="71"/>
      <c r="AF206" s="71"/>
      <c r="AG206" s="71"/>
      <c r="AH206" s="71"/>
      <c r="AI206" s="71"/>
      <c r="AJ206" s="71"/>
      <c r="AK206" s="71"/>
      <c r="AL206" s="71"/>
      <c r="AM206" s="71"/>
      <c r="AN206" s="71"/>
      <c r="AO206" s="71"/>
      <c r="AP206" s="71"/>
      <c r="AQ206" s="71"/>
      <c r="AR206" s="71"/>
      <c r="AS206" s="71"/>
      <c r="AT206" s="71"/>
      <c r="AU206" s="71"/>
      <c r="AV206" s="71"/>
      <c r="AW206" s="71"/>
      <c r="AX206" s="71"/>
      <c r="AY206" s="71"/>
      <c r="AZ206" s="71"/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1"/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</row>
    <row r="207" spans="2:78" s="68" customFormat="1" ht="20.25" customHeight="1" x14ac:dyDescent="0.25">
      <c r="B207" s="72"/>
      <c r="C207" s="72" t="s">
        <v>44</v>
      </c>
      <c r="D207" s="72"/>
      <c r="E207" s="72"/>
      <c r="F207" s="72" t="s">
        <v>43</v>
      </c>
      <c r="G207" s="125" t="s">
        <v>453</v>
      </c>
      <c r="H207" s="125"/>
      <c r="I207" s="125"/>
      <c r="J207" s="125"/>
      <c r="K207" s="125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  <c r="AA207" s="71"/>
      <c r="AB207" s="71"/>
      <c r="AC207" s="71"/>
      <c r="AD207" s="71"/>
      <c r="AE207" s="71"/>
      <c r="AF207" s="71"/>
      <c r="AG207" s="71"/>
      <c r="AH207" s="71"/>
      <c r="AI207" s="71"/>
      <c r="AJ207" s="71"/>
      <c r="AK207" s="71"/>
      <c r="AL207" s="71"/>
      <c r="AM207" s="71"/>
      <c r="AN207" s="71"/>
      <c r="AO207" s="71"/>
      <c r="AP207" s="71"/>
      <c r="AQ207" s="71"/>
      <c r="AR207" s="71"/>
      <c r="AS207" s="71"/>
      <c r="AT207" s="71"/>
      <c r="AU207" s="71"/>
      <c r="AV207" s="71"/>
      <c r="AW207" s="71"/>
      <c r="AX207" s="71"/>
      <c r="AY207" s="71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</row>
    <row r="208" spans="2:78" s="68" customFormat="1" ht="20.25" customHeight="1" x14ac:dyDescent="0.25">
      <c r="B208" s="72"/>
      <c r="C208" s="72"/>
      <c r="D208" s="72"/>
      <c r="E208" s="72"/>
      <c r="F208" s="72" t="s">
        <v>19</v>
      </c>
      <c r="G208" s="125" t="s">
        <v>454</v>
      </c>
      <c r="H208" s="125"/>
      <c r="I208" s="125"/>
      <c r="J208" s="125"/>
      <c r="K208" s="125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  <c r="AA208" s="71"/>
      <c r="AB208" s="71"/>
      <c r="AC208" s="71"/>
      <c r="AD208" s="71"/>
      <c r="AE208" s="71"/>
      <c r="AF208" s="71"/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71"/>
      <c r="BH208" s="71"/>
      <c r="BI208" s="71"/>
      <c r="BJ208" s="71"/>
      <c r="BK208" s="71"/>
      <c r="BL208" s="71"/>
      <c r="BM208" s="71"/>
      <c r="BN208" s="71"/>
      <c r="BO208" s="71"/>
      <c r="BP208" s="71"/>
      <c r="BQ208" s="71"/>
      <c r="BR208" s="71"/>
      <c r="BS208" s="71"/>
      <c r="BT208" s="71"/>
      <c r="BU208" s="71"/>
      <c r="BV208" s="71"/>
      <c r="BW208" s="71"/>
      <c r="BX208" s="71"/>
      <c r="BY208" s="71"/>
      <c r="BZ208" s="71"/>
    </row>
    <row r="209" spans="2:78" s="68" customFormat="1" ht="20.25" customHeight="1" x14ac:dyDescent="0.25">
      <c r="B209" s="72"/>
      <c r="C209" s="72"/>
      <c r="D209" s="72"/>
      <c r="E209" s="72"/>
      <c r="F209" s="72" t="s">
        <v>20</v>
      </c>
      <c r="G209" s="125"/>
      <c r="H209" s="125"/>
      <c r="I209" s="125"/>
      <c r="J209" s="125"/>
      <c r="K209" s="125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  <c r="AA209" s="71"/>
      <c r="AB209" s="71"/>
      <c r="AC209" s="71"/>
      <c r="AD209" s="71"/>
      <c r="AE209" s="71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</row>
    <row r="210" spans="2:78" s="25" customFormat="1" ht="15" customHeight="1" x14ac:dyDescent="0.25">
      <c r="B210" s="68"/>
      <c r="I210" s="75"/>
      <c r="J210" s="76"/>
    </row>
    <row r="211" spans="2:78" s="21" customFormat="1" ht="15" customHeight="1" x14ac:dyDescent="0.25">
      <c r="B211" s="24"/>
      <c r="C211" s="24"/>
      <c r="D211" s="24"/>
      <c r="E211" s="24"/>
      <c r="F211" s="24"/>
      <c r="G211" s="24"/>
      <c r="H211" s="24"/>
      <c r="I211" s="35"/>
      <c r="J211" s="31"/>
      <c r="K211" s="24"/>
      <c r="L211" s="24"/>
    </row>
    <row r="212" spans="2:78" x14ac:dyDescent="0.25">
      <c r="B212" s="20"/>
      <c r="C212" s="26"/>
      <c r="D212" s="26"/>
      <c r="E212" s="26"/>
      <c r="F212" s="26"/>
      <c r="G212" s="26"/>
      <c r="H212" s="26"/>
      <c r="I212" s="23"/>
      <c r="J212" s="32"/>
      <c r="K212" s="26"/>
      <c r="L212" s="26"/>
    </row>
    <row r="213" spans="2:78" ht="15.75" x14ac:dyDescent="0.25">
      <c r="B213" s="20"/>
      <c r="C213" s="24"/>
      <c r="D213" s="24"/>
      <c r="E213" s="24"/>
      <c r="F213" s="24"/>
      <c r="G213" s="24"/>
      <c r="H213" s="24"/>
      <c r="I213" s="35"/>
      <c r="J213" s="31"/>
      <c r="K213" s="24"/>
      <c r="L213" s="20"/>
    </row>
    <row r="214" spans="2:78" x14ac:dyDescent="0.25">
      <c r="B214" s="20"/>
      <c r="C214" s="20"/>
      <c r="D214" s="20"/>
      <c r="E214" s="20"/>
      <c r="F214" s="20"/>
      <c r="G214" s="20"/>
      <c r="H214" s="20"/>
      <c r="I214" s="36"/>
      <c r="J214" s="33"/>
      <c r="K214" s="20"/>
      <c r="L214" s="20"/>
    </row>
    <row r="215" spans="2:78" x14ac:dyDescent="0.25">
      <c r="B215" s="20"/>
      <c r="C215" s="20"/>
      <c r="D215" s="20"/>
      <c r="E215" s="20"/>
      <c r="F215" s="20"/>
      <c r="G215" s="20"/>
      <c r="H215" s="20"/>
      <c r="I215" s="36"/>
      <c r="J215" s="33"/>
      <c r="K215" s="20"/>
      <c r="L215" s="20"/>
    </row>
    <row r="216" spans="2:78" x14ac:dyDescent="0.25">
      <c r="B216" s="20"/>
      <c r="C216" s="20"/>
      <c r="D216" s="20"/>
      <c r="E216" s="20"/>
      <c r="F216" s="20"/>
      <c r="G216" s="20"/>
      <c r="H216" s="20"/>
      <c r="I216" s="36"/>
      <c r="J216" s="33"/>
      <c r="K216" s="20"/>
      <c r="L216" s="20"/>
    </row>
    <row r="217" spans="2:78" x14ac:dyDescent="0.25">
      <c r="B217" s="20"/>
      <c r="C217" s="20"/>
      <c r="D217" s="20"/>
      <c r="E217" s="20"/>
      <c r="F217" s="20"/>
      <c r="G217" s="27"/>
      <c r="H217" s="20"/>
      <c r="I217" s="36"/>
      <c r="J217" s="33"/>
      <c r="K217" s="20"/>
      <c r="L217" s="20"/>
    </row>
    <row r="218" spans="2:78" x14ac:dyDescent="0.25">
      <c r="B218" s="20"/>
      <c r="C218" s="20"/>
      <c r="D218" s="20"/>
      <c r="E218" s="20"/>
      <c r="F218" s="20"/>
      <c r="G218" s="27"/>
      <c r="H218" s="20"/>
      <c r="I218" s="36"/>
      <c r="J218" s="33"/>
      <c r="K218" s="20"/>
      <c r="L218" s="20"/>
    </row>
    <row r="219" spans="2:78" x14ac:dyDescent="0.25">
      <c r="B219" s="20"/>
      <c r="C219" s="20"/>
      <c r="D219" s="20"/>
      <c r="E219" s="20"/>
      <c r="F219" s="20"/>
      <c r="G219" s="27"/>
      <c r="H219" s="20"/>
      <c r="I219" s="36"/>
      <c r="J219" s="33"/>
      <c r="K219" s="20"/>
      <c r="L219" s="20"/>
    </row>
    <row r="220" spans="2:78" x14ac:dyDescent="0.25">
      <c r="B220" s="20"/>
      <c r="C220" s="20"/>
      <c r="D220" s="20"/>
      <c r="E220" s="20"/>
      <c r="F220" s="20"/>
      <c r="G220" s="27"/>
      <c r="H220" s="20"/>
      <c r="I220" s="36"/>
      <c r="J220" s="33"/>
      <c r="K220" s="20"/>
      <c r="L220" s="20"/>
    </row>
    <row r="221" spans="2:78" x14ac:dyDescent="0.25">
      <c r="B221" s="20"/>
      <c r="C221" s="20"/>
      <c r="D221" s="20"/>
      <c r="E221" s="20"/>
      <c r="F221" s="20"/>
      <c r="G221" s="27"/>
      <c r="H221" s="20"/>
      <c r="I221" s="36"/>
      <c r="J221" s="33"/>
      <c r="K221" s="20"/>
      <c r="L221" s="20"/>
    </row>
    <row r="222" spans="2:78" x14ac:dyDescent="0.25">
      <c r="B222" s="20"/>
      <c r="C222" s="20"/>
      <c r="D222" s="20"/>
      <c r="E222" s="20"/>
      <c r="F222" s="20"/>
      <c r="G222" s="27"/>
      <c r="H222" s="20"/>
      <c r="I222" s="36"/>
      <c r="J222" s="33"/>
      <c r="K222" s="20"/>
      <c r="L222" s="20"/>
    </row>
    <row r="223" spans="2:78" x14ac:dyDescent="0.25">
      <c r="B223" s="20"/>
      <c r="C223" s="20"/>
      <c r="D223" s="20"/>
      <c r="E223" s="20"/>
      <c r="F223" s="20"/>
      <c r="G223" s="27"/>
      <c r="H223" s="20"/>
      <c r="I223" s="36"/>
      <c r="J223" s="33"/>
      <c r="K223" s="20"/>
      <c r="L223" s="20"/>
    </row>
    <row r="224" spans="2:78" x14ac:dyDescent="0.25">
      <c r="B224" s="20"/>
      <c r="C224" s="20"/>
      <c r="D224" s="20"/>
      <c r="E224" s="20"/>
      <c r="F224" s="20"/>
      <c r="G224" s="27"/>
      <c r="H224" s="20"/>
      <c r="I224" s="36"/>
      <c r="J224" s="33"/>
      <c r="K224" s="20"/>
      <c r="L224" s="20"/>
    </row>
    <row r="225" spans="2:12" x14ac:dyDescent="0.25">
      <c r="B225" s="20"/>
      <c r="C225" s="20"/>
      <c r="D225" s="20"/>
      <c r="E225" s="20"/>
      <c r="F225" s="20"/>
      <c r="G225" s="27"/>
      <c r="H225" s="20"/>
      <c r="I225" s="36"/>
      <c r="J225" s="33"/>
      <c r="K225" s="20"/>
      <c r="L225" s="20"/>
    </row>
    <row r="226" spans="2:12" x14ac:dyDescent="0.25">
      <c r="B226" s="20"/>
      <c r="C226" s="20"/>
      <c r="D226" s="20"/>
      <c r="E226" s="20"/>
      <c r="F226" s="20"/>
      <c r="G226" s="27"/>
      <c r="H226" s="20"/>
      <c r="I226" s="36"/>
      <c r="J226" s="33"/>
      <c r="K226" s="20"/>
      <c r="L226" s="20"/>
    </row>
    <row r="227" spans="2:12" x14ac:dyDescent="0.25">
      <c r="B227" s="20"/>
      <c r="C227" s="20"/>
      <c r="D227" s="20"/>
      <c r="E227" s="20"/>
      <c r="F227" s="20"/>
      <c r="G227" s="27"/>
      <c r="H227" s="20"/>
      <c r="I227" s="36"/>
      <c r="J227" s="33"/>
      <c r="K227" s="20"/>
      <c r="L227" s="20"/>
    </row>
    <row r="228" spans="2:12" x14ac:dyDescent="0.25">
      <c r="B228" s="20"/>
      <c r="C228" s="20"/>
      <c r="D228" s="20"/>
      <c r="E228" s="20"/>
      <c r="F228" s="20"/>
      <c r="G228" s="27"/>
      <c r="H228" s="20"/>
      <c r="I228" s="36"/>
      <c r="J228" s="33"/>
      <c r="K228" s="20"/>
      <c r="L228" s="20"/>
    </row>
    <row r="229" spans="2:12" x14ac:dyDescent="0.25">
      <c r="B229" s="20"/>
      <c r="C229" s="20"/>
      <c r="D229" s="20"/>
      <c r="E229" s="20"/>
      <c r="F229" s="20"/>
      <c r="G229" s="27"/>
      <c r="H229" s="20"/>
      <c r="I229" s="36"/>
      <c r="J229" s="33"/>
      <c r="K229" s="20"/>
      <c r="L229" s="20"/>
    </row>
    <row r="230" spans="2:12" x14ac:dyDescent="0.25">
      <c r="B230" s="20"/>
      <c r="C230" s="20"/>
      <c r="D230" s="20"/>
      <c r="E230" s="20"/>
      <c r="F230" s="20"/>
      <c r="G230" s="27"/>
      <c r="H230" s="20"/>
      <c r="I230" s="36"/>
      <c r="J230" s="33"/>
      <c r="K230" s="20"/>
      <c r="L230" s="20"/>
    </row>
    <row r="231" spans="2:12" x14ac:dyDescent="0.25">
      <c r="B231" s="20"/>
      <c r="C231" s="20"/>
      <c r="D231" s="20"/>
      <c r="E231" s="20"/>
      <c r="F231" s="20"/>
      <c r="G231" s="27"/>
      <c r="H231" s="20"/>
      <c r="I231" s="36"/>
      <c r="J231" s="33"/>
      <c r="K231" s="20"/>
      <c r="L231" s="20"/>
    </row>
    <row r="232" spans="2:12" x14ac:dyDescent="0.25">
      <c r="B232" s="20"/>
      <c r="C232" s="20"/>
      <c r="D232" s="20"/>
      <c r="E232" s="20"/>
      <c r="F232" s="20"/>
      <c r="G232" s="27"/>
      <c r="H232" s="20"/>
      <c r="I232" s="36"/>
      <c r="J232" s="33"/>
      <c r="K232" s="20"/>
      <c r="L232" s="20"/>
    </row>
    <row r="233" spans="2:12" x14ac:dyDescent="0.25">
      <c r="B233" s="20"/>
      <c r="C233" s="20"/>
      <c r="D233" s="20"/>
      <c r="E233" s="20"/>
      <c r="F233" s="20"/>
      <c r="G233" s="27"/>
      <c r="H233" s="20"/>
      <c r="I233" s="36"/>
      <c r="J233" s="33"/>
      <c r="K233" s="20"/>
      <c r="L233" s="20"/>
    </row>
    <row r="234" spans="2:12" x14ac:dyDescent="0.25">
      <c r="B234" s="20"/>
      <c r="C234" s="20"/>
      <c r="D234" s="20"/>
      <c r="E234" s="20"/>
      <c r="F234" s="20"/>
      <c r="G234" s="27"/>
      <c r="H234" s="20"/>
      <c r="I234" s="36"/>
      <c r="J234" s="33"/>
      <c r="K234" s="20"/>
      <c r="L234" s="20"/>
    </row>
    <row r="235" spans="2:12" x14ac:dyDescent="0.25">
      <c r="B235" s="20"/>
      <c r="C235" s="20"/>
      <c r="D235" s="20"/>
      <c r="E235" s="20"/>
      <c r="F235" s="20"/>
      <c r="G235" s="27"/>
      <c r="H235" s="20"/>
      <c r="I235" s="36"/>
      <c r="J235" s="33"/>
      <c r="K235" s="20"/>
      <c r="L235" s="20"/>
    </row>
    <row r="236" spans="2:12" x14ac:dyDescent="0.25">
      <c r="B236" s="20"/>
      <c r="C236" s="20"/>
      <c r="D236" s="20"/>
      <c r="E236" s="20"/>
      <c r="F236" s="20"/>
      <c r="G236" s="27"/>
      <c r="H236" s="20"/>
      <c r="I236" s="36"/>
      <c r="J236" s="33"/>
      <c r="K236" s="20"/>
      <c r="L236" s="20"/>
    </row>
    <row r="237" spans="2:12" x14ac:dyDescent="0.25">
      <c r="B237" s="20"/>
      <c r="C237" s="20"/>
      <c r="D237" s="20"/>
      <c r="E237" s="20"/>
      <c r="F237" s="20"/>
      <c r="G237" s="27"/>
      <c r="H237" s="20"/>
      <c r="I237" s="36"/>
      <c r="J237" s="33"/>
      <c r="K237" s="20"/>
      <c r="L237" s="20"/>
    </row>
    <row r="238" spans="2:12" x14ac:dyDescent="0.25">
      <c r="B238" s="20"/>
      <c r="C238" s="20"/>
      <c r="D238" s="20"/>
      <c r="E238" s="20"/>
      <c r="F238" s="20"/>
      <c r="G238" s="27"/>
      <c r="H238" s="20"/>
      <c r="I238" s="36"/>
      <c r="J238" s="33"/>
      <c r="K238" s="20"/>
      <c r="L238" s="20"/>
    </row>
    <row r="239" spans="2:12" x14ac:dyDescent="0.25">
      <c r="B239" s="20"/>
      <c r="C239" s="20"/>
      <c r="D239" s="20"/>
      <c r="E239" s="20"/>
      <c r="F239" s="20"/>
      <c r="G239" s="27"/>
      <c r="H239" s="20"/>
      <c r="I239" s="36"/>
      <c r="J239" s="33"/>
      <c r="K239" s="20"/>
      <c r="L239" s="20"/>
    </row>
    <row r="240" spans="2:12" x14ac:dyDescent="0.25">
      <c r="B240" s="20"/>
      <c r="C240" s="20"/>
      <c r="D240" s="20"/>
      <c r="E240" s="20"/>
      <c r="F240" s="20"/>
      <c r="G240" s="27"/>
      <c r="H240" s="20"/>
      <c r="I240" s="36"/>
      <c r="J240" s="33"/>
      <c r="K240" s="20"/>
      <c r="L240" s="20"/>
    </row>
    <row r="241" spans="2:12" x14ac:dyDescent="0.25">
      <c r="B241" s="20"/>
      <c r="C241" s="20"/>
      <c r="D241" s="20"/>
      <c r="E241" s="20"/>
      <c r="F241" s="20"/>
      <c r="G241" s="27"/>
      <c r="H241" s="20"/>
      <c r="I241" s="36"/>
      <c r="J241" s="33"/>
      <c r="K241" s="20"/>
      <c r="L241" s="20"/>
    </row>
    <row r="242" spans="2:12" x14ac:dyDescent="0.25">
      <c r="B242" s="20"/>
      <c r="C242" s="20"/>
      <c r="D242" s="20"/>
      <c r="E242" s="20"/>
      <c r="F242" s="20"/>
      <c r="G242" s="27"/>
      <c r="H242" s="20"/>
      <c r="I242" s="36"/>
      <c r="J242" s="33"/>
      <c r="K242" s="20"/>
      <c r="L242" s="20"/>
    </row>
    <row r="243" spans="2:12" x14ac:dyDescent="0.25">
      <c r="B243" s="20"/>
      <c r="C243" s="20"/>
      <c r="D243" s="20"/>
      <c r="E243" s="20"/>
      <c r="F243" s="20"/>
      <c r="G243" s="27"/>
      <c r="H243" s="20"/>
      <c r="I243" s="36"/>
      <c r="J243" s="33"/>
      <c r="K243" s="20"/>
      <c r="L243" s="20"/>
    </row>
    <row r="244" spans="2:12" x14ac:dyDescent="0.25">
      <c r="B244" s="20"/>
      <c r="C244" s="20"/>
      <c r="D244" s="20"/>
      <c r="E244" s="20"/>
      <c r="F244" s="20"/>
      <c r="G244" s="27"/>
      <c r="H244" s="20"/>
      <c r="I244" s="36"/>
      <c r="J244" s="33"/>
      <c r="K244" s="20"/>
      <c r="L244" s="20"/>
    </row>
    <row r="245" spans="2:12" x14ac:dyDescent="0.25">
      <c r="B245" s="20"/>
      <c r="C245" s="20"/>
      <c r="D245" s="20"/>
      <c r="E245" s="20"/>
      <c r="F245" s="20"/>
      <c r="G245" s="27"/>
      <c r="H245" s="20"/>
      <c r="I245" s="36"/>
      <c r="J245" s="33"/>
      <c r="K245" s="20"/>
      <c r="L245" s="20"/>
    </row>
    <row r="246" spans="2:12" x14ac:dyDescent="0.25">
      <c r="B246" s="20"/>
      <c r="C246" s="20"/>
      <c r="D246" s="20"/>
      <c r="E246" s="20"/>
      <c r="F246" s="20"/>
      <c r="G246" s="27"/>
      <c r="H246" s="20"/>
      <c r="I246" s="36"/>
      <c r="J246" s="33"/>
      <c r="K246" s="20"/>
      <c r="L246" s="20"/>
    </row>
    <row r="247" spans="2:12" x14ac:dyDescent="0.25">
      <c r="B247" s="20"/>
      <c r="C247" s="20"/>
      <c r="D247" s="20"/>
      <c r="E247" s="20"/>
      <c r="F247" s="20"/>
      <c r="G247" s="27"/>
      <c r="H247" s="20"/>
      <c r="I247" s="36"/>
      <c r="J247" s="33"/>
      <c r="K247" s="20"/>
      <c r="L247" s="20"/>
    </row>
    <row r="248" spans="2:12" x14ac:dyDescent="0.25">
      <c r="B248" s="20"/>
      <c r="C248" s="20"/>
      <c r="D248" s="20"/>
      <c r="E248" s="20"/>
      <c r="F248" s="20"/>
      <c r="G248" s="27"/>
      <c r="H248" s="20"/>
      <c r="I248" s="36"/>
      <c r="J248" s="33"/>
      <c r="K248" s="20"/>
      <c r="L248" s="20"/>
    </row>
    <row r="249" spans="2:12" x14ac:dyDescent="0.25">
      <c r="B249" s="20"/>
      <c r="C249" s="20"/>
      <c r="D249" s="20"/>
      <c r="E249" s="20"/>
      <c r="F249" s="20"/>
      <c r="G249" s="27"/>
      <c r="H249" s="20"/>
      <c r="I249" s="36"/>
      <c r="J249" s="33"/>
      <c r="K249" s="20"/>
      <c r="L249" s="20"/>
    </row>
    <row r="250" spans="2:12" x14ac:dyDescent="0.25">
      <c r="B250" s="20"/>
      <c r="C250" s="20"/>
      <c r="D250" s="20"/>
      <c r="E250" s="20"/>
      <c r="F250" s="20"/>
      <c r="G250" s="27"/>
      <c r="H250" s="20"/>
      <c r="I250" s="36"/>
      <c r="J250" s="33"/>
      <c r="K250" s="20"/>
      <c r="L250" s="20"/>
    </row>
    <row r="251" spans="2:12" x14ac:dyDescent="0.25">
      <c r="B251" s="20"/>
      <c r="C251" s="20"/>
      <c r="D251" s="20"/>
      <c r="E251" s="20"/>
      <c r="F251" s="20"/>
      <c r="G251" s="27"/>
      <c r="H251" s="20"/>
      <c r="I251" s="36"/>
      <c r="J251" s="33"/>
      <c r="K251" s="20"/>
      <c r="L251" s="20"/>
    </row>
    <row r="252" spans="2:12" x14ac:dyDescent="0.25">
      <c r="B252" s="20"/>
      <c r="C252" s="20"/>
      <c r="D252" s="20"/>
      <c r="E252" s="20"/>
      <c r="F252" s="20"/>
      <c r="G252" s="27"/>
      <c r="H252" s="20"/>
      <c r="I252" s="36"/>
      <c r="J252" s="33"/>
      <c r="K252" s="20"/>
      <c r="L252" s="20"/>
    </row>
    <row r="253" spans="2:12" x14ac:dyDescent="0.25">
      <c r="B253" s="20"/>
      <c r="C253" s="20"/>
      <c r="D253" s="20"/>
      <c r="E253" s="20"/>
      <c r="F253" s="20"/>
      <c r="G253" s="27"/>
      <c r="H253" s="20"/>
      <c r="I253" s="36"/>
      <c r="J253" s="33"/>
      <c r="K253" s="20"/>
      <c r="L253" s="20"/>
    </row>
    <row r="254" spans="2:12" x14ac:dyDescent="0.25">
      <c r="B254" s="20"/>
      <c r="C254" s="20"/>
      <c r="D254" s="20"/>
      <c r="E254" s="20"/>
      <c r="F254" s="20"/>
      <c r="G254" s="27"/>
      <c r="H254" s="20"/>
      <c r="I254" s="36"/>
      <c r="J254" s="33"/>
      <c r="K254" s="20"/>
      <c r="L254" s="20"/>
    </row>
    <row r="255" spans="2:12" x14ac:dyDescent="0.25">
      <c r="B255" s="20"/>
      <c r="C255" s="20"/>
      <c r="D255" s="20"/>
      <c r="E255" s="20"/>
      <c r="F255" s="20"/>
      <c r="G255" s="27"/>
      <c r="H255" s="20"/>
      <c r="I255" s="36"/>
      <c r="J255" s="33"/>
      <c r="K255" s="20"/>
      <c r="L255" s="20"/>
    </row>
    <row r="256" spans="2:12" x14ac:dyDescent="0.25">
      <c r="B256" s="20"/>
      <c r="C256" s="20"/>
      <c r="D256" s="20"/>
      <c r="E256" s="20"/>
      <c r="F256" s="20"/>
      <c r="G256" s="27"/>
      <c r="H256" s="20"/>
      <c r="I256" s="36"/>
      <c r="J256" s="33"/>
      <c r="K256" s="20"/>
      <c r="L256" s="20"/>
    </row>
    <row r="257" spans="2:12" x14ac:dyDescent="0.25">
      <c r="B257" s="20"/>
      <c r="C257" s="20"/>
      <c r="D257" s="20"/>
      <c r="E257" s="20"/>
      <c r="F257" s="20"/>
      <c r="G257" s="27"/>
      <c r="H257" s="20"/>
      <c r="I257" s="36"/>
      <c r="J257" s="33"/>
      <c r="K257" s="20"/>
      <c r="L257" s="20"/>
    </row>
    <row r="258" spans="2:12" x14ac:dyDescent="0.25">
      <c r="B258" s="20"/>
      <c r="C258" s="20"/>
      <c r="D258" s="20"/>
      <c r="E258" s="20"/>
      <c r="F258" s="20"/>
      <c r="G258" s="27"/>
      <c r="H258" s="20"/>
      <c r="I258" s="36"/>
      <c r="J258" s="33"/>
      <c r="K258" s="20"/>
      <c r="L258" s="20"/>
    </row>
    <row r="259" spans="2:12" x14ac:dyDescent="0.25">
      <c r="B259" s="20"/>
      <c r="C259" s="20"/>
      <c r="D259" s="20"/>
      <c r="E259" s="20"/>
      <c r="F259" s="20"/>
      <c r="G259" s="27"/>
      <c r="H259" s="20"/>
      <c r="I259" s="36"/>
      <c r="J259" s="33"/>
      <c r="K259" s="20"/>
      <c r="L259" s="20"/>
    </row>
    <row r="260" spans="2:12" x14ac:dyDescent="0.25">
      <c r="B260" s="20"/>
      <c r="C260" s="20"/>
      <c r="D260" s="20"/>
      <c r="E260" s="20"/>
      <c r="F260" s="20"/>
      <c r="G260" s="27"/>
      <c r="H260" s="20"/>
      <c r="I260" s="36"/>
      <c r="J260" s="33"/>
      <c r="K260" s="20"/>
      <c r="L260" s="20"/>
    </row>
    <row r="261" spans="2:12" x14ac:dyDescent="0.25">
      <c r="B261" s="20"/>
      <c r="C261" s="20"/>
      <c r="D261" s="20"/>
      <c r="E261" s="20"/>
      <c r="F261" s="20"/>
      <c r="G261" s="27"/>
      <c r="H261" s="20"/>
      <c r="I261" s="36"/>
      <c r="J261" s="33"/>
      <c r="K261" s="20"/>
      <c r="L261" s="20"/>
    </row>
    <row r="262" spans="2:12" x14ac:dyDescent="0.25">
      <c r="B262" s="20"/>
      <c r="C262" s="20"/>
      <c r="D262" s="20"/>
      <c r="E262" s="20"/>
      <c r="F262" s="20"/>
      <c r="G262" s="27"/>
      <c r="H262" s="20"/>
      <c r="I262" s="36"/>
      <c r="J262" s="33"/>
      <c r="K262" s="20"/>
      <c r="L262" s="20"/>
    </row>
    <row r="263" spans="2:12" x14ac:dyDescent="0.25">
      <c r="B263" s="20"/>
      <c r="C263" s="20"/>
      <c r="D263" s="20"/>
      <c r="E263" s="20"/>
      <c r="F263" s="20"/>
      <c r="G263" s="27"/>
      <c r="H263" s="20"/>
      <c r="I263" s="36"/>
      <c r="J263" s="33"/>
      <c r="K263" s="20"/>
      <c r="L263" s="20"/>
    </row>
    <row r="264" spans="2:12" x14ac:dyDescent="0.25">
      <c r="B264" s="20"/>
      <c r="C264" s="20"/>
      <c r="D264" s="20"/>
      <c r="E264" s="20"/>
      <c r="F264" s="20"/>
      <c r="G264" s="27"/>
      <c r="H264" s="20"/>
      <c r="I264" s="36"/>
      <c r="J264" s="33"/>
      <c r="K264" s="20"/>
      <c r="L264" s="20"/>
    </row>
    <row r="265" spans="2:12" x14ac:dyDescent="0.25">
      <c r="B265" s="20"/>
      <c r="C265" s="20"/>
      <c r="D265" s="20"/>
      <c r="E265" s="20"/>
      <c r="F265" s="20"/>
      <c r="G265" s="27"/>
      <c r="H265" s="20"/>
      <c r="I265" s="36"/>
      <c r="J265" s="33"/>
      <c r="K265" s="20"/>
      <c r="L265" s="20"/>
    </row>
    <row r="266" spans="2:12" x14ac:dyDescent="0.25">
      <c r="B266" s="20"/>
      <c r="C266" s="20"/>
      <c r="D266" s="20"/>
      <c r="E266" s="20"/>
      <c r="F266" s="20"/>
      <c r="G266" s="27"/>
      <c r="H266" s="20"/>
      <c r="I266" s="36"/>
      <c r="J266" s="33"/>
      <c r="K266" s="20"/>
      <c r="L266" s="20"/>
    </row>
    <row r="267" spans="2:12" x14ac:dyDescent="0.25">
      <c r="B267" s="20"/>
      <c r="C267" s="20"/>
      <c r="D267" s="20"/>
      <c r="E267" s="20"/>
      <c r="F267" s="20"/>
      <c r="G267" s="27"/>
      <c r="H267" s="20"/>
      <c r="I267" s="36"/>
      <c r="J267" s="33"/>
      <c r="K267" s="20"/>
      <c r="L267" s="20"/>
    </row>
    <row r="268" spans="2:12" x14ac:dyDescent="0.25">
      <c r="B268" s="20"/>
      <c r="C268" s="20"/>
      <c r="D268" s="20"/>
      <c r="E268" s="20"/>
      <c r="F268" s="20"/>
      <c r="G268" s="27"/>
      <c r="H268" s="20"/>
      <c r="I268" s="36"/>
      <c r="J268" s="33"/>
      <c r="K268" s="20"/>
      <c r="L268" s="20"/>
    </row>
    <row r="269" spans="2:12" x14ac:dyDescent="0.25">
      <c r="B269" s="20"/>
      <c r="C269" s="20"/>
      <c r="D269" s="20"/>
      <c r="E269" s="20"/>
      <c r="F269" s="20"/>
      <c r="G269" s="27"/>
      <c r="H269" s="20"/>
      <c r="I269" s="36"/>
      <c r="J269" s="33"/>
      <c r="K269" s="20"/>
      <c r="L269" s="20"/>
    </row>
    <row r="270" spans="2:12" x14ac:dyDescent="0.25">
      <c r="B270" s="20"/>
      <c r="C270" s="20"/>
      <c r="D270" s="20"/>
      <c r="E270" s="20"/>
      <c r="F270" s="20"/>
      <c r="G270" s="27"/>
      <c r="H270" s="20"/>
      <c r="I270" s="36"/>
      <c r="J270" s="33"/>
      <c r="K270" s="20"/>
      <c r="L270" s="20"/>
    </row>
    <row r="271" spans="2:12" x14ac:dyDescent="0.25">
      <c r="B271" s="20"/>
      <c r="C271" s="20"/>
      <c r="D271" s="20"/>
      <c r="E271" s="20"/>
      <c r="F271" s="20"/>
      <c r="G271" s="27"/>
      <c r="H271" s="20"/>
      <c r="I271" s="36"/>
      <c r="J271" s="33"/>
      <c r="K271" s="20"/>
      <c r="L271" s="20"/>
    </row>
    <row r="272" spans="2:12" x14ac:dyDescent="0.25">
      <c r="B272" s="20"/>
      <c r="C272" s="20"/>
      <c r="D272" s="20"/>
      <c r="E272" s="20"/>
      <c r="F272" s="20"/>
      <c r="G272" s="27"/>
      <c r="H272" s="20"/>
      <c r="I272" s="36"/>
      <c r="J272" s="33"/>
      <c r="K272" s="20"/>
      <c r="L272" s="20"/>
    </row>
    <row r="273" spans="2:12" x14ac:dyDescent="0.25">
      <c r="B273" s="20"/>
      <c r="C273" s="20"/>
      <c r="D273" s="20"/>
      <c r="E273" s="20"/>
      <c r="F273" s="20"/>
      <c r="G273" s="27"/>
      <c r="H273" s="20"/>
      <c r="I273" s="36"/>
      <c r="J273" s="33"/>
      <c r="K273" s="20"/>
      <c r="L273" s="20"/>
    </row>
    <row r="274" spans="2:12" x14ac:dyDescent="0.25">
      <c r="B274" s="20"/>
      <c r="C274" s="20"/>
      <c r="D274" s="20"/>
      <c r="E274" s="20"/>
      <c r="F274" s="20"/>
      <c r="G274" s="27"/>
      <c r="H274" s="20"/>
      <c r="I274" s="36"/>
      <c r="J274" s="33"/>
      <c r="K274" s="20"/>
      <c r="L274" s="20"/>
    </row>
    <row r="275" spans="2:12" x14ac:dyDescent="0.25">
      <c r="B275" s="20"/>
      <c r="C275" s="20"/>
      <c r="D275" s="20"/>
      <c r="E275" s="20"/>
      <c r="F275" s="20"/>
      <c r="G275" s="27"/>
      <c r="H275" s="20"/>
      <c r="I275" s="36"/>
      <c r="J275" s="33"/>
      <c r="K275" s="20"/>
      <c r="L275" s="20"/>
    </row>
    <row r="276" spans="2:12" x14ac:dyDescent="0.25">
      <c r="B276" s="20"/>
      <c r="C276" s="20"/>
      <c r="D276" s="20"/>
      <c r="E276" s="20"/>
      <c r="F276" s="20"/>
      <c r="G276" s="27"/>
      <c r="H276" s="20"/>
      <c r="I276" s="36"/>
      <c r="J276" s="33"/>
      <c r="K276" s="20"/>
      <c r="L276" s="20"/>
    </row>
    <row r="277" spans="2:12" x14ac:dyDescent="0.25">
      <c r="B277" s="20"/>
      <c r="C277" s="20"/>
      <c r="D277" s="20"/>
      <c r="E277" s="20"/>
      <c r="F277" s="20"/>
      <c r="G277" s="27"/>
      <c r="H277" s="20"/>
      <c r="I277" s="36"/>
      <c r="J277" s="33"/>
      <c r="K277" s="20"/>
      <c r="L277" s="20"/>
    </row>
    <row r="278" spans="2:12" x14ac:dyDescent="0.25">
      <c r="B278" s="20"/>
      <c r="C278" s="20"/>
      <c r="D278" s="20"/>
      <c r="E278" s="20"/>
      <c r="F278" s="20"/>
      <c r="G278" s="27"/>
      <c r="H278" s="20"/>
      <c r="I278" s="36"/>
      <c r="J278" s="33"/>
      <c r="K278" s="20"/>
      <c r="L278" s="20"/>
    </row>
    <row r="279" spans="2:12" x14ac:dyDescent="0.25">
      <c r="B279" s="20"/>
      <c r="C279" s="20"/>
      <c r="D279" s="20"/>
      <c r="E279" s="20"/>
      <c r="F279" s="20"/>
      <c r="G279" s="27"/>
      <c r="H279" s="20"/>
      <c r="I279" s="36"/>
      <c r="J279" s="33"/>
      <c r="K279" s="20"/>
      <c r="L279" s="20"/>
    </row>
    <row r="280" spans="2:12" x14ac:dyDescent="0.25">
      <c r="B280" s="20"/>
      <c r="C280" s="20"/>
      <c r="D280" s="20"/>
      <c r="E280" s="20"/>
      <c r="F280" s="20"/>
      <c r="G280" s="27"/>
      <c r="H280" s="20"/>
      <c r="I280" s="36"/>
      <c r="J280" s="33"/>
      <c r="K280" s="20"/>
      <c r="L280" s="20"/>
    </row>
    <row r="281" spans="2:12" x14ac:dyDescent="0.25">
      <c r="B281" s="20"/>
      <c r="C281" s="20"/>
      <c r="D281" s="20"/>
      <c r="E281" s="20"/>
      <c r="F281" s="20"/>
      <c r="G281" s="27"/>
      <c r="H281" s="20"/>
      <c r="I281" s="36"/>
      <c r="J281" s="33"/>
      <c r="K281" s="20"/>
      <c r="L281" s="20"/>
    </row>
    <row r="282" spans="2:12" x14ac:dyDescent="0.25">
      <c r="B282" s="20"/>
      <c r="C282" s="20"/>
      <c r="D282" s="20"/>
      <c r="E282" s="20"/>
      <c r="F282" s="20"/>
      <c r="G282" s="27"/>
      <c r="H282" s="20"/>
      <c r="I282" s="36"/>
      <c r="J282" s="33"/>
      <c r="K282" s="20"/>
      <c r="L282" s="20"/>
    </row>
    <row r="283" spans="2:12" x14ac:dyDescent="0.25">
      <c r="B283" s="20"/>
      <c r="C283" s="20"/>
      <c r="D283" s="20"/>
      <c r="E283" s="20"/>
      <c r="F283" s="20"/>
      <c r="G283" s="27"/>
      <c r="H283" s="20"/>
      <c r="I283" s="36"/>
      <c r="J283" s="33"/>
      <c r="K283" s="20"/>
      <c r="L283" s="20"/>
    </row>
    <row r="284" spans="2:12" x14ac:dyDescent="0.25">
      <c r="B284" s="20"/>
      <c r="C284" s="20"/>
      <c r="D284" s="20"/>
      <c r="E284" s="20"/>
      <c r="F284" s="20"/>
      <c r="G284" s="27"/>
      <c r="H284" s="20"/>
      <c r="I284" s="36"/>
      <c r="J284" s="33"/>
      <c r="K284" s="20"/>
      <c r="L284" s="20"/>
    </row>
    <row r="285" spans="2:12" x14ac:dyDescent="0.25">
      <c r="B285" s="20"/>
      <c r="C285" s="20"/>
      <c r="D285" s="20"/>
      <c r="E285" s="20"/>
      <c r="F285" s="20"/>
      <c r="G285" s="27"/>
      <c r="H285" s="20"/>
      <c r="I285" s="36"/>
      <c r="J285" s="33"/>
      <c r="K285" s="20"/>
      <c r="L285" s="20"/>
    </row>
    <row r="286" spans="2:12" x14ac:dyDescent="0.25">
      <c r="B286" s="20"/>
      <c r="C286" s="20"/>
      <c r="D286" s="20"/>
      <c r="E286" s="20"/>
      <c r="F286" s="20"/>
      <c r="G286" s="27"/>
      <c r="H286" s="20"/>
      <c r="I286" s="36"/>
      <c r="J286" s="33"/>
      <c r="K286" s="20"/>
      <c r="L286" s="20"/>
    </row>
    <row r="287" spans="2:12" x14ac:dyDescent="0.25">
      <c r="B287" s="20"/>
      <c r="C287" s="20"/>
      <c r="D287" s="20"/>
      <c r="E287" s="20"/>
      <c r="F287" s="20"/>
      <c r="G287" s="27"/>
      <c r="H287" s="20"/>
      <c r="I287" s="36"/>
      <c r="J287" s="33"/>
      <c r="K287" s="20"/>
      <c r="L287" s="20"/>
    </row>
    <row r="288" spans="2:12" x14ac:dyDescent="0.25">
      <c r="B288" s="20"/>
      <c r="C288" s="20"/>
      <c r="D288" s="20"/>
      <c r="E288" s="20"/>
      <c r="F288" s="20"/>
      <c r="G288" s="27"/>
      <c r="H288" s="20"/>
      <c r="I288" s="36"/>
      <c r="J288" s="33"/>
      <c r="K288" s="20"/>
      <c r="L288" s="20"/>
    </row>
    <row r="289" spans="2:12" x14ac:dyDescent="0.25">
      <c r="B289" s="20"/>
      <c r="C289" s="20"/>
      <c r="D289" s="20"/>
      <c r="E289" s="20"/>
      <c r="F289" s="20"/>
      <c r="G289" s="27"/>
      <c r="H289" s="20"/>
      <c r="I289" s="36"/>
      <c r="J289" s="33"/>
      <c r="K289" s="20"/>
      <c r="L289" s="20"/>
    </row>
    <row r="290" spans="2:12" x14ac:dyDescent="0.25">
      <c r="B290" s="20"/>
      <c r="C290" s="20"/>
      <c r="D290" s="20"/>
      <c r="E290" s="20"/>
      <c r="F290" s="20"/>
      <c r="G290" s="27"/>
      <c r="H290" s="20"/>
      <c r="I290" s="36"/>
      <c r="J290" s="33"/>
      <c r="K290" s="20"/>
      <c r="L290" s="20"/>
    </row>
    <row r="291" spans="2:12" x14ac:dyDescent="0.25">
      <c r="B291" s="20"/>
      <c r="C291" s="20"/>
      <c r="D291" s="20"/>
      <c r="E291" s="20"/>
      <c r="F291" s="20"/>
      <c r="G291" s="27"/>
      <c r="H291" s="20"/>
      <c r="I291" s="36"/>
      <c r="J291" s="33"/>
      <c r="K291" s="20"/>
      <c r="L291" s="20"/>
    </row>
    <row r="292" spans="2:12" x14ac:dyDescent="0.25">
      <c r="B292" s="20"/>
      <c r="C292" s="20"/>
      <c r="D292" s="20"/>
      <c r="E292" s="20"/>
      <c r="F292" s="20"/>
      <c r="G292" s="27"/>
      <c r="H292" s="20"/>
      <c r="I292" s="36"/>
      <c r="J292" s="33"/>
      <c r="K292" s="20"/>
      <c r="L292" s="20"/>
    </row>
    <row r="293" spans="2:12" x14ac:dyDescent="0.25">
      <c r="B293" s="20"/>
      <c r="C293" s="20"/>
      <c r="D293" s="20"/>
      <c r="E293" s="20"/>
      <c r="F293" s="20"/>
      <c r="G293" s="27"/>
      <c r="H293" s="20"/>
      <c r="I293" s="36"/>
      <c r="J293" s="33"/>
      <c r="K293" s="20"/>
      <c r="L293" s="20"/>
    </row>
    <row r="294" spans="2:12" x14ac:dyDescent="0.25">
      <c r="B294" s="20"/>
      <c r="C294" s="20"/>
      <c r="D294" s="20"/>
      <c r="E294" s="20"/>
      <c r="F294" s="20"/>
      <c r="G294" s="27"/>
      <c r="H294" s="20"/>
      <c r="I294" s="36"/>
      <c r="J294" s="33"/>
      <c r="K294" s="20"/>
      <c r="L294" s="20"/>
    </row>
    <row r="295" spans="2:12" x14ac:dyDescent="0.25">
      <c r="B295" s="20"/>
      <c r="C295" s="20"/>
      <c r="D295" s="20"/>
      <c r="E295" s="20"/>
      <c r="F295" s="20"/>
      <c r="G295" s="27"/>
      <c r="H295" s="20"/>
      <c r="I295" s="36"/>
      <c r="J295" s="33"/>
      <c r="K295" s="20"/>
      <c r="L295" s="20"/>
    </row>
    <row r="296" spans="2:12" x14ac:dyDescent="0.25">
      <c r="B296" s="20"/>
      <c r="C296" s="20"/>
      <c r="D296" s="20"/>
      <c r="E296" s="20"/>
      <c r="F296" s="20"/>
      <c r="G296" s="27"/>
      <c r="H296" s="20"/>
      <c r="I296" s="36"/>
      <c r="J296" s="33"/>
      <c r="K296" s="20"/>
      <c r="L296" s="20"/>
    </row>
    <row r="297" spans="2:12" x14ac:dyDescent="0.25">
      <c r="B297" s="20"/>
      <c r="C297" s="20"/>
      <c r="D297" s="20"/>
      <c r="E297" s="20"/>
      <c r="F297" s="20"/>
      <c r="G297" s="27"/>
      <c r="H297" s="20"/>
      <c r="I297" s="36"/>
      <c r="J297" s="33"/>
      <c r="K297" s="20"/>
      <c r="L297" s="20"/>
    </row>
    <row r="298" spans="2:12" x14ac:dyDescent="0.25">
      <c r="B298" s="20"/>
      <c r="C298" s="20"/>
      <c r="D298" s="20"/>
      <c r="E298" s="20"/>
      <c r="F298" s="20"/>
      <c r="G298" s="27"/>
      <c r="H298" s="20"/>
      <c r="I298" s="36"/>
      <c r="J298" s="33"/>
      <c r="K298" s="20"/>
      <c r="L298" s="20"/>
    </row>
    <row r="299" spans="2:12" x14ac:dyDescent="0.25">
      <c r="B299" s="20"/>
      <c r="C299" s="20"/>
      <c r="D299" s="20"/>
      <c r="E299" s="20"/>
      <c r="F299" s="20"/>
      <c r="G299" s="27"/>
      <c r="H299" s="20"/>
      <c r="I299" s="36"/>
      <c r="J299" s="33"/>
      <c r="K299" s="20"/>
      <c r="L299" s="20"/>
    </row>
    <row r="300" spans="2:12" x14ac:dyDescent="0.25">
      <c r="B300" s="20"/>
      <c r="C300" s="20"/>
      <c r="D300" s="20"/>
      <c r="E300" s="20"/>
      <c r="F300" s="20"/>
      <c r="G300" s="27"/>
      <c r="H300" s="20"/>
      <c r="I300" s="36"/>
      <c r="J300" s="33"/>
      <c r="K300" s="20"/>
      <c r="L300" s="20"/>
    </row>
    <row r="301" spans="2:12" x14ac:dyDescent="0.25">
      <c r="B301" s="20"/>
      <c r="C301" s="20"/>
      <c r="D301" s="20"/>
      <c r="E301" s="20"/>
      <c r="F301" s="20"/>
      <c r="G301" s="27"/>
      <c r="H301" s="20"/>
      <c r="I301" s="36"/>
      <c r="J301" s="33"/>
      <c r="K301" s="20"/>
      <c r="L301" s="20"/>
    </row>
    <row r="302" spans="2:12" x14ac:dyDescent="0.25">
      <c r="B302" s="20"/>
      <c r="C302" s="20"/>
      <c r="D302" s="20"/>
      <c r="E302" s="20"/>
      <c r="F302" s="20"/>
      <c r="G302" s="27"/>
      <c r="H302" s="20"/>
      <c r="I302" s="36"/>
      <c r="J302" s="33"/>
      <c r="K302" s="20"/>
      <c r="L302" s="20"/>
    </row>
    <row r="303" spans="2:12" x14ac:dyDescent="0.25">
      <c r="B303" s="20"/>
      <c r="C303" s="20"/>
      <c r="D303" s="20"/>
      <c r="E303" s="20"/>
      <c r="F303" s="20"/>
      <c r="G303" s="27"/>
      <c r="H303" s="20"/>
      <c r="I303" s="36"/>
      <c r="J303" s="33"/>
      <c r="K303" s="20"/>
      <c r="L303" s="20"/>
    </row>
    <row r="304" spans="2:12" x14ac:dyDescent="0.25">
      <c r="B304" s="20"/>
      <c r="C304" s="20"/>
      <c r="D304" s="20"/>
      <c r="E304" s="20"/>
      <c r="F304" s="20"/>
      <c r="G304" s="27"/>
      <c r="H304" s="20"/>
      <c r="I304" s="36"/>
      <c r="J304" s="33"/>
      <c r="K304" s="20"/>
      <c r="L304" s="20"/>
    </row>
    <row r="305" spans="2:12" x14ac:dyDescent="0.25">
      <c r="B305" s="20"/>
      <c r="C305" s="20"/>
      <c r="D305" s="20"/>
      <c r="E305" s="20"/>
      <c r="F305" s="20"/>
      <c r="G305" s="27"/>
      <c r="H305" s="20"/>
      <c r="I305" s="36"/>
      <c r="J305" s="33"/>
      <c r="K305" s="20"/>
      <c r="L305" s="20"/>
    </row>
    <row r="306" spans="2:12" x14ac:dyDescent="0.25">
      <c r="B306" s="20"/>
      <c r="C306" s="20"/>
      <c r="D306" s="20"/>
      <c r="E306" s="20"/>
      <c r="F306" s="20"/>
      <c r="G306" s="27"/>
      <c r="H306" s="20"/>
      <c r="I306" s="36"/>
      <c r="J306" s="33"/>
      <c r="K306" s="20"/>
      <c r="L306" s="20"/>
    </row>
    <row r="307" spans="2:12" x14ac:dyDescent="0.25">
      <c r="B307" s="20"/>
      <c r="C307" s="20"/>
      <c r="D307" s="20"/>
      <c r="E307" s="20"/>
      <c r="F307" s="20"/>
      <c r="G307" s="27"/>
      <c r="H307" s="20"/>
      <c r="I307" s="36"/>
      <c r="J307" s="33"/>
      <c r="K307" s="20"/>
      <c r="L307" s="20"/>
    </row>
    <row r="308" spans="2:12" x14ac:dyDescent="0.25">
      <c r="B308" s="20"/>
      <c r="C308" s="20"/>
      <c r="D308" s="20"/>
      <c r="E308" s="20"/>
      <c r="F308" s="20"/>
      <c r="G308" s="27"/>
      <c r="H308" s="20"/>
      <c r="I308" s="36"/>
      <c r="J308" s="33"/>
      <c r="K308" s="20"/>
      <c r="L308" s="20"/>
    </row>
    <row r="309" spans="2:12" x14ac:dyDescent="0.25">
      <c r="B309" s="20"/>
      <c r="C309" s="20"/>
      <c r="D309" s="20"/>
      <c r="E309" s="20"/>
      <c r="F309" s="20"/>
      <c r="G309" s="27"/>
      <c r="H309" s="20"/>
      <c r="I309" s="36"/>
      <c r="J309" s="33"/>
      <c r="K309" s="20"/>
      <c r="L309" s="20"/>
    </row>
    <row r="310" spans="2:12" x14ac:dyDescent="0.25">
      <c r="B310" s="20"/>
      <c r="C310" s="20"/>
      <c r="D310" s="20"/>
      <c r="E310" s="20"/>
      <c r="F310" s="20"/>
      <c r="G310" s="27"/>
      <c r="H310" s="20"/>
      <c r="I310" s="36"/>
      <c r="J310" s="33"/>
      <c r="K310" s="20"/>
      <c r="L310" s="20"/>
    </row>
    <row r="311" spans="2:12" x14ac:dyDescent="0.25">
      <c r="B311" s="20"/>
      <c r="C311" s="20"/>
      <c r="D311" s="20"/>
      <c r="E311" s="20"/>
      <c r="F311" s="20"/>
      <c r="G311" s="27"/>
      <c r="H311" s="20"/>
      <c r="I311" s="36"/>
      <c r="J311" s="33"/>
      <c r="K311" s="20"/>
      <c r="L311" s="20"/>
    </row>
    <row r="312" spans="2:12" x14ac:dyDescent="0.25">
      <c r="B312" s="20"/>
      <c r="C312" s="20"/>
      <c r="D312" s="20"/>
      <c r="E312" s="20"/>
      <c r="F312" s="20"/>
      <c r="G312" s="27"/>
      <c r="H312" s="20"/>
      <c r="I312" s="36"/>
      <c r="J312" s="33"/>
      <c r="K312" s="20"/>
      <c r="L312" s="20"/>
    </row>
    <row r="313" spans="2:12" x14ac:dyDescent="0.25">
      <c r="B313" s="20"/>
      <c r="C313" s="20"/>
      <c r="D313" s="20"/>
      <c r="E313" s="20"/>
      <c r="F313" s="20"/>
      <c r="G313" s="27"/>
      <c r="H313" s="20"/>
      <c r="I313" s="36"/>
      <c r="J313" s="33"/>
      <c r="K313" s="20"/>
      <c r="L313" s="20"/>
    </row>
    <row r="314" spans="2:12" x14ac:dyDescent="0.25">
      <c r="B314" s="20"/>
      <c r="C314" s="20"/>
      <c r="D314" s="20"/>
      <c r="E314" s="20"/>
      <c r="F314" s="20"/>
      <c r="G314" s="27"/>
      <c r="H314" s="20"/>
      <c r="I314" s="36"/>
      <c r="J314" s="33"/>
      <c r="K314" s="20"/>
      <c r="L314" s="20"/>
    </row>
    <row r="315" spans="2:12" x14ac:dyDescent="0.25">
      <c r="B315" s="20"/>
      <c r="C315" s="20"/>
      <c r="D315" s="20"/>
      <c r="E315" s="20"/>
      <c r="F315" s="20"/>
      <c r="G315" s="27"/>
      <c r="H315" s="20"/>
      <c r="I315" s="36"/>
      <c r="J315" s="33"/>
      <c r="K315" s="20"/>
      <c r="L315" s="20"/>
    </row>
    <row r="316" spans="2:12" x14ac:dyDescent="0.25">
      <c r="B316" s="20"/>
      <c r="C316" s="20"/>
      <c r="D316" s="20"/>
      <c r="E316" s="20"/>
      <c r="F316" s="20"/>
      <c r="G316" s="27"/>
      <c r="H316" s="20"/>
      <c r="I316" s="36"/>
      <c r="J316" s="33"/>
      <c r="K316" s="20"/>
      <c r="L316" s="20"/>
    </row>
    <row r="317" spans="2:12" x14ac:dyDescent="0.25">
      <c r="B317" s="20"/>
      <c r="C317" s="20"/>
      <c r="D317" s="20"/>
      <c r="E317" s="20"/>
      <c r="F317" s="20"/>
      <c r="G317" s="27"/>
      <c r="H317" s="20"/>
      <c r="I317" s="36"/>
      <c r="J317" s="33"/>
      <c r="K317" s="20"/>
      <c r="L317" s="20"/>
    </row>
    <row r="318" spans="2:12" x14ac:dyDescent="0.25">
      <c r="B318" s="20"/>
      <c r="C318" s="20"/>
      <c r="D318" s="20"/>
      <c r="E318" s="20"/>
      <c r="F318" s="20"/>
      <c r="G318" s="27"/>
      <c r="H318" s="20"/>
      <c r="I318" s="36"/>
      <c r="J318" s="33"/>
      <c r="K318" s="20"/>
      <c r="L318" s="20"/>
    </row>
    <row r="319" spans="2:12" x14ac:dyDescent="0.25">
      <c r="B319" s="20"/>
      <c r="C319" s="20"/>
      <c r="D319" s="20"/>
      <c r="E319" s="20"/>
      <c r="F319" s="20"/>
      <c r="G319" s="27"/>
      <c r="H319" s="20"/>
      <c r="I319" s="36"/>
      <c r="J319" s="33"/>
      <c r="K319" s="20"/>
      <c r="L319" s="20"/>
    </row>
    <row r="320" spans="2:12" x14ac:dyDescent="0.25">
      <c r="B320" s="20"/>
      <c r="C320" s="20"/>
      <c r="D320" s="20"/>
      <c r="E320" s="20"/>
      <c r="F320" s="20"/>
      <c r="G320" s="27"/>
      <c r="H320" s="20"/>
      <c r="I320" s="36"/>
      <c r="J320" s="33"/>
      <c r="K320" s="20"/>
      <c r="L320" s="20"/>
    </row>
    <row r="321" spans="2:12" x14ac:dyDescent="0.25">
      <c r="B321" s="20"/>
      <c r="C321" s="20"/>
      <c r="D321" s="20"/>
      <c r="E321" s="20"/>
      <c r="F321" s="20"/>
      <c r="G321" s="27"/>
      <c r="H321" s="20"/>
      <c r="I321" s="36"/>
      <c r="J321" s="33"/>
      <c r="K321" s="20"/>
      <c r="L321" s="20"/>
    </row>
    <row r="322" spans="2:12" x14ac:dyDescent="0.25">
      <c r="B322" s="20"/>
      <c r="C322" s="20"/>
      <c r="D322" s="20"/>
      <c r="E322" s="20"/>
      <c r="F322" s="20"/>
      <c r="G322" s="27"/>
      <c r="H322" s="20"/>
      <c r="I322" s="36"/>
      <c r="J322" s="33"/>
      <c r="K322" s="20"/>
      <c r="L322" s="20"/>
    </row>
    <row r="323" spans="2:12" x14ac:dyDescent="0.25">
      <c r="B323" s="20"/>
      <c r="C323" s="20"/>
      <c r="D323" s="20"/>
      <c r="E323" s="20"/>
      <c r="F323" s="20"/>
      <c r="G323" s="27"/>
      <c r="H323" s="20"/>
      <c r="I323" s="36"/>
      <c r="J323" s="33"/>
      <c r="K323" s="20"/>
      <c r="L323" s="20"/>
    </row>
    <row r="324" spans="2:12" x14ac:dyDescent="0.25">
      <c r="B324" s="20"/>
      <c r="C324" s="20"/>
      <c r="D324" s="20"/>
      <c r="E324" s="20"/>
      <c r="F324" s="20"/>
      <c r="G324" s="27"/>
      <c r="H324" s="20"/>
      <c r="I324" s="36"/>
      <c r="J324" s="33"/>
      <c r="K324" s="20"/>
      <c r="L324" s="20"/>
    </row>
    <row r="325" spans="2:12" x14ac:dyDescent="0.25">
      <c r="B325" s="20"/>
      <c r="C325" s="20"/>
      <c r="D325" s="20"/>
      <c r="E325" s="20"/>
      <c r="F325" s="20"/>
      <c r="G325" s="27"/>
      <c r="H325" s="20"/>
      <c r="I325" s="36"/>
      <c r="J325" s="33"/>
      <c r="K325" s="20"/>
      <c r="L325" s="20"/>
    </row>
    <row r="326" spans="2:12" x14ac:dyDescent="0.25">
      <c r="B326" s="20"/>
      <c r="C326" s="20"/>
      <c r="D326" s="20"/>
      <c r="E326" s="20"/>
      <c r="F326" s="20"/>
      <c r="G326" s="27"/>
      <c r="H326" s="20"/>
      <c r="I326" s="36"/>
      <c r="J326" s="33"/>
      <c r="K326" s="20"/>
      <c r="L326" s="20"/>
    </row>
    <row r="327" spans="2:12" x14ac:dyDescent="0.25">
      <c r="B327" s="20"/>
      <c r="C327" s="20"/>
      <c r="D327" s="20"/>
      <c r="E327" s="20"/>
      <c r="F327" s="20"/>
      <c r="G327" s="27"/>
      <c r="H327" s="20"/>
      <c r="I327" s="36"/>
      <c r="J327" s="33"/>
      <c r="K327" s="20"/>
      <c r="L327" s="20"/>
    </row>
    <row r="328" spans="2:12" x14ac:dyDescent="0.25">
      <c r="B328" s="20"/>
      <c r="C328" s="20"/>
      <c r="D328" s="20"/>
      <c r="E328" s="20"/>
      <c r="F328" s="20"/>
      <c r="G328" s="27"/>
      <c r="H328" s="20"/>
      <c r="I328" s="36"/>
      <c r="J328" s="33"/>
      <c r="K328" s="20"/>
      <c r="L328" s="20"/>
    </row>
    <row r="329" spans="2:12" x14ac:dyDescent="0.25">
      <c r="B329" s="20"/>
      <c r="C329" s="20"/>
      <c r="D329" s="20"/>
      <c r="E329" s="20"/>
      <c r="F329" s="20"/>
      <c r="G329" s="27"/>
      <c r="H329" s="20"/>
      <c r="I329" s="36"/>
      <c r="J329" s="33"/>
      <c r="K329" s="20"/>
      <c r="L329" s="20"/>
    </row>
    <row r="330" spans="2:12" x14ac:dyDescent="0.25">
      <c r="B330" s="20"/>
      <c r="C330" s="20"/>
      <c r="D330" s="20"/>
      <c r="E330" s="20"/>
      <c r="F330" s="20"/>
      <c r="G330" s="27"/>
      <c r="H330" s="20"/>
      <c r="I330" s="36"/>
      <c r="J330" s="33"/>
      <c r="K330" s="20"/>
      <c r="L330" s="20"/>
    </row>
    <row r="331" spans="2:12" x14ac:dyDescent="0.25">
      <c r="B331" s="20"/>
      <c r="C331" s="20"/>
      <c r="D331" s="20"/>
      <c r="E331" s="20"/>
      <c r="F331" s="20"/>
      <c r="G331" s="27"/>
      <c r="H331" s="20"/>
      <c r="I331" s="36"/>
      <c r="J331" s="33"/>
      <c r="K331" s="20"/>
      <c r="L331" s="20"/>
    </row>
    <row r="332" spans="2:12" x14ac:dyDescent="0.25">
      <c r="B332" s="20"/>
      <c r="C332" s="20"/>
      <c r="D332" s="20"/>
      <c r="E332" s="20"/>
      <c r="F332" s="20"/>
      <c r="G332" s="27"/>
      <c r="H332" s="20"/>
      <c r="I332" s="36"/>
      <c r="J332" s="33"/>
      <c r="K332" s="20"/>
      <c r="L332" s="20"/>
    </row>
    <row r="333" spans="2:12" x14ac:dyDescent="0.25">
      <c r="B333" s="20"/>
      <c r="C333" s="20"/>
      <c r="D333" s="20"/>
      <c r="E333" s="20"/>
      <c r="F333" s="20"/>
      <c r="G333" s="27"/>
      <c r="H333" s="20"/>
      <c r="I333" s="36"/>
      <c r="J333" s="33"/>
      <c r="K333" s="20"/>
      <c r="L333" s="20"/>
    </row>
    <row r="334" spans="2:12" x14ac:dyDescent="0.25">
      <c r="B334" s="20"/>
      <c r="C334" s="20"/>
      <c r="D334" s="20"/>
      <c r="E334" s="20"/>
      <c r="F334" s="20"/>
      <c r="G334" s="27"/>
      <c r="H334" s="20"/>
      <c r="I334" s="36"/>
      <c r="J334" s="33"/>
      <c r="K334" s="20"/>
      <c r="L334" s="20"/>
    </row>
    <row r="335" spans="2:12" x14ac:dyDescent="0.25">
      <c r="B335" s="20"/>
      <c r="C335" s="20"/>
      <c r="D335" s="20"/>
      <c r="E335" s="20"/>
      <c r="F335" s="20"/>
      <c r="G335" s="27"/>
      <c r="H335" s="20"/>
      <c r="I335" s="36"/>
      <c r="J335" s="33"/>
      <c r="K335" s="20"/>
      <c r="L335" s="20"/>
    </row>
    <row r="336" spans="2:12" x14ac:dyDescent="0.25">
      <c r="B336" s="20"/>
      <c r="C336" s="20"/>
      <c r="D336" s="20"/>
      <c r="E336" s="20"/>
      <c r="F336" s="20"/>
      <c r="G336" s="27"/>
      <c r="H336" s="20"/>
      <c r="I336" s="36"/>
      <c r="J336" s="33"/>
      <c r="K336" s="20"/>
      <c r="L336" s="20"/>
    </row>
    <row r="337" spans="2:12" x14ac:dyDescent="0.25">
      <c r="B337" s="20"/>
      <c r="C337" s="20"/>
      <c r="D337" s="20"/>
      <c r="E337" s="20"/>
      <c r="F337" s="20"/>
      <c r="G337" s="27"/>
      <c r="H337" s="20"/>
      <c r="I337" s="36"/>
      <c r="J337" s="33"/>
      <c r="K337" s="20"/>
      <c r="L337" s="20"/>
    </row>
    <row r="338" spans="2:12" x14ac:dyDescent="0.25">
      <c r="B338" s="20"/>
      <c r="C338" s="20"/>
      <c r="D338" s="20"/>
      <c r="E338" s="20"/>
      <c r="F338" s="20"/>
      <c r="G338" s="27"/>
      <c r="H338" s="20"/>
      <c r="I338" s="36"/>
      <c r="J338" s="33"/>
      <c r="K338" s="20"/>
      <c r="L338" s="20"/>
    </row>
    <row r="339" spans="2:12" x14ac:dyDescent="0.25">
      <c r="B339" s="20"/>
      <c r="C339" s="20"/>
      <c r="D339" s="20"/>
      <c r="E339" s="20"/>
      <c r="F339" s="20"/>
      <c r="G339" s="27"/>
      <c r="H339" s="20"/>
      <c r="I339" s="36"/>
      <c r="J339" s="33"/>
      <c r="K339" s="20"/>
      <c r="L339" s="20"/>
    </row>
    <row r="340" spans="2:12" x14ac:dyDescent="0.25">
      <c r="B340" s="20"/>
      <c r="C340" s="20"/>
      <c r="D340" s="20"/>
      <c r="E340" s="20"/>
      <c r="F340" s="20"/>
      <c r="G340" s="27"/>
      <c r="H340" s="20"/>
      <c r="I340" s="36"/>
      <c r="J340" s="33"/>
      <c r="K340" s="20"/>
      <c r="L340" s="20"/>
    </row>
    <row r="341" spans="2:12" x14ac:dyDescent="0.25">
      <c r="B341" s="20"/>
      <c r="C341" s="20"/>
      <c r="D341" s="20"/>
      <c r="E341" s="20"/>
      <c r="F341" s="20"/>
      <c r="G341" s="27"/>
      <c r="H341" s="20"/>
      <c r="I341" s="36"/>
      <c r="J341" s="33"/>
      <c r="K341" s="20"/>
      <c r="L341" s="20"/>
    </row>
    <row r="342" spans="2:12" x14ac:dyDescent="0.25">
      <c r="B342" s="20"/>
      <c r="C342" s="20"/>
      <c r="D342" s="20"/>
      <c r="E342" s="20"/>
      <c r="F342" s="20"/>
      <c r="G342" s="27"/>
      <c r="H342" s="20"/>
      <c r="I342" s="36"/>
      <c r="J342" s="33"/>
      <c r="K342" s="20"/>
      <c r="L342" s="20"/>
    </row>
    <row r="343" spans="2:12" x14ac:dyDescent="0.25">
      <c r="B343" s="20"/>
      <c r="C343" s="20"/>
      <c r="D343" s="20"/>
      <c r="E343" s="20"/>
      <c r="F343" s="20"/>
      <c r="G343" s="27"/>
      <c r="H343" s="20"/>
      <c r="I343" s="36"/>
      <c r="J343" s="33"/>
      <c r="K343" s="20"/>
      <c r="L343" s="20"/>
    </row>
    <row r="344" spans="2:12" x14ac:dyDescent="0.25">
      <c r="B344" s="20"/>
      <c r="C344" s="20"/>
      <c r="D344" s="20"/>
      <c r="E344" s="20"/>
      <c r="F344" s="20"/>
      <c r="G344" s="27"/>
      <c r="H344" s="20"/>
      <c r="I344" s="36"/>
      <c r="J344" s="33"/>
      <c r="K344" s="20"/>
      <c r="L344" s="20"/>
    </row>
    <row r="345" spans="2:12" x14ac:dyDescent="0.25">
      <c r="B345" s="20"/>
      <c r="C345" s="20"/>
      <c r="D345" s="20"/>
      <c r="E345" s="20"/>
      <c r="F345" s="20"/>
      <c r="G345" s="27"/>
      <c r="H345" s="20"/>
      <c r="I345" s="36"/>
      <c r="J345" s="33"/>
      <c r="K345" s="20"/>
      <c r="L345" s="20"/>
    </row>
    <row r="346" spans="2:12" x14ac:dyDescent="0.25">
      <c r="B346" s="20"/>
      <c r="C346" s="20"/>
      <c r="D346" s="20"/>
      <c r="E346" s="20"/>
      <c r="F346" s="20"/>
      <c r="G346" s="27"/>
      <c r="H346" s="20"/>
      <c r="I346" s="36"/>
      <c r="J346" s="33"/>
      <c r="K346" s="20"/>
      <c r="L346" s="20"/>
    </row>
    <row r="347" spans="2:12" x14ac:dyDescent="0.25">
      <c r="B347" s="20"/>
      <c r="C347" s="20"/>
      <c r="D347" s="20"/>
      <c r="E347" s="20"/>
      <c r="F347" s="20"/>
      <c r="G347" s="27"/>
      <c r="H347" s="20"/>
      <c r="I347" s="36"/>
      <c r="J347" s="33"/>
      <c r="K347" s="20"/>
      <c r="L347" s="20"/>
    </row>
    <row r="348" spans="2:12" x14ac:dyDescent="0.25">
      <c r="B348" s="20"/>
      <c r="C348" s="20"/>
      <c r="D348" s="20"/>
      <c r="E348" s="20"/>
      <c r="F348" s="20"/>
      <c r="G348" s="27"/>
      <c r="H348" s="20"/>
      <c r="I348" s="36"/>
      <c r="J348" s="33"/>
      <c r="K348" s="20"/>
      <c r="L348" s="20"/>
    </row>
    <row r="349" spans="2:12" x14ac:dyDescent="0.25">
      <c r="B349" s="20"/>
      <c r="C349" s="20"/>
      <c r="D349" s="20"/>
      <c r="E349" s="20"/>
      <c r="F349" s="20"/>
      <c r="G349" s="27"/>
      <c r="H349" s="20"/>
      <c r="I349" s="36"/>
      <c r="J349" s="33"/>
      <c r="K349" s="20"/>
      <c r="L349" s="20"/>
    </row>
    <row r="350" spans="2:12" x14ac:dyDescent="0.25">
      <c r="B350" s="20"/>
      <c r="C350" s="20"/>
      <c r="D350" s="20"/>
      <c r="E350" s="20"/>
      <c r="F350" s="20"/>
      <c r="G350" s="27"/>
      <c r="H350" s="20"/>
      <c r="I350" s="36"/>
      <c r="J350" s="33"/>
      <c r="K350" s="20"/>
      <c r="L350" s="20"/>
    </row>
    <row r="351" spans="2:12" x14ac:dyDescent="0.25">
      <c r="B351" s="20"/>
      <c r="C351" s="20"/>
      <c r="D351" s="20"/>
      <c r="E351" s="20"/>
      <c r="F351" s="20"/>
      <c r="G351" s="27"/>
      <c r="H351" s="20"/>
      <c r="I351" s="36"/>
      <c r="J351" s="33"/>
      <c r="K351" s="20"/>
      <c r="L351" s="20"/>
    </row>
    <row r="352" spans="2:12" x14ac:dyDescent="0.25">
      <c r="B352" s="20"/>
      <c r="C352" s="20"/>
      <c r="D352" s="20"/>
      <c r="E352" s="20"/>
      <c r="F352" s="20"/>
      <c r="G352" s="27"/>
      <c r="H352" s="20"/>
      <c r="I352" s="36"/>
      <c r="J352" s="33"/>
      <c r="K352" s="20"/>
      <c r="L352" s="20"/>
    </row>
    <row r="353" spans="2:12" x14ac:dyDescent="0.25">
      <c r="B353" s="20"/>
      <c r="C353" s="20"/>
      <c r="D353" s="20"/>
      <c r="E353" s="20"/>
      <c r="F353" s="20"/>
      <c r="G353" s="27"/>
      <c r="H353" s="20"/>
      <c r="I353" s="36"/>
      <c r="J353" s="33"/>
      <c r="K353" s="20"/>
      <c r="L353" s="20"/>
    </row>
    <row r="354" spans="2:12" x14ac:dyDescent="0.25">
      <c r="B354" s="20"/>
      <c r="C354" s="20"/>
      <c r="D354" s="20"/>
      <c r="E354" s="20"/>
      <c r="F354" s="20"/>
      <c r="G354" s="27"/>
      <c r="H354" s="20"/>
      <c r="I354" s="36"/>
      <c r="J354" s="33"/>
      <c r="K354" s="20"/>
      <c r="L354" s="20"/>
    </row>
    <row r="355" spans="2:12" x14ac:dyDescent="0.25">
      <c r="B355" s="20"/>
      <c r="C355" s="20"/>
      <c r="D355" s="20"/>
      <c r="E355" s="20"/>
      <c r="F355" s="20"/>
      <c r="G355" s="27"/>
      <c r="H355" s="20"/>
      <c r="I355" s="36"/>
      <c r="J355" s="33"/>
      <c r="K355" s="20"/>
      <c r="L355" s="20"/>
    </row>
    <row r="356" spans="2:12" x14ac:dyDescent="0.25">
      <c r="B356" s="20"/>
      <c r="C356" s="20"/>
      <c r="D356" s="20"/>
      <c r="E356" s="20"/>
      <c r="F356" s="20"/>
      <c r="G356" s="27"/>
      <c r="H356" s="20"/>
      <c r="I356" s="36"/>
      <c r="J356" s="33"/>
      <c r="K356" s="20"/>
      <c r="L356" s="20"/>
    </row>
    <row r="357" spans="2:12" x14ac:dyDescent="0.25">
      <c r="B357" s="20"/>
      <c r="C357" s="20"/>
      <c r="D357" s="20"/>
      <c r="E357" s="20"/>
      <c r="F357" s="20"/>
      <c r="G357" s="27"/>
      <c r="H357" s="20"/>
      <c r="I357" s="36"/>
      <c r="J357" s="33"/>
      <c r="K357" s="20"/>
      <c r="L357" s="20"/>
    </row>
    <row r="358" spans="2:12" x14ac:dyDescent="0.25">
      <c r="B358" s="20"/>
      <c r="C358" s="20"/>
      <c r="D358" s="20"/>
      <c r="E358" s="20"/>
      <c r="F358" s="20"/>
      <c r="G358" s="27"/>
      <c r="H358" s="20"/>
      <c r="I358" s="36"/>
      <c r="J358" s="33"/>
      <c r="K358" s="20"/>
      <c r="L358" s="20"/>
    </row>
    <row r="359" spans="2:12" x14ac:dyDescent="0.25">
      <c r="B359" s="20"/>
      <c r="C359" s="20"/>
      <c r="D359" s="20"/>
      <c r="E359" s="20"/>
      <c r="F359" s="20"/>
      <c r="G359" s="27"/>
      <c r="H359" s="20"/>
      <c r="I359" s="36"/>
      <c r="J359" s="33"/>
      <c r="K359" s="20"/>
      <c r="L359" s="20"/>
    </row>
    <row r="360" spans="2:12" x14ac:dyDescent="0.25">
      <c r="B360" s="20"/>
      <c r="C360" s="20"/>
      <c r="D360" s="20"/>
      <c r="E360" s="20"/>
      <c r="F360" s="20"/>
      <c r="G360" s="27"/>
      <c r="H360" s="20"/>
      <c r="I360" s="36"/>
      <c r="J360" s="33"/>
      <c r="K360" s="20"/>
      <c r="L360" s="20"/>
    </row>
    <row r="361" spans="2:12" x14ac:dyDescent="0.25">
      <c r="B361" s="20"/>
      <c r="C361" s="20"/>
      <c r="D361" s="20"/>
      <c r="E361" s="20"/>
      <c r="F361" s="20"/>
      <c r="G361" s="27"/>
      <c r="H361" s="20"/>
      <c r="I361" s="36"/>
      <c r="J361" s="33"/>
      <c r="K361" s="20"/>
      <c r="L361" s="20"/>
    </row>
    <row r="362" spans="2:12" x14ac:dyDescent="0.25">
      <c r="B362" s="20"/>
      <c r="C362" s="20"/>
      <c r="D362" s="20"/>
      <c r="E362" s="20"/>
      <c r="F362" s="20"/>
      <c r="G362" s="27"/>
      <c r="H362" s="20"/>
      <c r="I362" s="36"/>
      <c r="J362" s="33"/>
      <c r="K362" s="20"/>
      <c r="L362" s="20"/>
    </row>
    <row r="363" spans="2:12" x14ac:dyDescent="0.25">
      <c r="B363" s="20"/>
      <c r="C363" s="20"/>
      <c r="D363" s="20"/>
      <c r="E363" s="20"/>
      <c r="F363" s="20"/>
      <c r="G363" s="27"/>
      <c r="H363" s="20"/>
      <c r="I363" s="36"/>
      <c r="J363" s="33"/>
      <c r="K363" s="20"/>
      <c r="L363" s="20"/>
    </row>
    <row r="364" spans="2:12" x14ac:dyDescent="0.25">
      <c r="B364" s="20"/>
      <c r="C364" s="20"/>
      <c r="D364" s="20"/>
      <c r="E364" s="20"/>
      <c r="F364" s="20"/>
      <c r="G364" s="27"/>
      <c r="H364" s="20"/>
      <c r="I364" s="36"/>
      <c r="J364" s="33"/>
      <c r="K364" s="20"/>
      <c r="L364" s="20"/>
    </row>
    <row r="365" spans="2:12" x14ac:dyDescent="0.25">
      <c r="B365" s="20"/>
      <c r="C365" s="20"/>
      <c r="D365" s="20"/>
      <c r="E365" s="20"/>
      <c r="F365" s="20"/>
      <c r="G365" s="27"/>
      <c r="H365" s="20"/>
      <c r="I365" s="36"/>
      <c r="J365" s="33"/>
      <c r="K365" s="20"/>
      <c r="L365" s="20"/>
    </row>
    <row r="366" spans="2:12" x14ac:dyDescent="0.25">
      <c r="B366" s="20"/>
      <c r="C366" s="20"/>
      <c r="D366" s="20"/>
      <c r="E366" s="20"/>
      <c r="F366" s="20"/>
      <c r="G366" s="27"/>
      <c r="H366" s="20"/>
      <c r="I366" s="36"/>
      <c r="J366" s="33"/>
      <c r="K366" s="20"/>
      <c r="L366" s="20"/>
    </row>
    <row r="367" spans="2:12" x14ac:dyDescent="0.25">
      <c r="B367" s="20"/>
      <c r="C367" s="20"/>
      <c r="D367" s="20"/>
      <c r="E367" s="20"/>
      <c r="F367" s="20"/>
      <c r="G367" s="27"/>
      <c r="H367" s="20"/>
      <c r="I367" s="36"/>
      <c r="J367" s="33"/>
      <c r="K367" s="20"/>
      <c r="L367" s="20"/>
    </row>
    <row r="368" spans="2:12" x14ac:dyDescent="0.25">
      <c r="B368" s="20"/>
      <c r="C368" s="20"/>
      <c r="D368" s="20"/>
      <c r="E368" s="20"/>
      <c r="F368" s="20"/>
      <c r="G368" s="27"/>
      <c r="H368" s="20"/>
      <c r="I368" s="36"/>
      <c r="J368" s="33"/>
      <c r="K368" s="20"/>
      <c r="L368" s="20"/>
    </row>
    <row r="369" spans="2:12" x14ac:dyDescent="0.25">
      <c r="B369" s="20"/>
      <c r="C369" s="20"/>
      <c r="D369" s="20"/>
      <c r="E369" s="20"/>
      <c r="F369" s="20"/>
      <c r="G369" s="27"/>
      <c r="H369" s="20"/>
      <c r="I369" s="36"/>
      <c r="J369" s="33"/>
      <c r="K369" s="20"/>
      <c r="L369" s="20"/>
    </row>
    <row r="370" spans="2:12" x14ac:dyDescent="0.25">
      <c r="B370" s="20"/>
      <c r="C370" s="20"/>
      <c r="D370" s="20"/>
      <c r="E370" s="20"/>
      <c r="F370" s="20"/>
      <c r="G370" s="27"/>
      <c r="H370" s="20"/>
      <c r="I370" s="36"/>
      <c r="J370" s="33"/>
      <c r="K370" s="20"/>
      <c r="L370" s="20"/>
    </row>
    <row r="371" spans="2:12" x14ac:dyDescent="0.25">
      <c r="B371" s="20"/>
      <c r="C371" s="20"/>
      <c r="D371" s="20"/>
      <c r="E371" s="20"/>
      <c r="F371" s="20"/>
      <c r="G371" s="27"/>
      <c r="H371" s="20"/>
      <c r="I371" s="36"/>
      <c r="J371" s="33"/>
      <c r="K371" s="20"/>
      <c r="L371" s="20"/>
    </row>
    <row r="372" spans="2:12" x14ac:dyDescent="0.25">
      <c r="B372" s="20"/>
      <c r="C372" s="20"/>
      <c r="D372" s="20"/>
      <c r="E372" s="20"/>
      <c r="F372" s="20"/>
      <c r="G372" s="27"/>
      <c r="H372" s="20"/>
      <c r="I372" s="36"/>
      <c r="J372" s="33"/>
      <c r="K372" s="20"/>
      <c r="L372" s="20"/>
    </row>
    <row r="373" spans="2:12" x14ac:dyDescent="0.25">
      <c r="B373" s="20"/>
      <c r="C373" s="20"/>
      <c r="D373" s="20"/>
      <c r="E373" s="20"/>
      <c r="F373" s="20"/>
      <c r="G373" s="27"/>
      <c r="H373" s="20"/>
      <c r="I373" s="36"/>
      <c r="J373" s="33"/>
      <c r="K373" s="20"/>
      <c r="L373" s="20"/>
    </row>
    <row r="374" spans="2:12" x14ac:dyDescent="0.25">
      <c r="B374" s="20"/>
      <c r="C374" s="20"/>
      <c r="D374" s="20"/>
      <c r="E374" s="20"/>
      <c r="F374" s="20"/>
      <c r="G374" s="27"/>
      <c r="H374" s="20"/>
      <c r="I374" s="36"/>
      <c r="J374" s="33"/>
      <c r="K374" s="20"/>
      <c r="L374" s="20"/>
    </row>
    <row r="375" spans="2:12" x14ac:dyDescent="0.25">
      <c r="B375" s="20"/>
      <c r="C375" s="20"/>
      <c r="D375" s="20"/>
      <c r="E375" s="20"/>
      <c r="F375" s="20"/>
      <c r="G375" s="27"/>
      <c r="H375" s="20"/>
      <c r="I375" s="36"/>
      <c r="J375" s="33"/>
      <c r="K375" s="20"/>
      <c r="L375" s="20"/>
    </row>
    <row r="376" spans="2:12" x14ac:dyDescent="0.25">
      <c r="B376" s="20"/>
      <c r="C376" s="20"/>
      <c r="D376" s="20"/>
      <c r="E376" s="20"/>
      <c r="F376" s="20"/>
      <c r="G376" s="27"/>
      <c r="H376" s="20"/>
      <c r="I376" s="36"/>
      <c r="J376" s="33"/>
      <c r="K376" s="20"/>
      <c r="L376" s="20"/>
    </row>
    <row r="377" spans="2:12" x14ac:dyDescent="0.25">
      <c r="B377" s="20"/>
      <c r="C377" s="20"/>
      <c r="D377" s="20"/>
      <c r="E377" s="20"/>
      <c r="F377" s="20"/>
      <c r="G377" s="27"/>
      <c r="H377" s="20"/>
      <c r="I377" s="36"/>
      <c r="J377" s="33"/>
      <c r="K377" s="20"/>
      <c r="L377" s="20"/>
    </row>
    <row r="378" spans="2:12" x14ac:dyDescent="0.25">
      <c r="B378" s="20"/>
      <c r="C378" s="20"/>
      <c r="D378" s="20"/>
      <c r="E378" s="20"/>
      <c r="F378" s="20"/>
      <c r="G378" s="27"/>
      <c r="H378" s="20"/>
      <c r="I378" s="36"/>
      <c r="J378" s="33"/>
      <c r="K378" s="20"/>
      <c r="L378" s="20"/>
    </row>
    <row r="379" spans="2:12" x14ac:dyDescent="0.25">
      <c r="B379" s="20"/>
      <c r="C379" s="20"/>
      <c r="D379" s="20"/>
      <c r="E379" s="20"/>
      <c r="F379" s="20"/>
      <c r="G379" s="27"/>
      <c r="H379" s="20"/>
      <c r="I379" s="36"/>
      <c r="J379" s="33"/>
      <c r="K379" s="20"/>
      <c r="L379" s="20"/>
    </row>
    <row r="380" spans="2:12" x14ac:dyDescent="0.25">
      <c r="B380" s="20"/>
      <c r="C380" s="20"/>
      <c r="D380" s="20"/>
      <c r="E380" s="20"/>
      <c r="F380" s="20"/>
      <c r="G380" s="27"/>
      <c r="H380" s="20"/>
      <c r="I380" s="36"/>
      <c r="J380" s="33"/>
      <c r="K380" s="20"/>
      <c r="L380" s="20"/>
    </row>
    <row r="381" spans="2:12" x14ac:dyDescent="0.25">
      <c r="B381" s="20"/>
      <c r="C381" s="20"/>
      <c r="D381" s="20"/>
      <c r="E381" s="20"/>
      <c r="F381" s="20"/>
      <c r="G381" s="27"/>
      <c r="H381" s="20"/>
      <c r="I381" s="36"/>
      <c r="J381" s="33"/>
      <c r="K381" s="20"/>
      <c r="L381" s="20"/>
    </row>
    <row r="382" spans="2:12" x14ac:dyDescent="0.25">
      <c r="B382" s="20"/>
      <c r="C382" s="20"/>
      <c r="D382" s="20"/>
      <c r="E382" s="20"/>
      <c r="F382" s="20"/>
      <c r="G382" s="27"/>
      <c r="H382" s="20"/>
      <c r="I382" s="36"/>
      <c r="J382" s="33"/>
      <c r="K382" s="20"/>
      <c r="L382" s="20"/>
    </row>
    <row r="383" spans="2:12" x14ac:dyDescent="0.25">
      <c r="B383" s="20"/>
      <c r="C383" s="20"/>
      <c r="D383" s="20"/>
      <c r="E383" s="20"/>
      <c r="F383" s="20"/>
      <c r="G383" s="27"/>
      <c r="H383" s="20"/>
      <c r="I383" s="36"/>
      <c r="J383" s="33"/>
      <c r="K383" s="20"/>
      <c r="L383" s="20"/>
    </row>
    <row r="384" spans="2:12" x14ac:dyDescent="0.25">
      <c r="B384" s="20"/>
      <c r="C384" s="20"/>
      <c r="D384" s="20"/>
      <c r="E384" s="20"/>
      <c r="F384" s="20"/>
      <c r="G384" s="27"/>
      <c r="H384" s="20"/>
      <c r="I384" s="36"/>
      <c r="J384" s="33"/>
      <c r="K384" s="20"/>
      <c r="L384" s="20"/>
    </row>
    <row r="385" spans="2:12" x14ac:dyDescent="0.25">
      <c r="B385" s="20"/>
      <c r="C385" s="20"/>
      <c r="D385" s="20"/>
      <c r="E385" s="20"/>
      <c r="F385" s="20"/>
      <c r="G385" s="27"/>
      <c r="H385" s="20"/>
      <c r="I385" s="36"/>
      <c r="J385" s="33"/>
      <c r="K385" s="20"/>
      <c r="L385" s="20"/>
    </row>
    <row r="386" spans="2:12" x14ac:dyDescent="0.25">
      <c r="B386" s="20"/>
      <c r="C386" s="20"/>
      <c r="D386" s="20"/>
      <c r="E386" s="20"/>
      <c r="F386" s="20"/>
      <c r="G386" s="27"/>
      <c r="H386" s="20"/>
      <c r="I386" s="36"/>
      <c r="J386" s="33"/>
      <c r="K386" s="20"/>
      <c r="L386" s="20"/>
    </row>
    <row r="387" spans="2:12" x14ac:dyDescent="0.25">
      <c r="B387" s="20"/>
      <c r="C387" s="20"/>
      <c r="D387" s="20"/>
      <c r="E387" s="20"/>
      <c r="F387" s="20"/>
      <c r="G387" s="27"/>
      <c r="H387" s="20"/>
      <c r="I387" s="36"/>
      <c r="J387" s="33"/>
      <c r="K387" s="20"/>
      <c r="L387" s="20"/>
    </row>
    <row r="388" spans="2:12" x14ac:dyDescent="0.25">
      <c r="B388" s="20"/>
      <c r="C388" s="20"/>
      <c r="D388" s="20"/>
      <c r="E388" s="20"/>
      <c r="F388" s="20"/>
      <c r="G388" s="27"/>
      <c r="H388" s="20"/>
      <c r="I388" s="36"/>
      <c r="J388" s="33"/>
      <c r="K388" s="20"/>
      <c r="L388" s="20"/>
    </row>
    <row r="389" spans="2:12" x14ac:dyDescent="0.25">
      <c r="B389" s="20"/>
      <c r="C389" s="20"/>
      <c r="D389" s="20"/>
      <c r="E389" s="20"/>
      <c r="F389" s="20"/>
      <c r="G389" s="27"/>
      <c r="H389" s="20"/>
      <c r="I389" s="36"/>
      <c r="J389" s="33"/>
      <c r="K389" s="20"/>
      <c r="L389" s="20"/>
    </row>
    <row r="390" spans="2:12" x14ac:dyDescent="0.25">
      <c r="B390" s="20"/>
      <c r="C390" s="20"/>
      <c r="D390" s="20"/>
      <c r="E390" s="20"/>
      <c r="F390" s="20"/>
      <c r="G390" s="27"/>
      <c r="H390" s="20"/>
      <c r="I390" s="36"/>
      <c r="J390" s="33"/>
      <c r="K390" s="20"/>
      <c r="L390" s="20"/>
    </row>
    <row r="391" spans="2:12" x14ac:dyDescent="0.25">
      <c r="B391" s="20"/>
      <c r="C391" s="20"/>
      <c r="D391" s="20"/>
      <c r="E391" s="20"/>
      <c r="F391" s="20"/>
      <c r="G391" s="27"/>
      <c r="H391" s="20"/>
      <c r="I391" s="36"/>
      <c r="J391" s="33"/>
      <c r="K391" s="20"/>
      <c r="L391" s="20"/>
    </row>
    <row r="392" spans="2:12" x14ac:dyDescent="0.25">
      <c r="B392" s="20"/>
      <c r="C392" s="20"/>
      <c r="D392" s="20"/>
      <c r="E392" s="20"/>
      <c r="F392" s="20"/>
      <c r="G392" s="27"/>
      <c r="H392" s="20"/>
      <c r="I392" s="36"/>
      <c r="J392" s="33"/>
      <c r="K392" s="20"/>
      <c r="L392" s="20"/>
    </row>
    <row r="393" spans="2:12" x14ac:dyDescent="0.25">
      <c r="B393" s="20"/>
      <c r="C393" s="20"/>
      <c r="D393" s="20"/>
      <c r="E393" s="20"/>
      <c r="F393" s="20"/>
      <c r="G393" s="27"/>
      <c r="H393" s="20"/>
      <c r="I393" s="36"/>
      <c r="J393" s="33"/>
      <c r="K393" s="20"/>
      <c r="L393" s="20"/>
    </row>
    <row r="394" spans="2:12" x14ac:dyDescent="0.25">
      <c r="B394" s="20"/>
      <c r="C394" s="20"/>
      <c r="D394" s="20"/>
      <c r="E394" s="20"/>
      <c r="F394" s="20"/>
      <c r="G394" s="27"/>
      <c r="H394" s="20"/>
      <c r="I394" s="36"/>
      <c r="J394" s="33"/>
      <c r="K394" s="20"/>
      <c r="L394" s="20"/>
    </row>
    <row r="395" spans="2:12" x14ac:dyDescent="0.25">
      <c r="B395" s="20"/>
      <c r="C395" s="20"/>
      <c r="D395" s="20"/>
      <c r="E395" s="20"/>
      <c r="F395" s="20"/>
      <c r="G395" s="27"/>
      <c r="H395" s="20"/>
      <c r="I395" s="36"/>
      <c r="J395" s="33"/>
      <c r="K395" s="20"/>
      <c r="L395" s="20"/>
    </row>
    <row r="396" spans="2:12" x14ac:dyDescent="0.25">
      <c r="B396" s="20"/>
      <c r="C396" s="20"/>
      <c r="D396" s="20"/>
      <c r="E396" s="20"/>
      <c r="F396" s="20"/>
      <c r="G396" s="27"/>
      <c r="H396" s="20"/>
      <c r="I396" s="36"/>
      <c r="J396" s="33"/>
      <c r="K396" s="20"/>
      <c r="L396" s="20"/>
    </row>
    <row r="397" spans="2:12" x14ac:dyDescent="0.25">
      <c r="B397" s="20"/>
      <c r="C397" s="20"/>
      <c r="D397" s="20"/>
      <c r="E397" s="20"/>
      <c r="F397" s="20"/>
      <c r="G397" s="27"/>
      <c r="H397" s="20"/>
      <c r="I397" s="36"/>
      <c r="J397" s="33"/>
      <c r="K397" s="20"/>
      <c r="L397" s="20"/>
    </row>
    <row r="398" spans="2:12" x14ac:dyDescent="0.25">
      <c r="B398" s="20"/>
      <c r="C398" s="20"/>
      <c r="D398" s="20"/>
      <c r="E398" s="20"/>
      <c r="F398" s="20"/>
      <c r="G398" s="27"/>
      <c r="H398" s="20"/>
      <c r="I398" s="36"/>
      <c r="J398" s="33"/>
      <c r="K398" s="20"/>
      <c r="L398" s="20"/>
    </row>
    <row r="399" spans="2:12" x14ac:dyDescent="0.25">
      <c r="B399" s="20"/>
      <c r="C399" s="20"/>
      <c r="D399" s="20"/>
      <c r="E399" s="20"/>
      <c r="F399" s="20"/>
      <c r="G399" s="27"/>
      <c r="H399" s="20"/>
      <c r="I399" s="36"/>
      <c r="J399" s="33"/>
      <c r="K399" s="20"/>
      <c r="L399" s="20"/>
    </row>
    <row r="400" spans="2:12" x14ac:dyDescent="0.25">
      <c r="B400" s="20"/>
      <c r="C400" s="20"/>
      <c r="D400" s="20"/>
      <c r="E400" s="20"/>
      <c r="F400" s="20"/>
      <c r="G400" s="27"/>
      <c r="H400" s="20"/>
      <c r="I400" s="36"/>
      <c r="J400" s="33"/>
      <c r="K400" s="20"/>
      <c r="L400" s="20"/>
    </row>
    <row r="401" spans="2:12" x14ac:dyDescent="0.25">
      <c r="B401" s="20"/>
      <c r="C401" s="20"/>
      <c r="D401" s="20"/>
      <c r="E401" s="20"/>
      <c r="F401" s="20"/>
      <c r="G401" s="27"/>
      <c r="H401" s="20"/>
      <c r="I401" s="36"/>
      <c r="J401" s="33"/>
      <c r="K401" s="20"/>
      <c r="L401" s="20"/>
    </row>
    <row r="402" spans="2:12" x14ac:dyDescent="0.25">
      <c r="B402" s="20"/>
      <c r="C402" s="20"/>
      <c r="D402" s="20"/>
      <c r="E402" s="20"/>
      <c r="F402" s="20"/>
      <c r="G402" s="27"/>
      <c r="H402" s="20"/>
      <c r="I402" s="36"/>
      <c r="J402" s="33"/>
      <c r="K402" s="20"/>
      <c r="L402" s="20"/>
    </row>
    <row r="403" spans="2:12" x14ac:dyDescent="0.25">
      <c r="B403" s="20"/>
      <c r="C403" s="20"/>
      <c r="D403" s="20"/>
      <c r="E403" s="20"/>
      <c r="F403" s="20"/>
      <c r="G403" s="27"/>
      <c r="H403" s="20"/>
      <c r="I403" s="36"/>
      <c r="J403" s="33"/>
      <c r="K403" s="20"/>
      <c r="L403" s="20"/>
    </row>
    <row r="404" spans="2:12" x14ac:dyDescent="0.25">
      <c r="B404" s="20"/>
      <c r="C404" s="20"/>
      <c r="D404" s="20"/>
      <c r="E404" s="20"/>
      <c r="F404" s="20"/>
      <c r="G404" s="27"/>
      <c r="H404" s="20"/>
      <c r="I404" s="36"/>
      <c r="J404" s="33"/>
      <c r="K404" s="20"/>
      <c r="L404" s="20"/>
    </row>
    <row r="405" spans="2:12" x14ac:dyDescent="0.25">
      <c r="B405" s="20"/>
      <c r="C405" s="20"/>
      <c r="D405" s="20"/>
      <c r="E405" s="20"/>
      <c r="F405" s="20"/>
      <c r="G405" s="27"/>
      <c r="H405" s="20"/>
      <c r="I405" s="36"/>
      <c r="J405" s="33"/>
      <c r="K405" s="20"/>
      <c r="L405" s="20"/>
    </row>
    <row r="406" spans="2:12" x14ac:dyDescent="0.25">
      <c r="B406" s="20"/>
      <c r="C406" s="20"/>
      <c r="D406" s="20"/>
      <c r="E406" s="20"/>
      <c r="F406" s="20"/>
      <c r="G406" s="27"/>
      <c r="H406" s="20"/>
      <c r="I406" s="36"/>
      <c r="J406" s="33"/>
      <c r="K406" s="20"/>
      <c r="L406" s="20"/>
    </row>
    <row r="407" spans="2:12" x14ac:dyDescent="0.25">
      <c r="B407" s="20"/>
      <c r="C407" s="20"/>
      <c r="D407" s="20"/>
      <c r="E407" s="20"/>
      <c r="F407" s="20"/>
      <c r="G407" s="27"/>
      <c r="H407" s="20"/>
      <c r="I407" s="36"/>
      <c r="J407" s="33"/>
      <c r="K407" s="20"/>
      <c r="L407" s="20"/>
    </row>
    <row r="408" spans="2:12" x14ac:dyDescent="0.25">
      <c r="B408" s="20"/>
      <c r="C408" s="20"/>
      <c r="D408" s="20"/>
      <c r="E408" s="20"/>
      <c r="F408" s="20"/>
      <c r="G408" s="27"/>
      <c r="H408" s="20"/>
      <c r="I408" s="36"/>
      <c r="J408" s="33"/>
      <c r="K408" s="20"/>
      <c r="L408" s="20"/>
    </row>
    <row r="409" spans="2:12" x14ac:dyDescent="0.25">
      <c r="B409" s="20"/>
      <c r="C409" s="20"/>
      <c r="D409" s="20"/>
      <c r="E409" s="20"/>
      <c r="F409" s="20"/>
      <c r="G409" s="27"/>
      <c r="H409" s="20"/>
      <c r="I409" s="36"/>
      <c r="J409" s="33"/>
      <c r="K409" s="20"/>
      <c r="L409" s="20"/>
    </row>
    <row r="410" spans="2:12" x14ac:dyDescent="0.25">
      <c r="B410" s="20"/>
      <c r="C410" s="20"/>
      <c r="D410" s="20"/>
      <c r="E410" s="20"/>
      <c r="F410" s="20"/>
      <c r="G410" s="27"/>
      <c r="H410" s="20"/>
      <c r="I410" s="36"/>
      <c r="J410" s="33"/>
      <c r="K410" s="20"/>
      <c r="L410" s="20"/>
    </row>
    <row r="411" spans="2:12" x14ac:dyDescent="0.25">
      <c r="B411" s="20"/>
      <c r="C411" s="20"/>
      <c r="D411" s="20"/>
      <c r="E411" s="20"/>
      <c r="F411" s="20"/>
      <c r="G411" s="27"/>
      <c r="H411" s="20"/>
      <c r="I411" s="36"/>
      <c r="J411" s="33"/>
      <c r="K411" s="20"/>
      <c r="L411" s="20"/>
    </row>
    <row r="412" spans="2:12" x14ac:dyDescent="0.25">
      <c r="B412" s="20"/>
      <c r="C412" s="20"/>
      <c r="D412" s="20"/>
      <c r="E412" s="20"/>
      <c r="F412" s="20"/>
      <c r="G412" s="27"/>
      <c r="H412" s="20"/>
      <c r="I412" s="36"/>
      <c r="J412" s="33"/>
      <c r="K412" s="20"/>
      <c r="L412" s="20"/>
    </row>
    <row r="413" spans="2:12" x14ac:dyDescent="0.25">
      <c r="B413" s="20"/>
      <c r="C413" s="20"/>
      <c r="D413" s="20"/>
      <c r="E413" s="20"/>
      <c r="F413" s="20"/>
      <c r="G413" s="27"/>
      <c r="H413" s="20"/>
      <c r="I413" s="36"/>
      <c r="J413" s="33"/>
      <c r="K413" s="20"/>
      <c r="L413" s="20"/>
    </row>
    <row r="414" spans="2:12" x14ac:dyDescent="0.25">
      <c r="B414" s="20"/>
      <c r="C414" s="20"/>
      <c r="D414" s="20"/>
      <c r="E414" s="20"/>
      <c r="F414" s="20"/>
      <c r="G414" s="27"/>
      <c r="H414" s="20"/>
      <c r="I414" s="36"/>
      <c r="J414" s="33"/>
      <c r="K414" s="20"/>
      <c r="L414" s="20"/>
    </row>
    <row r="415" spans="2:12" x14ac:dyDescent="0.25">
      <c r="B415" s="20"/>
      <c r="C415" s="20"/>
      <c r="D415" s="20"/>
      <c r="E415" s="20"/>
      <c r="F415" s="20"/>
      <c r="G415" s="27"/>
      <c r="H415" s="20"/>
      <c r="I415" s="36"/>
      <c r="J415" s="33"/>
      <c r="K415" s="20"/>
      <c r="L415" s="20"/>
    </row>
    <row r="416" spans="2:12" x14ac:dyDescent="0.25">
      <c r="B416" s="20"/>
      <c r="C416" s="20"/>
      <c r="D416" s="20"/>
      <c r="E416" s="20"/>
      <c r="F416" s="20"/>
      <c r="G416" s="27"/>
      <c r="H416" s="20"/>
      <c r="I416" s="36"/>
      <c r="J416" s="33"/>
      <c r="K416" s="20"/>
      <c r="L416" s="20"/>
    </row>
    <row r="417" spans="2:12" x14ac:dyDescent="0.25">
      <c r="B417" s="20"/>
      <c r="C417" s="20"/>
      <c r="D417" s="20"/>
      <c r="E417" s="20"/>
      <c r="F417" s="20"/>
      <c r="G417" s="27"/>
      <c r="H417" s="20"/>
      <c r="I417" s="36"/>
      <c r="J417" s="33"/>
      <c r="K417" s="20"/>
      <c r="L417" s="20"/>
    </row>
    <row r="418" spans="2:12" x14ac:dyDescent="0.25">
      <c r="B418" s="20"/>
      <c r="C418" s="20"/>
      <c r="D418" s="20"/>
      <c r="E418" s="20"/>
      <c r="F418" s="20"/>
      <c r="G418" s="27"/>
      <c r="H418" s="20"/>
      <c r="I418" s="36"/>
      <c r="J418" s="33"/>
      <c r="K418" s="20"/>
      <c r="L418" s="20"/>
    </row>
    <row r="419" spans="2:12" x14ac:dyDescent="0.25">
      <c r="B419" s="20"/>
      <c r="C419" s="20"/>
      <c r="D419" s="20"/>
      <c r="E419" s="20"/>
      <c r="F419" s="20"/>
      <c r="G419" s="27"/>
      <c r="H419" s="20"/>
      <c r="I419" s="36"/>
      <c r="J419" s="33"/>
      <c r="K419" s="20"/>
      <c r="L419" s="20"/>
    </row>
    <row r="420" spans="2:12" x14ac:dyDescent="0.25">
      <c r="B420" s="20"/>
      <c r="C420" s="20"/>
      <c r="D420" s="20"/>
      <c r="E420" s="20"/>
      <c r="F420" s="20"/>
      <c r="G420" s="27"/>
      <c r="H420" s="20"/>
      <c r="I420" s="36"/>
      <c r="J420" s="33"/>
      <c r="K420" s="20"/>
      <c r="L420" s="20"/>
    </row>
    <row r="421" spans="2:12" x14ac:dyDescent="0.25">
      <c r="B421" s="20"/>
      <c r="C421" s="20"/>
      <c r="D421" s="20"/>
      <c r="E421" s="20"/>
      <c r="F421" s="20"/>
      <c r="G421" s="27"/>
      <c r="H421" s="20"/>
      <c r="I421" s="36"/>
      <c r="J421" s="33"/>
      <c r="K421" s="20"/>
      <c r="L421" s="20"/>
    </row>
    <row r="422" spans="2:12" x14ac:dyDescent="0.25">
      <c r="B422" s="20"/>
      <c r="C422" s="20"/>
      <c r="D422" s="20"/>
      <c r="E422" s="20"/>
      <c r="F422" s="20"/>
      <c r="G422" s="27"/>
      <c r="H422" s="20"/>
      <c r="I422" s="36"/>
      <c r="J422" s="33"/>
      <c r="K422" s="20"/>
      <c r="L422" s="20"/>
    </row>
    <row r="423" spans="2:12" x14ac:dyDescent="0.25">
      <c r="B423" s="20"/>
      <c r="C423" s="20"/>
      <c r="D423" s="20"/>
      <c r="E423" s="20"/>
      <c r="F423" s="20"/>
      <c r="G423" s="27"/>
      <c r="H423" s="20"/>
      <c r="I423" s="36"/>
      <c r="J423" s="33"/>
      <c r="K423" s="20"/>
      <c r="L423" s="20"/>
    </row>
    <row r="424" spans="2:12" x14ac:dyDescent="0.25">
      <c r="B424" s="20"/>
      <c r="C424" s="20"/>
      <c r="D424" s="20"/>
      <c r="E424" s="20"/>
      <c r="F424" s="20"/>
      <c r="G424" s="27"/>
      <c r="H424" s="20"/>
      <c r="I424" s="36"/>
      <c r="J424" s="33"/>
      <c r="K424" s="20"/>
      <c r="L424" s="20"/>
    </row>
    <row r="425" spans="2:12" x14ac:dyDescent="0.25">
      <c r="B425" s="20"/>
      <c r="C425" s="20"/>
      <c r="D425" s="20"/>
      <c r="E425" s="20"/>
      <c r="F425" s="20"/>
      <c r="G425" s="27"/>
      <c r="H425" s="20"/>
      <c r="I425" s="36"/>
      <c r="J425" s="33"/>
      <c r="K425" s="20"/>
      <c r="L425" s="20"/>
    </row>
    <row r="426" spans="2:12" x14ac:dyDescent="0.25">
      <c r="B426" s="20"/>
      <c r="C426" s="20"/>
      <c r="D426" s="20"/>
      <c r="E426" s="20"/>
      <c r="F426" s="20"/>
      <c r="G426" s="27"/>
      <c r="H426" s="20"/>
      <c r="I426" s="36"/>
      <c r="J426" s="33"/>
      <c r="K426" s="20"/>
      <c r="L426" s="20"/>
    </row>
    <row r="427" spans="2:12" x14ac:dyDescent="0.25">
      <c r="B427" s="20"/>
      <c r="C427" s="20"/>
      <c r="D427" s="20"/>
      <c r="E427" s="20"/>
      <c r="F427" s="20"/>
      <c r="G427" s="27"/>
      <c r="H427" s="20"/>
      <c r="I427" s="36"/>
      <c r="J427" s="33"/>
      <c r="K427" s="20"/>
      <c r="L427" s="20"/>
    </row>
    <row r="428" spans="2:12" x14ac:dyDescent="0.25">
      <c r="B428" s="20"/>
      <c r="C428" s="20"/>
      <c r="D428" s="20"/>
      <c r="E428" s="20"/>
      <c r="F428" s="20"/>
      <c r="G428" s="27"/>
      <c r="H428" s="20"/>
      <c r="I428" s="36"/>
      <c r="J428" s="33"/>
      <c r="K428" s="20"/>
      <c r="L428" s="20"/>
    </row>
    <row r="429" spans="2:12" x14ac:dyDescent="0.25">
      <c r="B429" s="20"/>
      <c r="C429" s="20"/>
      <c r="D429" s="20"/>
      <c r="E429" s="20"/>
      <c r="F429" s="20"/>
      <c r="G429" s="27"/>
      <c r="H429" s="20"/>
      <c r="I429" s="36"/>
      <c r="J429" s="33"/>
      <c r="K429" s="20"/>
      <c r="L429" s="20"/>
    </row>
    <row r="430" spans="2:12" x14ac:dyDescent="0.25">
      <c r="B430" s="20"/>
      <c r="C430" s="20"/>
      <c r="D430" s="20"/>
      <c r="E430" s="20"/>
      <c r="F430" s="20"/>
      <c r="G430" s="27"/>
      <c r="H430" s="20"/>
      <c r="I430" s="36"/>
      <c r="J430" s="33"/>
      <c r="K430" s="20"/>
      <c r="L430" s="20"/>
    </row>
    <row r="431" spans="2:12" x14ac:dyDescent="0.25">
      <c r="B431" s="20"/>
      <c r="C431" s="20"/>
      <c r="D431" s="20"/>
      <c r="E431" s="20"/>
      <c r="F431" s="20"/>
      <c r="G431" s="27"/>
      <c r="H431" s="20"/>
      <c r="I431" s="36"/>
      <c r="J431" s="33"/>
      <c r="K431" s="20"/>
      <c r="L431" s="20"/>
    </row>
    <row r="432" spans="2:12" x14ac:dyDescent="0.25">
      <c r="B432" s="20"/>
      <c r="C432" s="20"/>
      <c r="D432" s="20"/>
      <c r="E432" s="20"/>
      <c r="F432" s="20"/>
      <c r="G432" s="27"/>
      <c r="H432" s="20"/>
      <c r="I432" s="36"/>
      <c r="J432" s="33"/>
      <c r="K432" s="20"/>
      <c r="L432" s="20"/>
    </row>
    <row r="433" spans="2:12" x14ac:dyDescent="0.25">
      <c r="B433" s="20"/>
      <c r="C433" s="20"/>
      <c r="D433" s="20"/>
      <c r="E433" s="20"/>
      <c r="F433" s="20"/>
      <c r="G433" s="27"/>
      <c r="H433" s="20"/>
      <c r="I433" s="36"/>
      <c r="J433" s="33"/>
      <c r="K433" s="20"/>
      <c r="L433" s="20"/>
    </row>
    <row r="434" spans="2:12" x14ac:dyDescent="0.25">
      <c r="B434" s="20"/>
      <c r="C434" s="20"/>
      <c r="D434" s="20"/>
      <c r="E434" s="20"/>
      <c r="F434" s="20"/>
      <c r="G434" s="27"/>
      <c r="H434" s="20"/>
      <c r="I434" s="36"/>
      <c r="J434" s="33"/>
      <c r="K434" s="20"/>
      <c r="L434" s="20"/>
    </row>
    <row r="435" spans="2:12" x14ac:dyDescent="0.25">
      <c r="B435" s="20"/>
      <c r="C435" s="20"/>
      <c r="D435" s="20"/>
      <c r="E435" s="20"/>
      <c r="F435" s="20"/>
      <c r="G435" s="27"/>
      <c r="H435" s="20"/>
      <c r="I435" s="36"/>
      <c r="J435" s="33"/>
      <c r="K435" s="20"/>
      <c r="L435" s="20"/>
    </row>
    <row r="436" spans="2:12" x14ac:dyDescent="0.25">
      <c r="B436" s="20"/>
      <c r="C436" s="20"/>
      <c r="D436" s="20"/>
      <c r="E436" s="20"/>
      <c r="F436" s="20"/>
      <c r="G436" s="27"/>
      <c r="H436" s="20"/>
      <c r="I436" s="36"/>
      <c r="J436" s="33"/>
      <c r="K436" s="20"/>
      <c r="L436" s="20"/>
    </row>
    <row r="437" spans="2:12" x14ac:dyDescent="0.25">
      <c r="B437" s="20"/>
      <c r="C437" s="20"/>
      <c r="D437" s="20"/>
      <c r="E437" s="20"/>
      <c r="F437" s="20"/>
      <c r="G437" s="27"/>
      <c r="H437" s="20"/>
      <c r="I437" s="36"/>
      <c r="J437" s="33"/>
      <c r="K437" s="20"/>
      <c r="L437" s="20"/>
    </row>
    <row r="438" spans="2:12" x14ac:dyDescent="0.25">
      <c r="B438" s="20"/>
      <c r="C438" s="20"/>
      <c r="D438" s="20"/>
      <c r="E438" s="20"/>
      <c r="F438" s="20"/>
      <c r="G438" s="27"/>
      <c r="H438" s="20"/>
      <c r="I438" s="36"/>
      <c r="J438" s="33"/>
      <c r="K438" s="20"/>
      <c r="L438" s="20"/>
    </row>
    <row r="439" spans="2:12" x14ac:dyDescent="0.25">
      <c r="B439" s="20"/>
      <c r="C439" s="20"/>
      <c r="D439" s="20"/>
      <c r="E439" s="20"/>
      <c r="F439" s="20"/>
      <c r="G439" s="27"/>
      <c r="H439" s="20"/>
      <c r="I439" s="36"/>
      <c r="J439" s="33"/>
      <c r="K439" s="20"/>
      <c r="L439" s="20"/>
    </row>
    <row r="440" spans="2:12" x14ac:dyDescent="0.25">
      <c r="B440" s="20"/>
      <c r="C440" s="20"/>
      <c r="D440" s="20"/>
      <c r="E440" s="20"/>
      <c r="F440" s="20"/>
      <c r="G440" s="27"/>
      <c r="H440" s="20"/>
      <c r="I440" s="36"/>
      <c r="J440" s="33"/>
      <c r="K440" s="20"/>
      <c r="L440" s="20"/>
    </row>
    <row r="441" spans="2:12" x14ac:dyDescent="0.25">
      <c r="B441" s="20"/>
      <c r="C441" s="20"/>
      <c r="D441" s="20"/>
      <c r="E441" s="20"/>
      <c r="F441" s="20"/>
      <c r="G441" s="27"/>
      <c r="H441" s="20"/>
      <c r="I441" s="36"/>
      <c r="J441" s="33"/>
      <c r="K441" s="20"/>
      <c r="L441" s="20"/>
    </row>
    <row r="442" spans="2:12" x14ac:dyDescent="0.25">
      <c r="B442" s="20"/>
      <c r="C442" s="20"/>
      <c r="D442" s="20"/>
      <c r="E442" s="20"/>
      <c r="F442" s="20"/>
      <c r="G442" s="27"/>
      <c r="H442" s="20"/>
      <c r="I442" s="36"/>
      <c r="J442" s="33"/>
      <c r="K442" s="20"/>
      <c r="L442" s="20"/>
    </row>
    <row r="443" spans="2:12" x14ac:dyDescent="0.25">
      <c r="B443" s="20"/>
      <c r="C443" s="20"/>
      <c r="D443" s="20"/>
      <c r="E443" s="20"/>
      <c r="F443" s="20"/>
      <c r="G443" s="27"/>
      <c r="H443" s="20"/>
      <c r="I443" s="36"/>
      <c r="J443" s="33"/>
      <c r="K443" s="20"/>
      <c r="L443" s="20"/>
    </row>
    <row r="444" spans="2:12" x14ac:dyDescent="0.25">
      <c r="B444" s="20"/>
      <c r="C444" s="20"/>
      <c r="D444" s="20"/>
      <c r="E444" s="20"/>
      <c r="F444" s="20"/>
      <c r="G444" s="27"/>
      <c r="H444" s="20"/>
      <c r="I444" s="36"/>
      <c r="J444" s="33"/>
      <c r="K444" s="20"/>
      <c r="L444" s="20"/>
    </row>
    <row r="445" spans="2:12" x14ac:dyDescent="0.25">
      <c r="B445" s="20"/>
      <c r="C445" s="20"/>
      <c r="D445" s="20"/>
      <c r="E445" s="20"/>
      <c r="F445" s="20"/>
      <c r="G445" s="27"/>
      <c r="H445" s="20"/>
      <c r="I445" s="36"/>
      <c r="J445" s="33"/>
      <c r="K445" s="20"/>
      <c r="L445" s="20"/>
    </row>
    <row r="446" spans="2:12" x14ac:dyDescent="0.25">
      <c r="B446" s="20"/>
      <c r="C446" s="20"/>
      <c r="D446" s="20"/>
      <c r="E446" s="20"/>
      <c r="F446" s="20"/>
      <c r="G446" s="27"/>
      <c r="H446" s="20"/>
      <c r="I446" s="36"/>
      <c r="J446" s="33"/>
      <c r="K446" s="20"/>
      <c r="L446" s="20"/>
    </row>
    <row r="447" spans="2:12" x14ac:dyDescent="0.25">
      <c r="B447" s="20"/>
      <c r="C447" s="20"/>
      <c r="D447" s="20"/>
      <c r="E447" s="20"/>
      <c r="F447" s="20"/>
      <c r="G447" s="27"/>
      <c r="H447" s="20"/>
      <c r="I447" s="36"/>
      <c r="J447" s="33"/>
      <c r="K447" s="20"/>
      <c r="L447" s="20"/>
    </row>
    <row r="448" spans="2:12" x14ac:dyDescent="0.25">
      <c r="B448" s="20"/>
      <c r="C448" s="20"/>
      <c r="D448" s="20"/>
      <c r="E448" s="20"/>
      <c r="F448" s="20"/>
      <c r="G448" s="27"/>
      <c r="H448" s="20"/>
      <c r="I448" s="36"/>
      <c r="J448" s="33"/>
      <c r="K448" s="20"/>
      <c r="L448" s="20"/>
    </row>
    <row r="449" spans="2:12" x14ac:dyDescent="0.25">
      <c r="B449" s="20"/>
      <c r="C449" s="20"/>
      <c r="D449" s="20"/>
      <c r="E449" s="20"/>
      <c r="F449" s="20"/>
      <c r="G449" s="27"/>
      <c r="H449" s="20"/>
      <c r="I449" s="36"/>
      <c r="J449" s="33"/>
      <c r="K449" s="20"/>
      <c r="L449" s="20"/>
    </row>
    <row r="450" spans="2:12" x14ac:dyDescent="0.25">
      <c r="B450" s="20"/>
      <c r="C450" s="20"/>
      <c r="D450" s="20"/>
      <c r="E450" s="20"/>
      <c r="F450" s="20"/>
      <c r="G450" s="27"/>
      <c r="H450" s="20"/>
      <c r="I450" s="36"/>
      <c r="J450" s="33"/>
      <c r="K450" s="20"/>
      <c r="L450" s="20"/>
    </row>
    <row r="451" spans="2:12" x14ac:dyDescent="0.25">
      <c r="B451" s="20"/>
      <c r="C451" s="20"/>
      <c r="D451" s="20"/>
      <c r="E451" s="20"/>
      <c r="F451" s="20"/>
      <c r="G451" s="27"/>
      <c r="H451" s="20"/>
      <c r="I451" s="36"/>
      <c r="J451" s="33"/>
      <c r="K451" s="20"/>
      <c r="L451" s="20"/>
    </row>
    <row r="452" spans="2:12" x14ac:dyDescent="0.25">
      <c r="B452" s="20"/>
      <c r="C452" s="20"/>
      <c r="D452" s="20"/>
      <c r="E452" s="20"/>
      <c r="F452" s="20"/>
      <c r="G452" s="27"/>
      <c r="H452" s="20"/>
      <c r="I452" s="36"/>
      <c r="J452" s="33"/>
      <c r="K452" s="20"/>
      <c r="L452" s="20"/>
    </row>
    <row r="453" spans="2:12" x14ac:dyDescent="0.25">
      <c r="B453" s="20"/>
      <c r="C453" s="20"/>
      <c r="D453" s="20"/>
      <c r="E453" s="20"/>
      <c r="F453" s="20"/>
      <c r="G453" s="27"/>
      <c r="H453" s="20"/>
      <c r="I453" s="36"/>
      <c r="J453" s="33"/>
      <c r="K453" s="20"/>
      <c r="L453" s="20"/>
    </row>
    <row r="454" spans="2:12" x14ac:dyDescent="0.25">
      <c r="B454" s="20"/>
      <c r="C454" s="20"/>
      <c r="D454" s="20"/>
      <c r="E454" s="20"/>
      <c r="F454" s="20"/>
      <c r="G454" s="27"/>
      <c r="H454" s="20"/>
      <c r="I454" s="36"/>
      <c r="J454" s="33"/>
      <c r="K454" s="20"/>
      <c r="L454" s="20"/>
    </row>
    <row r="455" spans="2:12" x14ac:dyDescent="0.25">
      <c r="B455" s="20"/>
      <c r="C455" s="20"/>
      <c r="D455" s="20"/>
      <c r="E455" s="20"/>
      <c r="F455" s="20"/>
      <c r="G455" s="27"/>
      <c r="H455" s="20"/>
      <c r="I455" s="36"/>
      <c r="J455" s="33"/>
      <c r="K455" s="20"/>
      <c r="L455" s="20"/>
    </row>
    <row r="456" spans="2:12" x14ac:dyDescent="0.25">
      <c r="B456" s="20"/>
      <c r="C456" s="20"/>
      <c r="D456" s="20"/>
      <c r="E456" s="20"/>
      <c r="F456" s="20"/>
      <c r="G456" s="27"/>
      <c r="H456" s="20"/>
      <c r="I456" s="36"/>
      <c r="J456" s="33"/>
      <c r="K456" s="20"/>
      <c r="L456" s="20"/>
    </row>
    <row r="457" spans="2:12" x14ac:dyDescent="0.25">
      <c r="B457" s="20"/>
      <c r="C457" s="20"/>
      <c r="D457" s="20"/>
      <c r="E457" s="20"/>
      <c r="F457" s="20"/>
      <c r="G457" s="27"/>
      <c r="H457" s="20"/>
      <c r="I457" s="36"/>
      <c r="J457" s="33"/>
      <c r="K457" s="20"/>
      <c r="L457" s="20"/>
    </row>
    <row r="458" spans="2:12" x14ac:dyDescent="0.25">
      <c r="B458" s="20"/>
      <c r="C458" s="20"/>
      <c r="D458" s="20"/>
      <c r="E458" s="20"/>
      <c r="F458" s="20"/>
      <c r="G458" s="27"/>
      <c r="H458" s="20"/>
      <c r="I458" s="36"/>
      <c r="J458" s="33"/>
      <c r="K458" s="20"/>
      <c r="L458" s="20"/>
    </row>
    <row r="459" spans="2:12" x14ac:dyDescent="0.25">
      <c r="B459" s="20"/>
      <c r="C459" s="20"/>
      <c r="D459" s="20"/>
      <c r="E459" s="20"/>
      <c r="F459" s="20"/>
      <c r="G459" s="27"/>
      <c r="H459" s="20"/>
      <c r="I459" s="36"/>
      <c r="J459" s="33"/>
      <c r="K459" s="20"/>
      <c r="L459" s="20"/>
    </row>
    <row r="460" spans="2:12" x14ac:dyDescent="0.25">
      <c r="C460" s="20"/>
      <c r="D460" s="20"/>
      <c r="E460" s="20"/>
      <c r="F460" s="20"/>
      <c r="G460" s="27"/>
      <c r="H460" s="20"/>
      <c r="I460" s="36"/>
      <c r="J460" s="33"/>
      <c r="K460" s="20"/>
      <c r="L460" s="20"/>
    </row>
    <row r="461" spans="2:12" x14ac:dyDescent="0.25">
      <c r="C461" s="20"/>
      <c r="D461" s="20"/>
      <c r="E461" s="20"/>
      <c r="F461" s="20"/>
      <c r="G461" s="27"/>
      <c r="H461" s="20"/>
      <c r="I461" s="36"/>
      <c r="J461" s="33"/>
      <c r="K461" s="20"/>
      <c r="L461" s="20"/>
    </row>
    <row r="462" spans="2:12" x14ac:dyDescent="0.25">
      <c r="C462" s="20"/>
      <c r="D462" s="20"/>
      <c r="E462" s="20"/>
      <c r="F462" s="20"/>
      <c r="G462" s="27"/>
      <c r="H462" s="20"/>
      <c r="I462" s="36"/>
      <c r="J462" s="33"/>
      <c r="K462" s="20"/>
      <c r="L462" s="20"/>
    </row>
  </sheetData>
  <dataConsolidate/>
  <mergeCells count="208">
    <mergeCell ref="B199:F199"/>
    <mergeCell ref="G208:K208"/>
    <mergeCell ref="G209:K209"/>
    <mergeCell ref="C190:F190"/>
    <mergeCell ref="C191:F191"/>
    <mergeCell ref="C192:F192"/>
    <mergeCell ref="C166:F166"/>
    <mergeCell ref="C175:F175"/>
    <mergeCell ref="C176:F176"/>
    <mergeCell ref="C177:F177"/>
    <mergeCell ref="C179:F179"/>
    <mergeCell ref="C171:F171"/>
    <mergeCell ref="C172:F172"/>
    <mergeCell ref="C178:F178"/>
    <mergeCell ref="C183:F183"/>
    <mergeCell ref="C167:F167"/>
    <mergeCell ref="C184:F184"/>
    <mergeCell ref="C185:F185"/>
    <mergeCell ref="B187:K187"/>
    <mergeCell ref="G205:K205"/>
    <mergeCell ref="G206:K206"/>
    <mergeCell ref="G207:K207"/>
    <mergeCell ref="B197:K197"/>
    <mergeCell ref="C109:F109"/>
    <mergeCell ref="C110:F110"/>
    <mergeCell ref="C111:F111"/>
    <mergeCell ref="C158:F158"/>
    <mergeCell ref="C159:F159"/>
    <mergeCell ref="C162:F162"/>
    <mergeCell ref="C163:F163"/>
    <mergeCell ref="C160:F160"/>
    <mergeCell ref="C161:F161"/>
    <mergeCell ref="C140:F140"/>
    <mergeCell ref="C115:F115"/>
    <mergeCell ref="B129:K129"/>
    <mergeCell ref="C116:F116"/>
    <mergeCell ref="B117:K117"/>
    <mergeCell ref="C128:F128"/>
    <mergeCell ref="C127:F127"/>
    <mergeCell ref="C121:F121"/>
    <mergeCell ref="C122:F122"/>
    <mergeCell ref="C125:F125"/>
    <mergeCell ref="C126:F126"/>
    <mergeCell ref="C119:F119"/>
    <mergeCell ref="C118:L118"/>
    <mergeCell ref="C152:F152"/>
    <mergeCell ref="C153:F153"/>
    <mergeCell ref="C150:F150"/>
    <mergeCell ref="C154:F154"/>
    <mergeCell ref="C145:L145"/>
    <mergeCell ref="C148:F148"/>
    <mergeCell ref="C156:L156"/>
    <mergeCell ref="B155:K155"/>
    <mergeCell ref="B99:K99"/>
    <mergeCell ref="C104:F104"/>
    <mergeCell ref="C105:F105"/>
    <mergeCell ref="C106:F106"/>
    <mergeCell ref="C147:F147"/>
    <mergeCell ref="B134:K134"/>
    <mergeCell ref="C141:F141"/>
    <mergeCell ref="C138:F138"/>
    <mergeCell ref="C151:F151"/>
    <mergeCell ref="B144:K144"/>
    <mergeCell ref="C123:F123"/>
    <mergeCell ref="C124:F124"/>
    <mergeCell ref="C132:F132"/>
    <mergeCell ref="C108:F108"/>
    <mergeCell ref="C136:F136"/>
    <mergeCell ref="C131:F131"/>
    <mergeCell ref="C139:F139"/>
    <mergeCell ref="C146:F146"/>
    <mergeCell ref="C149:F149"/>
    <mergeCell ref="C133:F133"/>
    <mergeCell ref="C130:L130"/>
    <mergeCell ref="C135:L135"/>
    <mergeCell ref="C23:L23"/>
    <mergeCell ref="C66:F66"/>
    <mergeCell ref="B71:K71"/>
    <mergeCell ref="C69:F69"/>
    <mergeCell ref="C68:F68"/>
    <mergeCell ref="C72:L72"/>
    <mergeCell ref="C114:F114"/>
    <mergeCell ref="C101:F101"/>
    <mergeCell ref="C102:F102"/>
    <mergeCell ref="C103:F103"/>
    <mergeCell ref="B95:K95"/>
    <mergeCell ref="C96:L96"/>
    <mergeCell ref="C100:L100"/>
    <mergeCell ref="B81:K81"/>
    <mergeCell ref="C82:L82"/>
    <mergeCell ref="C73:F73"/>
    <mergeCell ref="C74:F74"/>
    <mergeCell ref="C75:F75"/>
    <mergeCell ref="C76:F76"/>
    <mergeCell ref="C70:F70"/>
    <mergeCell ref="C107:F107"/>
    <mergeCell ref="B33:K33"/>
    <mergeCell ref="C27:F27"/>
    <mergeCell ref="K5:L5"/>
    <mergeCell ref="D1:J1"/>
    <mergeCell ref="K1:L1"/>
    <mergeCell ref="B6:L6"/>
    <mergeCell ref="D2:L2"/>
    <mergeCell ref="K3:L3"/>
    <mergeCell ref="C14:F14"/>
    <mergeCell ref="C15:F15"/>
    <mergeCell ref="C12:L12"/>
    <mergeCell ref="C8:L8"/>
    <mergeCell ref="C9:F9"/>
    <mergeCell ref="C13:L13"/>
    <mergeCell ref="B1:C5"/>
    <mergeCell ref="E3:F3"/>
    <mergeCell ref="B11:K11"/>
    <mergeCell ref="E4:F4"/>
    <mergeCell ref="E5:F5"/>
    <mergeCell ref="C10:F10"/>
    <mergeCell ref="C7:F7"/>
    <mergeCell ref="C98:F98"/>
    <mergeCell ref="K4:L4"/>
    <mergeCell ref="C24:F24"/>
    <mergeCell ref="C30:F30"/>
    <mergeCell ref="C31:F31"/>
    <mergeCell ref="C91:F91"/>
    <mergeCell ref="C92:F92"/>
    <mergeCell ref="C93:F93"/>
    <mergeCell ref="C97:F97"/>
    <mergeCell ref="C94:F94"/>
    <mergeCell ref="C67:F67"/>
    <mergeCell ref="C85:F85"/>
    <mergeCell ref="C86:F86"/>
    <mergeCell ref="C87:F87"/>
    <mergeCell ref="C84:F84"/>
    <mergeCell ref="C83:F83"/>
    <mergeCell ref="C58:F58"/>
    <mergeCell ref="C64:F64"/>
    <mergeCell ref="C65:F65"/>
    <mergeCell ref="C41:F41"/>
    <mergeCell ref="C51:F51"/>
    <mergeCell ref="B88:K88"/>
    <mergeCell ref="C89:L89"/>
    <mergeCell ref="C90:F90"/>
    <mergeCell ref="C25:F25"/>
    <mergeCell ref="C18:F18"/>
    <mergeCell ref="C19:F19"/>
    <mergeCell ref="C20:F20"/>
    <mergeCell ref="C21:F21"/>
    <mergeCell ref="C52:F52"/>
    <mergeCell ref="C54:F54"/>
    <mergeCell ref="C57:L57"/>
    <mergeCell ref="C37:F37"/>
    <mergeCell ref="C38:F38"/>
    <mergeCell ref="C36:L36"/>
    <mergeCell ref="B42:K42"/>
    <mergeCell ref="C43:L43"/>
    <mergeCell ref="C50:L50"/>
    <mergeCell ref="B49:K49"/>
    <mergeCell ref="B55:K55"/>
    <mergeCell ref="C44:F44"/>
    <mergeCell ref="C45:F45"/>
    <mergeCell ref="C47:F47"/>
    <mergeCell ref="C48:F48"/>
    <mergeCell ref="C32:F32"/>
    <mergeCell ref="C35:L35"/>
    <mergeCell ref="B22:K22"/>
    <mergeCell ref="C40:F40"/>
    <mergeCell ref="C53:F53"/>
    <mergeCell ref="C157:L157"/>
    <mergeCell ref="B169:K169"/>
    <mergeCell ref="C194:L194"/>
    <mergeCell ref="B196:K196"/>
    <mergeCell ref="C195:F195"/>
    <mergeCell ref="C173:F173"/>
    <mergeCell ref="C182:L182"/>
    <mergeCell ref="C164:F164"/>
    <mergeCell ref="C165:F165"/>
    <mergeCell ref="C186:F186"/>
    <mergeCell ref="C170:L170"/>
    <mergeCell ref="B180:K180"/>
    <mergeCell ref="C168:F168"/>
    <mergeCell ref="C174:F174"/>
    <mergeCell ref="B181:K181"/>
    <mergeCell ref="B193:K193"/>
    <mergeCell ref="C188:L188"/>
    <mergeCell ref="C189:F189"/>
    <mergeCell ref="C16:F16"/>
    <mergeCell ref="C137:F137"/>
    <mergeCell ref="B61:K61"/>
    <mergeCell ref="C26:F26"/>
    <mergeCell ref="C29:F29"/>
    <mergeCell ref="C142:F142"/>
    <mergeCell ref="C143:F143"/>
    <mergeCell ref="C120:F120"/>
    <mergeCell ref="C113:F113"/>
    <mergeCell ref="C112:F112"/>
    <mergeCell ref="C59:F59"/>
    <mergeCell ref="C60:F60"/>
    <mergeCell ref="C62:L62"/>
    <mergeCell ref="C77:F77"/>
    <mergeCell ref="C78:F78"/>
    <mergeCell ref="C80:F80"/>
    <mergeCell ref="C79:F79"/>
    <mergeCell ref="C63:F63"/>
    <mergeCell ref="C28:F28"/>
    <mergeCell ref="C39:F39"/>
    <mergeCell ref="C46:F46"/>
    <mergeCell ref="C17:F17"/>
    <mergeCell ref="B34:K34"/>
    <mergeCell ref="B56:K56"/>
  </mergeCells>
  <phoneticPr fontId="24" type="noConversion"/>
  <printOptions horizontalCentered="1"/>
  <pageMargins left="0.39370078740157483" right="0.35433070866141736" top="0.39370078740157483" bottom="0.47244094488188981" header="0.11811023622047245" footer="0.27559055118110237"/>
  <pageSetup paperSize="9" scale="59" fitToHeight="0" orientation="landscape" verticalDpi="300" r:id="rId1"/>
  <headerFooter>
    <oddFooter>&amp;CTR CONSTRUTORA E ENGENHARIA LTDA - ORÇAMENTO SINAPI, COMPLEXO ESCOLA ESPECIAL - BLOCO 01 - Página &amp;P de &amp;N</oddFooter>
  </headerFooter>
  <rowBreaks count="5" manualBreakCount="5">
    <brk id="125" min="1" max="11" man="1"/>
    <brk id="144" min="1" max="11" man="1"/>
    <brk id="163" min="1" max="11" man="1"/>
    <brk id="209" min="1" max="11" man="1"/>
    <brk id="211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42"/>
  <sheetViews>
    <sheetView showGridLines="0" view="pageBreakPreview" zoomScale="75" zoomScaleNormal="70" zoomScaleSheetLayoutView="75" workbookViewId="0">
      <pane ySplit="8" topLeftCell="A9" activePane="bottomLeft" state="frozen"/>
      <selection pane="bottomLeft" activeCell="E3" sqref="E3:T3"/>
    </sheetView>
  </sheetViews>
  <sheetFormatPr defaultColWidth="9.140625" defaultRowHeight="15" x14ac:dyDescent="0.25"/>
  <cols>
    <col min="1" max="1" width="1" style="1" customWidth="1"/>
    <col min="2" max="2" width="8.85546875" style="1" customWidth="1"/>
    <col min="3" max="3" width="8.7109375" style="1" customWidth="1"/>
    <col min="4" max="4" width="17.28515625" style="1" customWidth="1"/>
    <col min="5" max="5" width="12.42578125" style="1" bestFit="1" customWidth="1"/>
    <col min="6" max="6" width="34.7109375" style="1" customWidth="1"/>
    <col min="7" max="7" width="18.42578125" style="1" customWidth="1"/>
    <col min="8" max="8" width="10.7109375" style="4" customWidth="1"/>
    <col min="9" max="9" width="10.140625" style="4" customWidth="1"/>
    <col min="10" max="10" width="16" style="1" customWidth="1"/>
    <col min="11" max="11" width="10.28515625" style="1" customWidth="1"/>
    <col min="12" max="12" width="16.140625" style="1" customWidth="1"/>
    <col min="13" max="13" width="10.140625" style="1" customWidth="1"/>
    <col min="14" max="14" width="16.7109375" style="1" customWidth="1"/>
    <col min="15" max="15" width="10.28515625" style="1" customWidth="1"/>
    <col min="16" max="16" width="16.140625" style="1" customWidth="1"/>
    <col min="17" max="17" width="10.7109375" style="1" customWidth="1"/>
    <col min="18" max="18" width="16.7109375" style="1" customWidth="1"/>
    <col min="19" max="19" width="10.28515625" style="1" customWidth="1"/>
    <col min="20" max="20" width="16.85546875" style="1" customWidth="1"/>
    <col min="21" max="16384" width="9.140625" style="1"/>
  </cols>
  <sheetData>
    <row r="1" spans="2:20" ht="30" customHeight="1" x14ac:dyDescent="0.25">
      <c r="B1" s="132"/>
      <c r="C1" s="132"/>
      <c r="D1" s="110" t="s">
        <v>36</v>
      </c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</row>
    <row r="2" spans="2:20" ht="6" customHeight="1" x14ac:dyDescent="0.25">
      <c r="B2" s="132"/>
      <c r="C2" s="132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</row>
    <row r="3" spans="2:20" ht="26.25" customHeight="1" x14ac:dyDescent="0.25">
      <c r="B3" s="132"/>
      <c r="C3" s="132"/>
      <c r="D3" s="19" t="s">
        <v>462</v>
      </c>
      <c r="E3" s="138" t="s">
        <v>480</v>
      </c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</row>
    <row r="4" spans="2:20" ht="26.25" customHeight="1" x14ac:dyDescent="0.25">
      <c r="B4" s="132"/>
      <c r="C4" s="132"/>
      <c r="D4" s="19" t="s">
        <v>10</v>
      </c>
      <c r="E4" s="141" t="s">
        <v>409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</row>
    <row r="5" spans="2:20" ht="26.25" customHeight="1" x14ac:dyDescent="0.25">
      <c r="B5" s="132"/>
      <c r="C5" s="132"/>
      <c r="D5" s="19" t="s">
        <v>4</v>
      </c>
      <c r="E5" s="141" t="str">
        <f>Orçamento!E5</f>
        <v>174,72 M²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</row>
    <row r="6" spans="2:20" ht="10.5" customHeight="1" x14ac:dyDescent="0.25">
      <c r="B6" s="3"/>
      <c r="C6" s="3"/>
      <c r="D6" s="3"/>
      <c r="E6" s="3"/>
      <c r="F6" s="2"/>
      <c r="G6" s="2"/>
      <c r="H6" s="5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2:20" ht="25.5" customHeight="1" x14ac:dyDescent="0.25">
      <c r="B7" s="134" t="s">
        <v>11</v>
      </c>
      <c r="C7" s="133" t="s">
        <v>12</v>
      </c>
      <c r="D7" s="133"/>
      <c r="E7" s="133"/>
      <c r="F7" s="133"/>
      <c r="G7" s="133" t="s">
        <v>30</v>
      </c>
      <c r="H7" s="133" t="s">
        <v>31</v>
      </c>
      <c r="I7" s="133" t="s">
        <v>34</v>
      </c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</row>
    <row r="8" spans="2:20" ht="25.5" customHeight="1" x14ac:dyDescent="0.25">
      <c r="B8" s="134"/>
      <c r="C8" s="133"/>
      <c r="D8" s="133"/>
      <c r="E8" s="133"/>
      <c r="F8" s="133"/>
      <c r="G8" s="133"/>
      <c r="H8" s="133"/>
      <c r="I8" s="133" t="s">
        <v>26</v>
      </c>
      <c r="J8" s="133"/>
      <c r="K8" s="133" t="s">
        <v>27</v>
      </c>
      <c r="L8" s="133"/>
      <c r="M8" s="133" t="s">
        <v>28</v>
      </c>
      <c r="N8" s="133"/>
      <c r="O8" s="139" t="s">
        <v>29</v>
      </c>
      <c r="P8" s="140"/>
      <c r="Q8" s="133" t="s">
        <v>350</v>
      </c>
      <c r="R8" s="133"/>
      <c r="S8" s="139" t="s">
        <v>351</v>
      </c>
      <c r="T8" s="140"/>
    </row>
    <row r="9" spans="2:20" s="10" customFormat="1" ht="25.5" customHeight="1" x14ac:dyDescent="0.25">
      <c r="B9" s="134"/>
      <c r="C9" s="133"/>
      <c r="D9" s="133"/>
      <c r="E9" s="133"/>
      <c r="F9" s="133"/>
      <c r="G9" s="133"/>
      <c r="H9" s="133"/>
      <c r="I9" s="7" t="s">
        <v>35</v>
      </c>
      <c r="J9" s="6" t="s">
        <v>39</v>
      </c>
      <c r="K9" s="7" t="s">
        <v>35</v>
      </c>
      <c r="L9" s="6" t="s">
        <v>39</v>
      </c>
      <c r="M9" s="7" t="s">
        <v>35</v>
      </c>
      <c r="N9" s="6" t="s">
        <v>39</v>
      </c>
      <c r="O9" s="46" t="s">
        <v>35</v>
      </c>
      <c r="P9" s="6" t="s">
        <v>39</v>
      </c>
      <c r="Q9" s="46" t="s">
        <v>35</v>
      </c>
      <c r="R9" s="6" t="s">
        <v>39</v>
      </c>
      <c r="S9" s="46" t="s">
        <v>35</v>
      </c>
      <c r="T9" s="6" t="s">
        <v>39</v>
      </c>
    </row>
    <row r="10" spans="2:20" s="10" customFormat="1" ht="27" customHeight="1" x14ac:dyDescent="0.25">
      <c r="B10" s="13">
        <v>1</v>
      </c>
      <c r="C10" s="126" t="str">
        <f>Orçamento!C8</f>
        <v xml:space="preserve">SERVIÇOS PRELIMINARES </v>
      </c>
      <c r="D10" s="126"/>
      <c r="E10" s="126"/>
      <c r="F10" s="126"/>
      <c r="G10" s="17">
        <f>Orçamento!L11</f>
        <v>6071.6921780399998</v>
      </c>
      <c r="H10" s="16">
        <f t="shared" ref="H10:H27" si="0">G10/$G$28</f>
        <v>8.3875588180982799E-3</v>
      </c>
      <c r="I10" s="87">
        <v>1</v>
      </c>
      <c r="J10" s="88">
        <f t="shared" ref="J10:J11" si="1">I10*G10</f>
        <v>6071.6921780399998</v>
      </c>
      <c r="K10" s="89"/>
      <c r="L10" s="88"/>
      <c r="M10" s="87"/>
      <c r="N10" s="88"/>
      <c r="O10" s="89"/>
      <c r="P10" s="90"/>
      <c r="Q10" s="89"/>
      <c r="R10" s="88"/>
      <c r="S10" s="89"/>
      <c r="T10" s="90"/>
    </row>
    <row r="11" spans="2:20" s="10" customFormat="1" ht="27" customHeight="1" x14ac:dyDescent="0.25">
      <c r="B11" s="91">
        <v>2</v>
      </c>
      <c r="C11" s="127" t="str">
        <f>Orçamento!C12</f>
        <v xml:space="preserve">FUNDAÇÕES </v>
      </c>
      <c r="D11" s="127"/>
      <c r="E11" s="127"/>
      <c r="F11" s="127"/>
      <c r="G11" s="92">
        <f>Orçamento!L34</f>
        <v>45214.32847467289</v>
      </c>
      <c r="H11" s="47">
        <f t="shared" si="0"/>
        <v>6.2459991116439684E-2</v>
      </c>
      <c r="I11" s="48">
        <v>1</v>
      </c>
      <c r="J11" s="49">
        <f t="shared" si="1"/>
        <v>45214.32847467289</v>
      </c>
      <c r="K11" s="47"/>
      <c r="L11" s="49"/>
      <c r="M11" s="48"/>
      <c r="N11" s="49"/>
      <c r="O11" s="47"/>
      <c r="P11" s="50"/>
      <c r="Q11" s="47"/>
      <c r="R11" s="49"/>
      <c r="S11" s="47"/>
      <c r="T11" s="50"/>
    </row>
    <row r="12" spans="2:20" s="10" customFormat="1" ht="27" customHeight="1" x14ac:dyDescent="0.25">
      <c r="B12" s="13">
        <v>3</v>
      </c>
      <c r="C12" s="126" t="str">
        <f>Orçamento!C35</f>
        <v xml:space="preserve">SUPRA ESTRUTURA </v>
      </c>
      <c r="D12" s="126"/>
      <c r="E12" s="126"/>
      <c r="F12" s="126"/>
      <c r="G12" s="17">
        <f>Orçamento!L56</f>
        <v>112712.49870815243</v>
      </c>
      <c r="H12" s="16">
        <f>G12/G28</f>
        <v>0.15570333355645072</v>
      </c>
      <c r="I12" s="87"/>
      <c r="J12" s="88"/>
      <c r="K12" s="89">
        <v>0.5</v>
      </c>
      <c r="L12" s="88">
        <f>K12*G12</f>
        <v>56356.249354076215</v>
      </c>
      <c r="M12" s="87">
        <v>0.5</v>
      </c>
      <c r="N12" s="88">
        <f>M12*G12</f>
        <v>56356.249354076215</v>
      </c>
      <c r="O12" s="89"/>
      <c r="P12" s="90"/>
      <c r="Q12" s="89"/>
      <c r="R12" s="88"/>
      <c r="S12" s="89"/>
      <c r="T12" s="90"/>
    </row>
    <row r="13" spans="2:20" s="10" customFormat="1" ht="27" customHeight="1" x14ac:dyDescent="0.25">
      <c r="B13" s="91">
        <v>4</v>
      </c>
      <c r="C13" s="127" t="str">
        <f>Orçamento!C57</f>
        <v xml:space="preserve">VEDAÇÕES </v>
      </c>
      <c r="D13" s="127"/>
      <c r="E13" s="127"/>
      <c r="F13" s="127"/>
      <c r="G13" s="92">
        <f>Orçamento!L61</f>
        <v>91206.6988614</v>
      </c>
      <c r="H13" s="47">
        <f t="shared" si="0"/>
        <v>0.12599478512290452</v>
      </c>
      <c r="I13" s="48"/>
      <c r="J13" s="49"/>
      <c r="K13" s="47">
        <v>1</v>
      </c>
      <c r="L13" s="49">
        <f t="shared" ref="L13" si="2">K13*G13</f>
        <v>91206.6988614</v>
      </c>
      <c r="M13" s="48"/>
      <c r="N13" s="49"/>
      <c r="O13" s="47"/>
      <c r="P13" s="50"/>
      <c r="Q13" s="47"/>
      <c r="R13" s="49"/>
      <c r="S13" s="47"/>
      <c r="T13" s="50"/>
    </row>
    <row r="14" spans="2:20" s="10" customFormat="1" ht="27" customHeight="1" x14ac:dyDescent="0.25">
      <c r="B14" s="13">
        <v>5</v>
      </c>
      <c r="C14" s="126" t="str">
        <f>Orçamento!C62</f>
        <v xml:space="preserve">COBERTURA </v>
      </c>
      <c r="D14" s="126"/>
      <c r="E14" s="126"/>
      <c r="F14" s="126"/>
      <c r="G14" s="17">
        <f>Orçamento!L71</f>
        <v>106198.70953933497</v>
      </c>
      <c r="H14" s="16">
        <f t="shared" si="0"/>
        <v>0.14670505298159711</v>
      </c>
      <c r="I14" s="87"/>
      <c r="J14" s="88"/>
      <c r="K14" s="89"/>
      <c r="L14" s="88"/>
      <c r="M14" s="87">
        <v>1</v>
      </c>
      <c r="N14" s="88">
        <f t="shared" ref="N14" si="3">M14*G14</f>
        <v>106198.70953933497</v>
      </c>
      <c r="O14" s="89"/>
      <c r="P14" s="90"/>
      <c r="Q14" s="89"/>
      <c r="R14" s="88"/>
      <c r="S14" s="89"/>
      <c r="T14" s="90"/>
    </row>
    <row r="15" spans="2:20" s="10" customFormat="1" ht="27" customHeight="1" x14ac:dyDescent="0.25">
      <c r="B15" s="91">
        <v>6</v>
      </c>
      <c r="C15" s="127" t="str">
        <f>Orçamento!C72</f>
        <v xml:space="preserve">PISOS INTERNOS </v>
      </c>
      <c r="D15" s="127"/>
      <c r="E15" s="127"/>
      <c r="F15" s="127"/>
      <c r="G15" s="92">
        <f>Orçamento!L81</f>
        <v>24961.4012192058</v>
      </c>
      <c r="H15" s="47">
        <f t="shared" si="0"/>
        <v>3.4482186311333034E-2</v>
      </c>
      <c r="I15" s="48"/>
      <c r="J15" s="49"/>
      <c r="K15" s="47"/>
      <c r="L15" s="49"/>
      <c r="M15" s="48"/>
      <c r="N15" s="49"/>
      <c r="O15" s="47">
        <v>0.6</v>
      </c>
      <c r="P15" s="50">
        <f t="shared" ref="P15:P21" si="4">O15*G15</f>
        <v>14976.84073152348</v>
      </c>
      <c r="Q15" s="47">
        <v>0.4</v>
      </c>
      <c r="R15" s="49">
        <f t="shared" ref="R15:R25" si="5">Q15*G15</f>
        <v>9984.5604876823199</v>
      </c>
      <c r="S15" s="47"/>
      <c r="T15" s="50"/>
    </row>
    <row r="16" spans="2:20" s="10" customFormat="1" ht="27" customHeight="1" x14ac:dyDescent="0.25">
      <c r="B16" s="13">
        <v>7</v>
      </c>
      <c r="C16" s="126" t="str">
        <f>Orçamento!C82</f>
        <v>REVESTIMENTOS EM PAREDES (ARGAMSSADOS E CERÂMICOS)</v>
      </c>
      <c r="D16" s="126"/>
      <c r="E16" s="126"/>
      <c r="F16" s="126"/>
      <c r="G16" s="17">
        <f>Orçamento!L88</f>
        <v>69700.591849439996</v>
      </c>
      <c r="H16" s="16">
        <f t="shared" si="0"/>
        <v>9.6285812365105722E-2</v>
      </c>
      <c r="I16" s="87"/>
      <c r="J16" s="88"/>
      <c r="K16" s="89"/>
      <c r="L16" s="88"/>
      <c r="M16" s="87"/>
      <c r="N16" s="88"/>
      <c r="O16" s="89">
        <v>0.7</v>
      </c>
      <c r="P16" s="90">
        <f t="shared" si="4"/>
        <v>48790.414294607996</v>
      </c>
      <c r="Q16" s="89">
        <v>0.3</v>
      </c>
      <c r="R16" s="88">
        <f t="shared" si="5"/>
        <v>20910.177554831997</v>
      </c>
      <c r="S16" s="89"/>
      <c r="T16" s="90"/>
    </row>
    <row r="17" spans="2:20" s="10" customFormat="1" ht="27" customHeight="1" x14ac:dyDescent="0.25">
      <c r="B17" s="91">
        <v>8</v>
      </c>
      <c r="C17" s="127" t="str">
        <f>Orçamento!C89</f>
        <v xml:space="preserve">PINTURA </v>
      </c>
      <c r="D17" s="127"/>
      <c r="E17" s="127"/>
      <c r="F17" s="127"/>
      <c r="G17" s="92">
        <f>Orçamento!L95</f>
        <v>31719.580036620006</v>
      </c>
      <c r="H17" s="47">
        <f t="shared" si="0"/>
        <v>4.3818071707385157E-2</v>
      </c>
      <c r="I17" s="48"/>
      <c r="J17" s="49"/>
      <c r="K17" s="47"/>
      <c r="L17" s="49"/>
      <c r="M17" s="48"/>
      <c r="N17" s="49"/>
      <c r="O17" s="47"/>
      <c r="P17" s="50"/>
      <c r="Q17" s="47">
        <v>0.8</v>
      </c>
      <c r="R17" s="49">
        <f t="shared" si="5"/>
        <v>25375.664029296007</v>
      </c>
      <c r="S17" s="47">
        <v>0.2</v>
      </c>
      <c r="T17" s="50">
        <f t="shared" ref="T17:T27" si="6">S17*G17</f>
        <v>6343.9160073240018</v>
      </c>
    </row>
    <row r="18" spans="2:20" s="10" customFormat="1" ht="27" customHeight="1" x14ac:dyDescent="0.25">
      <c r="B18" s="13">
        <v>9</v>
      </c>
      <c r="C18" s="126" t="str">
        <f>Orçamento!C96</f>
        <v>FORROS</v>
      </c>
      <c r="D18" s="126"/>
      <c r="E18" s="126"/>
      <c r="F18" s="126"/>
      <c r="G18" s="17">
        <f>Orçamento!L99</f>
        <v>15852.606017760001</v>
      </c>
      <c r="H18" s="16">
        <f t="shared" si="0"/>
        <v>2.189911172951179E-2</v>
      </c>
      <c r="I18" s="87"/>
      <c r="J18" s="88"/>
      <c r="K18" s="89"/>
      <c r="L18" s="88"/>
      <c r="M18" s="87"/>
      <c r="N18" s="88"/>
      <c r="O18" s="89"/>
      <c r="P18" s="90"/>
      <c r="Q18" s="89">
        <v>1</v>
      </c>
      <c r="R18" s="88">
        <f t="shared" si="5"/>
        <v>15852.606017760001</v>
      </c>
      <c r="S18" s="89"/>
      <c r="T18" s="90"/>
    </row>
    <row r="19" spans="2:20" s="10" customFormat="1" ht="27" customHeight="1" x14ac:dyDescent="0.25">
      <c r="B19" s="91">
        <v>10</v>
      </c>
      <c r="C19" s="127" t="str">
        <f>Orçamento!C100</f>
        <v>INSTALAÇÕES ELÉTRICAS</v>
      </c>
      <c r="D19" s="127"/>
      <c r="E19" s="127"/>
      <c r="F19" s="127"/>
      <c r="G19" s="92">
        <f>Orçamento!L117</f>
        <v>42550.233267000003</v>
      </c>
      <c r="H19" s="47">
        <f t="shared" si="0"/>
        <v>5.8779755920691776E-2</v>
      </c>
      <c r="I19" s="48"/>
      <c r="J19" s="49"/>
      <c r="K19" s="47"/>
      <c r="L19" s="49"/>
      <c r="M19" s="48"/>
      <c r="N19" s="49"/>
      <c r="O19" s="47"/>
      <c r="P19" s="50"/>
      <c r="Q19" s="47">
        <v>0.5</v>
      </c>
      <c r="R19" s="49">
        <f t="shared" si="5"/>
        <v>21275.116633500002</v>
      </c>
      <c r="S19" s="47">
        <v>0.5</v>
      </c>
      <c r="T19" s="50">
        <f t="shared" si="6"/>
        <v>21275.116633500002</v>
      </c>
    </row>
    <row r="20" spans="2:20" s="10" customFormat="1" ht="27" customHeight="1" x14ac:dyDescent="0.25">
      <c r="B20" s="13">
        <v>11</v>
      </c>
      <c r="C20" s="126" t="str">
        <f>Orçamento!C118</f>
        <v>INSTALAÇÕES HIDRÁULICAS</v>
      </c>
      <c r="D20" s="126"/>
      <c r="E20" s="126"/>
      <c r="F20" s="126"/>
      <c r="G20" s="17">
        <f>Orçamento!L129</f>
        <v>12567.556663740001</v>
      </c>
      <c r="H20" s="16">
        <f t="shared" si="0"/>
        <v>1.7361077871857783E-2</v>
      </c>
      <c r="I20" s="87"/>
      <c r="J20" s="88"/>
      <c r="K20" s="89"/>
      <c r="L20" s="88"/>
      <c r="M20" s="87"/>
      <c r="N20" s="88"/>
      <c r="O20" s="89">
        <v>0.9</v>
      </c>
      <c r="P20" s="90">
        <f t="shared" si="4"/>
        <v>11310.800997366001</v>
      </c>
      <c r="Q20" s="89">
        <v>0.1</v>
      </c>
      <c r="R20" s="88">
        <f t="shared" si="5"/>
        <v>1256.7556663740002</v>
      </c>
      <c r="S20" s="89"/>
      <c r="T20" s="90"/>
    </row>
    <row r="21" spans="2:20" s="10" customFormat="1" ht="27" customHeight="1" x14ac:dyDescent="0.25">
      <c r="B21" s="91">
        <v>12</v>
      </c>
      <c r="C21" s="127" t="str">
        <f>Orçamento!C130</f>
        <v>INSTALAÇÕES SANITÁRIAS</v>
      </c>
      <c r="D21" s="127"/>
      <c r="E21" s="127"/>
      <c r="F21" s="127"/>
      <c r="G21" s="92">
        <f>Orçamento!L134</f>
        <v>13380.331424999998</v>
      </c>
      <c r="H21" s="47">
        <f t="shared" si="0"/>
        <v>1.8483861424783993E-2</v>
      </c>
      <c r="I21" s="48"/>
      <c r="J21" s="49"/>
      <c r="K21" s="47"/>
      <c r="L21" s="49"/>
      <c r="M21" s="48"/>
      <c r="N21" s="49"/>
      <c r="O21" s="47">
        <v>0.9</v>
      </c>
      <c r="P21" s="50">
        <f t="shared" si="4"/>
        <v>12042.298282499998</v>
      </c>
      <c r="Q21" s="47">
        <v>0.1</v>
      </c>
      <c r="R21" s="49">
        <f t="shared" si="5"/>
        <v>1338.0331424999999</v>
      </c>
      <c r="S21" s="47"/>
      <c r="T21" s="50"/>
    </row>
    <row r="22" spans="2:20" s="10" customFormat="1" ht="27" customHeight="1" x14ac:dyDescent="0.25">
      <c r="B22" s="13">
        <v>13</v>
      </c>
      <c r="C22" s="126" t="str">
        <f>Orçamento!C135</f>
        <v xml:space="preserve">ESQUADRIAS </v>
      </c>
      <c r="D22" s="126"/>
      <c r="E22" s="126"/>
      <c r="F22" s="126"/>
      <c r="G22" s="17">
        <f>Orçamento!L144</f>
        <v>71797.447547015981</v>
      </c>
      <c r="H22" s="16">
        <f t="shared" si="0"/>
        <v>9.9182451387764548E-2</v>
      </c>
      <c r="I22" s="87"/>
      <c r="J22" s="88"/>
      <c r="K22" s="89"/>
      <c r="L22" s="88"/>
      <c r="M22" s="87"/>
      <c r="N22" s="88"/>
      <c r="O22" s="89"/>
      <c r="P22" s="90"/>
      <c r="Q22" s="89">
        <v>1</v>
      </c>
      <c r="R22" s="88">
        <f t="shared" si="5"/>
        <v>71797.447547015981</v>
      </c>
      <c r="S22" s="89"/>
      <c r="T22" s="90"/>
    </row>
    <row r="23" spans="2:20" s="10" customFormat="1" ht="27" customHeight="1" x14ac:dyDescent="0.25">
      <c r="B23" s="91">
        <v>14</v>
      </c>
      <c r="C23" s="127" t="str">
        <f>Orçamento!C145</f>
        <v xml:space="preserve">LOUÇAS, ACESSÓRIOS E METAIS </v>
      </c>
      <c r="D23" s="127"/>
      <c r="E23" s="127"/>
      <c r="F23" s="127"/>
      <c r="G23" s="92">
        <f>Orçamento!L155</f>
        <v>9688.42893</v>
      </c>
      <c r="H23" s="47">
        <f t="shared" si="0"/>
        <v>1.3383792379865379E-2</v>
      </c>
      <c r="I23" s="48"/>
      <c r="J23" s="49"/>
      <c r="K23" s="47"/>
      <c r="L23" s="49"/>
      <c r="M23" s="48"/>
      <c r="N23" s="49"/>
      <c r="O23" s="47"/>
      <c r="P23" s="50"/>
      <c r="Q23" s="47"/>
      <c r="R23" s="49"/>
      <c r="S23" s="47">
        <v>1</v>
      </c>
      <c r="T23" s="50">
        <f t="shared" si="6"/>
        <v>9688.42893</v>
      </c>
    </row>
    <row r="24" spans="2:20" s="10" customFormat="1" ht="27" customHeight="1" x14ac:dyDescent="0.25">
      <c r="B24" s="13">
        <v>15</v>
      </c>
      <c r="C24" s="126" t="str">
        <f>Orçamento!C156</f>
        <v xml:space="preserve">ÁREA EXTERNA </v>
      </c>
      <c r="D24" s="126"/>
      <c r="E24" s="126"/>
      <c r="F24" s="126"/>
      <c r="G24" s="17">
        <f>Orçamento!L181</f>
        <v>53831.492888269204</v>
      </c>
      <c r="H24" s="16">
        <f t="shared" si="0"/>
        <v>7.4363916948792103E-2</v>
      </c>
      <c r="I24" s="87"/>
      <c r="J24" s="88"/>
      <c r="K24" s="89"/>
      <c r="L24" s="88"/>
      <c r="M24" s="87"/>
      <c r="N24" s="88"/>
      <c r="O24" s="89"/>
      <c r="P24" s="90"/>
      <c r="Q24" s="89"/>
      <c r="R24" s="88"/>
      <c r="S24" s="89">
        <v>1</v>
      </c>
      <c r="T24" s="90">
        <f t="shared" si="6"/>
        <v>53831.492888269204</v>
      </c>
    </row>
    <row r="25" spans="2:20" s="10" customFormat="1" ht="27" customHeight="1" x14ac:dyDescent="0.25">
      <c r="B25" s="91">
        <v>16</v>
      </c>
      <c r="C25" s="127" t="str">
        <f>Orçamento!C182</f>
        <v xml:space="preserve">ACESSIBILIDADE  </v>
      </c>
      <c r="D25" s="127"/>
      <c r="E25" s="127"/>
      <c r="F25" s="127"/>
      <c r="G25" s="92">
        <f>Orçamento!L187</f>
        <v>14445.868375800001</v>
      </c>
      <c r="H25" s="47">
        <f t="shared" si="0"/>
        <v>1.9955815796913762E-2</v>
      </c>
      <c r="I25" s="48"/>
      <c r="J25" s="49"/>
      <c r="K25" s="47"/>
      <c r="L25" s="49"/>
      <c r="M25" s="48"/>
      <c r="N25" s="49"/>
      <c r="O25" s="47"/>
      <c r="P25" s="50"/>
      <c r="Q25" s="47">
        <v>1</v>
      </c>
      <c r="R25" s="49">
        <f t="shared" si="5"/>
        <v>14445.868375800001</v>
      </c>
      <c r="S25" s="47"/>
      <c r="T25" s="50"/>
    </row>
    <row r="26" spans="2:20" s="10" customFormat="1" ht="27" customHeight="1" x14ac:dyDescent="0.25">
      <c r="B26" s="13">
        <v>17</v>
      </c>
      <c r="C26" s="126" t="str">
        <f>Orçamento!C188</f>
        <v>INSTALAÇÕES DO SISTEMA PREVENTIVO CONTRA INCÊNDIO</v>
      </c>
      <c r="D26" s="126"/>
      <c r="E26" s="126"/>
      <c r="F26" s="126"/>
      <c r="G26" s="17">
        <f>Orçamento!L193</f>
        <v>1476.8714550000002</v>
      </c>
      <c r="H26" s="16">
        <f t="shared" si="0"/>
        <v>2.0401802055093053E-3</v>
      </c>
      <c r="I26" s="87"/>
      <c r="J26" s="88"/>
      <c r="K26" s="89"/>
      <c r="L26" s="88"/>
      <c r="M26" s="87"/>
      <c r="N26" s="88"/>
      <c r="O26" s="89"/>
      <c r="P26" s="90"/>
      <c r="Q26" s="89"/>
      <c r="R26" s="88"/>
      <c r="S26" s="89">
        <v>1</v>
      </c>
      <c r="T26" s="90">
        <f t="shared" si="6"/>
        <v>1476.8714550000002</v>
      </c>
    </row>
    <row r="27" spans="2:20" s="10" customFormat="1" ht="27" customHeight="1" x14ac:dyDescent="0.25">
      <c r="B27" s="91">
        <v>18</v>
      </c>
      <c r="C27" s="127" t="str">
        <f>Orçamento!C194</f>
        <v>LIMPEZA FINAL</v>
      </c>
      <c r="D27" s="127"/>
      <c r="E27" s="127"/>
      <c r="F27" s="127"/>
      <c r="G27" s="92">
        <f>Orçamento!L196</f>
        <v>516.31234608</v>
      </c>
      <c r="H27" s="47">
        <f t="shared" si="0"/>
        <v>7.1324435499532744E-4</v>
      </c>
      <c r="I27" s="48"/>
      <c r="J27" s="49"/>
      <c r="K27" s="47"/>
      <c r="L27" s="49"/>
      <c r="M27" s="48"/>
      <c r="N27" s="49"/>
      <c r="O27" s="47"/>
      <c r="P27" s="50"/>
      <c r="Q27" s="47"/>
      <c r="R27" s="49"/>
      <c r="S27" s="47">
        <v>1</v>
      </c>
      <c r="T27" s="50">
        <f t="shared" si="6"/>
        <v>516.31234608</v>
      </c>
    </row>
    <row r="28" spans="2:20" s="10" customFormat="1" ht="26.25" customHeight="1" x14ac:dyDescent="0.25">
      <c r="B28" s="13" t="s">
        <v>42</v>
      </c>
      <c r="C28" s="126"/>
      <c r="D28" s="126"/>
      <c r="E28" s="126"/>
      <c r="F28" s="126"/>
      <c r="G28" s="17">
        <f>SUM(G10:G27)</f>
        <v>723892.64978253131</v>
      </c>
      <c r="H28" s="16">
        <f>SUM(H10:H27)</f>
        <v>1</v>
      </c>
      <c r="I28" s="87"/>
      <c r="J28" s="88"/>
      <c r="K28" s="89"/>
      <c r="L28" s="88"/>
      <c r="M28" s="87"/>
      <c r="N28" s="88"/>
      <c r="O28" s="89"/>
      <c r="P28" s="90"/>
      <c r="Q28" s="89"/>
      <c r="R28" s="88"/>
      <c r="S28" s="89"/>
      <c r="T28" s="90"/>
    </row>
    <row r="29" spans="2:20" s="10" customFormat="1" ht="27" customHeight="1" x14ac:dyDescent="0.25">
      <c r="B29" s="128" t="s">
        <v>32</v>
      </c>
      <c r="C29" s="129"/>
      <c r="D29" s="129"/>
      <c r="E29" s="129"/>
      <c r="F29" s="129"/>
      <c r="G29" s="129"/>
      <c r="H29" s="130"/>
      <c r="I29" s="136">
        <f>SUM(J10:J27)</f>
        <v>51286.02065271289</v>
      </c>
      <c r="J29" s="137"/>
      <c r="K29" s="136">
        <f>SUM(L10:L27)</f>
        <v>147562.94821547621</v>
      </c>
      <c r="L29" s="137"/>
      <c r="M29" s="136">
        <f>SUM(N10:N27)</f>
        <v>162554.95889341118</v>
      </c>
      <c r="N29" s="137"/>
      <c r="O29" s="136">
        <f t="shared" ref="O29" si="7">SUM(P10:P27)</f>
        <v>87120.354305997476</v>
      </c>
      <c r="P29" s="137"/>
      <c r="Q29" s="136">
        <f t="shared" ref="Q29" si="8">SUM(R10:R27)</f>
        <v>182236.22945476029</v>
      </c>
      <c r="R29" s="137"/>
      <c r="S29" s="136">
        <f t="shared" ref="S29" si="9">SUM(T10:T27)</f>
        <v>93132.138260173204</v>
      </c>
      <c r="T29" s="137"/>
    </row>
    <row r="30" spans="2:20" s="10" customFormat="1" ht="27" customHeight="1" x14ac:dyDescent="0.25">
      <c r="B30" s="128" t="s">
        <v>33</v>
      </c>
      <c r="C30" s="129"/>
      <c r="D30" s="129"/>
      <c r="E30" s="129"/>
      <c r="F30" s="129"/>
      <c r="G30" s="129"/>
      <c r="H30" s="130"/>
      <c r="I30" s="131">
        <f>I29/G28</f>
        <v>7.0847549934537971E-2</v>
      </c>
      <c r="J30" s="131"/>
      <c r="K30" s="131">
        <f>K29/G28</f>
        <v>0.20384645190112985</v>
      </c>
      <c r="L30" s="131"/>
      <c r="M30" s="131">
        <f>M29/G28</f>
        <v>0.22455671975982244</v>
      </c>
      <c r="N30" s="131"/>
      <c r="O30" s="131">
        <f>O29/G28</f>
        <v>0.12034982580935143</v>
      </c>
      <c r="P30" s="131"/>
      <c r="Q30" s="131">
        <f>Q29/G28</f>
        <v>0.25174482640417323</v>
      </c>
      <c r="R30" s="131"/>
      <c r="S30" s="131">
        <f>S29/G28</f>
        <v>0.12865462619098503</v>
      </c>
      <c r="T30" s="131"/>
    </row>
    <row r="31" spans="2:20" s="10" customFormat="1" ht="27" customHeight="1" x14ac:dyDescent="0.25">
      <c r="B31" s="128" t="s">
        <v>37</v>
      </c>
      <c r="C31" s="129"/>
      <c r="D31" s="129"/>
      <c r="E31" s="129"/>
      <c r="F31" s="129"/>
      <c r="G31" s="129"/>
      <c r="H31" s="130"/>
      <c r="I31" s="136">
        <f>I29</f>
        <v>51286.02065271289</v>
      </c>
      <c r="J31" s="137"/>
      <c r="K31" s="136">
        <f>I29+K29</f>
        <v>198848.96886818908</v>
      </c>
      <c r="L31" s="137"/>
      <c r="M31" s="136">
        <f>K31+M29</f>
        <v>361403.92776160024</v>
      </c>
      <c r="N31" s="137"/>
      <c r="O31" s="136">
        <f t="shared" ref="O31" si="10">M31+O29</f>
        <v>448524.28206759773</v>
      </c>
      <c r="P31" s="137"/>
      <c r="Q31" s="136">
        <f t="shared" ref="Q31" si="11">O31+Q29</f>
        <v>630760.51152235805</v>
      </c>
      <c r="R31" s="137"/>
      <c r="S31" s="136">
        <f t="shared" ref="S31" si="12">Q31+S29</f>
        <v>723892.6497825312</v>
      </c>
      <c r="T31" s="137"/>
    </row>
    <row r="32" spans="2:20" s="10" customFormat="1" ht="27" customHeight="1" x14ac:dyDescent="0.25">
      <c r="B32" s="128" t="s">
        <v>38</v>
      </c>
      <c r="C32" s="129"/>
      <c r="D32" s="129"/>
      <c r="E32" s="129"/>
      <c r="F32" s="129"/>
      <c r="G32" s="129"/>
      <c r="H32" s="130"/>
      <c r="I32" s="131">
        <f>I30</f>
        <v>7.0847549934537971E-2</v>
      </c>
      <c r="J32" s="131"/>
      <c r="K32" s="131">
        <f>I30+K30</f>
        <v>0.27469400183566783</v>
      </c>
      <c r="L32" s="131"/>
      <c r="M32" s="131">
        <f>K32+M30</f>
        <v>0.49925072159549028</v>
      </c>
      <c r="N32" s="131"/>
      <c r="O32" s="131">
        <f>M32+O30</f>
        <v>0.61960054740484172</v>
      </c>
      <c r="P32" s="131"/>
      <c r="Q32" s="131">
        <f>O32+Q30</f>
        <v>0.87134537380901489</v>
      </c>
      <c r="R32" s="131"/>
      <c r="S32" s="131">
        <f>Q32+S30</f>
        <v>0.99999999999999989</v>
      </c>
      <c r="T32" s="131"/>
    </row>
    <row r="33" spans="2:78" s="68" customFormat="1" ht="31.5" customHeight="1" x14ac:dyDescent="0.25">
      <c r="I33" s="69"/>
      <c r="J33" s="70"/>
      <c r="L33" s="70"/>
      <c r="M33" s="71"/>
      <c r="N33" s="81"/>
      <c r="O33" s="71"/>
      <c r="P33" s="81"/>
      <c r="Q33" s="71"/>
      <c r="R33" s="81"/>
      <c r="S33" s="71"/>
      <c r="T33" s="8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</row>
    <row r="34" spans="2:78" s="68" customFormat="1" ht="33" customHeight="1" x14ac:dyDescent="0.25">
      <c r="B34" s="125" t="s">
        <v>463</v>
      </c>
      <c r="C34" s="125"/>
      <c r="D34" s="125"/>
      <c r="E34" s="125"/>
      <c r="F34" s="125"/>
      <c r="G34" s="72"/>
      <c r="H34" s="72"/>
      <c r="I34" s="73"/>
      <c r="J34" s="74"/>
      <c r="K34" s="72"/>
      <c r="L34" s="70"/>
      <c r="M34" s="71"/>
      <c r="N34" s="81"/>
      <c r="O34" s="71"/>
      <c r="P34" s="81"/>
      <c r="Q34" s="71"/>
      <c r="R34" s="81"/>
      <c r="S34" s="71"/>
      <c r="T34" s="8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</row>
    <row r="35" spans="2:78" s="10" customFormat="1" ht="23.25" customHeight="1" x14ac:dyDescent="0.25">
      <c r="B35" s="57"/>
      <c r="C35" s="57"/>
      <c r="D35" s="57"/>
      <c r="E35" s="57"/>
      <c r="F35" s="57"/>
      <c r="G35" s="57"/>
      <c r="H35" s="57"/>
      <c r="I35" s="57"/>
      <c r="J35" s="82"/>
      <c r="K35" s="57"/>
      <c r="L35" s="82"/>
      <c r="M35" s="57"/>
      <c r="N35" s="82"/>
      <c r="O35" s="57"/>
      <c r="P35" s="82"/>
      <c r="R35" s="83"/>
      <c r="T35" s="83"/>
    </row>
    <row r="36" spans="2:78" ht="21.75" customHeight="1" x14ac:dyDescent="0.25">
      <c r="G36" s="77"/>
      <c r="H36" s="77"/>
      <c r="I36" s="77"/>
      <c r="J36" s="84"/>
      <c r="K36" s="77"/>
      <c r="L36" s="84"/>
      <c r="M36" s="77"/>
      <c r="N36" s="84"/>
      <c r="O36" s="77"/>
      <c r="P36" s="84"/>
      <c r="R36" s="85"/>
      <c r="T36" s="85"/>
    </row>
    <row r="37" spans="2:78" ht="20.25" customHeight="1" x14ac:dyDescent="0.25">
      <c r="F37" s="78" t="s">
        <v>41</v>
      </c>
      <c r="G37" s="78"/>
      <c r="H37" s="78"/>
      <c r="I37" s="78"/>
      <c r="J37" s="86"/>
      <c r="K37" s="79" t="s">
        <v>41</v>
      </c>
      <c r="L37" s="86"/>
      <c r="M37" s="78"/>
      <c r="N37" s="86"/>
      <c r="O37" s="77"/>
      <c r="P37" s="84"/>
      <c r="R37" s="85"/>
      <c r="T37" s="85"/>
    </row>
    <row r="38" spans="2:78" ht="20.25" customHeight="1" x14ac:dyDescent="0.25">
      <c r="F38" s="78" t="s">
        <v>40</v>
      </c>
      <c r="G38" s="78"/>
      <c r="H38" s="78"/>
      <c r="I38" s="78"/>
      <c r="J38" s="86"/>
      <c r="K38" s="79" t="s">
        <v>76</v>
      </c>
      <c r="L38" s="86"/>
      <c r="M38" s="78"/>
      <c r="N38" s="86"/>
      <c r="O38" s="77"/>
      <c r="P38" s="84"/>
      <c r="R38" s="85"/>
      <c r="T38" s="85"/>
    </row>
    <row r="39" spans="2:78" ht="20.25" customHeight="1" x14ac:dyDescent="0.25">
      <c r="F39" s="78" t="s">
        <v>43</v>
      </c>
      <c r="G39" s="78"/>
      <c r="H39" s="78"/>
      <c r="I39" s="78"/>
      <c r="J39" s="86"/>
      <c r="K39" s="79" t="s">
        <v>464</v>
      </c>
      <c r="L39" s="86"/>
      <c r="M39" s="78"/>
      <c r="N39" s="86"/>
      <c r="O39" s="77"/>
      <c r="P39" s="84"/>
      <c r="R39" s="85"/>
      <c r="T39" s="85"/>
    </row>
    <row r="40" spans="2:78" ht="20.25" customHeight="1" x14ac:dyDescent="0.25">
      <c r="F40" s="78" t="s">
        <v>19</v>
      </c>
      <c r="G40" s="78"/>
      <c r="H40" s="78"/>
      <c r="I40" s="78"/>
      <c r="J40" s="86"/>
      <c r="K40" s="79" t="s">
        <v>465</v>
      </c>
      <c r="L40" s="86"/>
      <c r="M40" s="78"/>
      <c r="N40" s="86"/>
      <c r="O40" s="77"/>
      <c r="P40" s="84"/>
      <c r="R40" s="85"/>
      <c r="T40" s="85"/>
    </row>
    <row r="41" spans="2:78" ht="20.25" customHeight="1" x14ac:dyDescent="0.25">
      <c r="F41" s="78" t="s">
        <v>20</v>
      </c>
      <c r="G41" s="78"/>
      <c r="H41" s="78"/>
      <c r="I41" s="78"/>
      <c r="J41" s="86"/>
      <c r="K41" s="79"/>
      <c r="L41" s="86"/>
      <c r="M41" s="78"/>
      <c r="N41" s="86"/>
      <c r="O41" s="77"/>
      <c r="P41" s="84"/>
      <c r="R41" s="85"/>
      <c r="T41" s="85"/>
    </row>
    <row r="42" spans="2:78" ht="15" customHeight="1" x14ac:dyDescent="0.25">
      <c r="G42" s="77"/>
      <c r="H42" s="77"/>
      <c r="I42" s="77"/>
      <c r="J42" s="84"/>
      <c r="K42" s="77"/>
      <c r="L42" s="84"/>
      <c r="M42" s="77"/>
      <c r="N42" s="84"/>
      <c r="O42" s="77"/>
      <c r="P42" s="84"/>
      <c r="R42" s="85"/>
      <c r="T42" s="85"/>
    </row>
  </sheetData>
  <dataConsolidate/>
  <mergeCells count="65">
    <mergeCell ref="O32:P32"/>
    <mergeCell ref="O8:P8"/>
    <mergeCell ref="Q8:R8"/>
    <mergeCell ref="O29:P29"/>
    <mergeCell ref="Q29:R29"/>
    <mergeCell ref="O30:P30"/>
    <mergeCell ref="Q30:R30"/>
    <mergeCell ref="K8:L8"/>
    <mergeCell ref="B29:H29"/>
    <mergeCell ref="E3:T3"/>
    <mergeCell ref="M8:N8"/>
    <mergeCell ref="M29:N29"/>
    <mergeCell ref="I29:J29"/>
    <mergeCell ref="C12:F12"/>
    <mergeCell ref="C14:F14"/>
    <mergeCell ref="I7:T7"/>
    <mergeCell ref="S8:T8"/>
    <mergeCell ref="H7:H9"/>
    <mergeCell ref="G7:G9"/>
    <mergeCell ref="C7:F9"/>
    <mergeCell ref="E4:T4"/>
    <mergeCell ref="C28:F28"/>
    <mergeCell ref="E5:T5"/>
    <mergeCell ref="I32:J32"/>
    <mergeCell ref="S29:T29"/>
    <mergeCell ref="I31:J31"/>
    <mergeCell ref="K29:L29"/>
    <mergeCell ref="K30:L30"/>
    <mergeCell ref="K31:L31"/>
    <mergeCell ref="K32:L32"/>
    <mergeCell ref="M30:N30"/>
    <mergeCell ref="M31:N31"/>
    <mergeCell ref="M32:N32"/>
    <mergeCell ref="S30:T30"/>
    <mergeCell ref="S31:T31"/>
    <mergeCell ref="S32:T32"/>
    <mergeCell ref="Q32:R32"/>
    <mergeCell ref="O31:P31"/>
    <mergeCell ref="Q31:R31"/>
    <mergeCell ref="C15:F15"/>
    <mergeCell ref="C16:F16"/>
    <mergeCell ref="I30:J30"/>
    <mergeCell ref="B1:C5"/>
    <mergeCell ref="D1:T1"/>
    <mergeCell ref="C13:F13"/>
    <mergeCell ref="C10:F10"/>
    <mergeCell ref="I8:J8"/>
    <mergeCell ref="C11:F11"/>
    <mergeCell ref="B7:B9"/>
    <mergeCell ref="C17:F17"/>
    <mergeCell ref="C18:F18"/>
    <mergeCell ref="D2:T2"/>
    <mergeCell ref="C19:F19"/>
    <mergeCell ref="C20:F20"/>
    <mergeCell ref="C21:F21"/>
    <mergeCell ref="C22:F22"/>
    <mergeCell ref="C23:F23"/>
    <mergeCell ref="B34:F34"/>
    <mergeCell ref="C24:F24"/>
    <mergeCell ref="C25:F25"/>
    <mergeCell ref="C26:F26"/>
    <mergeCell ref="C27:F27"/>
    <mergeCell ref="B30:H30"/>
    <mergeCell ref="B32:H32"/>
    <mergeCell ref="B31:H31"/>
  </mergeCells>
  <printOptions horizontalCentered="1"/>
  <pageMargins left="0.27559055118110237" right="0.27559055118110237" top="0.39370078740157483" bottom="0.59055118110236227" header="0.31496062992125984" footer="0.31496062992125984"/>
  <pageSetup paperSize="9" scale="52" fitToHeight="0" orientation="landscape" r:id="rId1"/>
  <headerFooter>
    <oddFooter>&amp;CTR CONSTRUTORA E ENGENHARIA LTDA - CRONOGRAMA FÍSICO FINANCEIRO, COMPLEXO ESCOLA ESPECIAL - BLOCO 01 - 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Z367"/>
  <sheetViews>
    <sheetView tabSelected="1" zoomScale="78" zoomScaleNormal="78" workbookViewId="0">
      <selection activeCell="C11" sqref="C11:F11"/>
    </sheetView>
  </sheetViews>
  <sheetFormatPr defaultColWidth="9.140625" defaultRowHeight="15" x14ac:dyDescent="0.25"/>
  <cols>
    <col min="1" max="1" width="0.85546875" style="20" customWidth="1"/>
    <col min="2" max="3" width="8.85546875" style="28" customWidth="1"/>
    <col min="4" max="4" width="17.7109375" style="28" customWidth="1"/>
    <col min="5" max="5" width="12.42578125" style="28" bestFit="1" customWidth="1"/>
    <col min="6" max="6" width="97.42578125" style="28" customWidth="1"/>
    <col min="7" max="7" width="14.85546875" style="29" customWidth="1"/>
    <col min="8" max="8" width="7.85546875" style="28" customWidth="1"/>
    <col min="9" max="9" width="11.7109375" style="37" customWidth="1"/>
    <col min="10" max="10" width="19.7109375" style="34" customWidth="1"/>
    <col min="11" max="11" width="18.85546875" style="28" customWidth="1"/>
    <col min="12" max="12" width="18.5703125" style="28" customWidth="1"/>
    <col min="13" max="16384" width="9.140625" style="20"/>
  </cols>
  <sheetData>
    <row r="1" spans="2:12" ht="30" customHeight="1" x14ac:dyDescent="0.25">
      <c r="B1" s="121"/>
      <c r="C1" s="121"/>
      <c r="D1" s="146" t="s">
        <v>384</v>
      </c>
      <c r="E1" s="147"/>
      <c r="F1" s="147"/>
      <c r="G1" s="147"/>
      <c r="H1" s="147"/>
      <c r="I1" s="147"/>
      <c r="J1" s="147"/>
      <c r="K1" s="147"/>
      <c r="L1" s="148"/>
    </row>
    <row r="2" spans="2:12" ht="6" customHeight="1" x14ac:dyDescent="0.25">
      <c r="B2" s="121"/>
      <c r="C2" s="121"/>
      <c r="D2" s="116"/>
      <c r="E2" s="117"/>
      <c r="F2" s="117"/>
      <c r="G2" s="117"/>
      <c r="H2" s="117"/>
      <c r="I2" s="117"/>
      <c r="J2" s="118"/>
      <c r="K2" s="118"/>
      <c r="L2" s="119"/>
    </row>
    <row r="3" spans="2:12" ht="26.25" customHeight="1" x14ac:dyDescent="0.25">
      <c r="B3" s="121"/>
      <c r="C3" s="121"/>
      <c r="D3" s="61" t="s">
        <v>462</v>
      </c>
      <c r="E3" s="122" t="s">
        <v>481</v>
      </c>
      <c r="F3" s="123"/>
      <c r="G3" s="63">
        <v>1.2273000000000001</v>
      </c>
      <c r="H3" s="64"/>
      <c r="I3" s="65"/>
      <c r="J3" s="62" t="s">
        <v>23</v>
      </c>
      <c r="K3" s="120">
        <v>0.2273</v>
      </c>
      <c r="L3" s="120"/>
    </row>
    <row r="4" spans="2:12" ht="26.25" customHeight="1" x14ac:dyDescent="0.25">
      <c r="B4" s="121"/>
      <c r="C4" s="121"/>
      <c r="D4" s="61" t="s">
        <v>10</v>
      </c>
      <c r="E4" s="96" t="s">
        <v>409</v>
      </c>
      <c r="F4" s="97"/>
      <c r="G4" s="66"/>
      <c r="H4" s="64"/>
      <c r="I4" s="65"/>
      <c r="J4" s="62" t="s">
        <v>22</v>
      </c>
      <c r="K4" s="109" t="s">
        <v>25</v>
      </c>
      <c r="L4" s="109"/>
    </row>
    <row r="5" spans="2:12" ht="26.25" customHeight="1" x14ac:dyDescent="0.25">
      <c r="B5" s="121"/>
      <c r="C5" s="121"/>
      <c r="D5" s="61" t="s">
        <v>4</v>
      </c>
      <c r="E5" s="96" t="s">
        <v>385</v>
      </c>
      <c r="F5" s="97"/>
      <c r="G5" s="66"/>
      <c r="H5" s="67"/>
      <c r="I5" s="65"/>
      <c r="J5" s="62" t="s">
        <v>21</v>
      </c>
      <c r="K5" s="108">
        <v>45292</v>
      </c>
      <c r="L5" s="109"/>
    </row>
    <row r="6" spans="2:12" ht="10.5" customHeight="1" x14ac:dyDescent="0.25">
      <c r="B6" s="112"/>
      <c r="C6" s="113"/>
      <c r="D6" s="113"/>
      <c r="E6" s="114"/>
      <c r="F6" s="114"/>
      <c r="G6" s="114"/>
      <c r="H6" s="114"/>
      <c r="I6" s="114"/>
      <c r="J6" s="113"/>
      <c r="K6" s="113"/>
      <c r="L6" s="115"/>
    </row>
    <row r="7" spans="2:12" s="21" customFormat="1" ht="54.75" customHeight="1" x14ac:dyDescent="0.25">
      <c r="B7" s="51" t="s">
        <v>11</v>
      </c>
      <c r="C7" s="124" t="s">
        <v>79</v>
      </c>
      <c r="D7" s="124"/>
      <c r="E7" s="124"/>
      <c r="F7" s="124"/>
      <c r="G7" s="52" t="s">
        <v>13</v>
      </c>
      <c r="H7" s="52" t="s">
        <v>2</v>
      </c>
      <c r="I7" s="53" t="s">
        <v>3</v>
      </c>
      <c r="J7" s="54" t="s">
        <v>17</v>
      </c>
      <c r="K7" s="52" t="s">
        <v>14</v>
      </c>
      <c r="L7" s="52" t="s">
        <v>15</v>
      </c>
    </row>
    <row r="8" spans="2:12" s="21" customFormat="1" ht="33" customHeight="1" x14ac:dyDescent="0.25">
      <c r="B8" s="14">
        <v>1</v>
      </c>
      <c r="C8" s="142" t="s">
        <v>80</v>
      </c>
      <c r="D8" s="143"/>
      <c r="E8" s="143"/>
      <c r="F8" s="143"/>
      <c r="G8" s="143"/>
      <c r="H8" s="143"/>
      <c r="I8" s="143"/>
      <c r="J8" s="143"/>
      <c r="K8" s="143"/>
      <c r="L8" s="144"/>
    </row>
    <row r="9" spans="2:12" s="21" customFormat="1" ht="39.75" customHeight="1" x14ac:dyDescent="0.25">
      <c r="B9" s="13" t="s">
        <v>82</v>
      </c>
      <c r="C9" s="93" t="s">
        <v>386</v>
      </c>
      <c r="D9" s="94"/>
      <c r="E9" s="94"/>
      <c r="F9" s="95"/>
      <c r="G9" s="12">
        <v>92415</v>
      </c>
      <c r="H9" s="12" t="s">
        <v>50</v>
      </c>
      <c r="I9" s="18">
        <v>15.73</v>
      </c>
      <c r="J9" s="41">
        <v>140.66999999999999</v>
      </c>
      <c r="K9" s="44">
        <f t="shared" ref="K9:K17" si="0">J9*$G$3</f>
        <v>172.64429099999998</v>
      </c>
      <c r="L9" s="45">
        <f>K9*I9</f>
        <v>2715.6946974299999</v>
      </c>
    </row>
    <row r="10" spans="2:12" s="21" customFormat="1" ht="39.75" customHeight="1" x14ac:dyDescent="0.25">
      <c r="B10" s="13" t="s">
        <v>0</v>
      </c>
      <c r="C10" s="93" t="s">
        <v>222</v>
      </c>
      <c r="D10" s="94"/>
      <c r="E10" s="94"/>
      <c r="F10" s="95"/>
      <c r="G10" s="12">
        <v>92915</v>
      </c>
      <c r="H10" s="12" t="s">
        <v>51</v>
      </c>
      <c r="I10" s="18">
        <v>20</v>
      </c>
      <c r="J10" s="41">
        <v>17.97</v>
      </c>
      <c r="K10" s="44">
        <f t="shared" si="0"/>
        <v>22.054580999999999</v>
      </c>
      <c r="L10" s="45">
        <f t="shared" ref="L10" si="1">K10*I10</f>
        <v>441.09161999999998</v>
      </c>
    </row>
    <row r="11" spans="2:12" s="21" customFormat="1" ht="39.75" customHeight="1" x14ac:dyDescent="0.25">
      <c r="B11" s="13" t="s">
        <v>83</v>
      </c>
      <c r="C11" s="93" t="s">
        <v>224</v>
      </c>
      <c r="D11" s="94"/>
      <c r="E11" s="94"/>
      <c r="F11" s="95"/>
      <c r="G11" s="12">
        <v>92919</v>
      </c>
      <c r="H11" s="12" t="s">
        <v>51</v>
      </c>
      <c r="I11" s="18">
        <v>20</v>
      </c>
      <c r="J11" s="41">
        <v>11.81</v>
      </c>
      <c r="K11" s="44">
        <f t="shared" si="0"/>
        <v>14.494413000000002</v>
      </c>
      <c r="L11" s="45">
        <f t="shared" ref="L11:L17" si="2">I11*K11</f>
        <v>289.88826000000006</v>
      </c>
    </row>
    <row r="12" spans="2:12" s="21" customFormat="1" ht="39.75" customHeight="1" x14ac:dyDescent="0.25">
      <c r="B12" s="13" t="s">
        <v>84</v>
      </c>
      <c r="C12" s="93" t="s">
        <v>387</v>
      </c>
      <c r="D12" s="94"/>
      <c r="E12" s="94"/>
      <c r="F12" s="95"/>
      <c r="G12" s="12">
        <v>92921</v>
      </c>
      <c r="H12" s="12" t="s">
        <v>51</v>
      </c>
      <c r="I12" s="18">
        <v>50</v>
      </c>
      <c r="J12" s="41">
        <v>9.61</v>
      </c>
      <c r="K12" s="44">
        <f t="shared" si="0"/>
        <v>11.794352999999999</v>
      </c>
      <c r="L12" s="45">
        <f t="shared" si="2"/>
        <v>589.71764999999994</v>
      </c>
    </row>
    <row r="13" spans="2:12" s="21" customFormat="1" ht="39.75" customHeight="1" x14ac:dyDescent="0.25">
      <c r="B13" s="13" t="s">
        <v>85</v>
      </c>
      <c r="C13" s="93" t="s">
        <v>229</v>
      </c>
      <c r="D13" s="94"/>
      <c r="E13" s="94"/>
      <c r="F13" s="95"/>
      <c r="G13" s="12">
        <v>103688</v>
      </c>
      <c r="H13" s="12" t="s">
        <v>49</v>
      </c>
      <c r="I13" s="18">
        <v>1</v>
      </c>
      <c r="J13" s="41">
        <v>778.48</v>
      </c>
      <c r="K13" s="44">
        <f t="shared" si="0"/>
        <v>955.42850400000009</v>
      </c>
      <c r="L13" s="45">
        <f t="shared" si="2"/>
        <v>955.42850400000009</v>
      </c>
    </row>
    <row r="14" spans="2:12" s="21" customFormat="1" ht="39.75" customHeight="1" x14ac:dyDescent="0.25">
      <c r="B14" s="13" t="s">
        <v>86</v>
      </c>
      <c r="C14" s="93" t="s">
        <v>388</v>
      </c>
      <c r="D14" s="94"/>
      <c r="E14" s="94"/>
      <c r="F14" s="95"/>
      <c r="G14" s="12">
        <v>88240</v>
      </c>
      <c r="H14" s="12" t="s">
        <v>45</v>
      </c>
      <c r="I14" s="18">
        <v>1</v>
      </c>
      <c r="J14" s="41">
        <v>27.17</v>
      </c>
      <c r="K14" s="44">
        <f t="shared" si="0"/>
        <v>33.345741000000004</v>
      </c>
      <c r="L14" s="45">
        <f t="shared" si="2"/>
        <v>33.345741000000004</v>
      </c>
    </row>
    <row r="15" spans="2:12" s="21" customFormat="1" ht="39.75" customHeight="1" x14ac:dyDescent="0.25">
      <c r="B15" s="13" t="s">
        <v>87</v>
      </c>
      <c r="C15" s="93" t="s">
        <v>389</v>
      </c>
      <c r="D15" s="94"/>
      <c r="E15" s="94"/>
      <c r="F15" s="95"/>
      <c r="G15" s="12">
        <v>88278</v>
      </c>
      <c r="H15" s="12" t="s">
        <v>45</v>
      </c>
      <c r="I15" s="18">
        <v>1</v>
      </c>
      <c r="J15" s="41">
        <v>30.19</v>
      </c>
      <c r="K15" s="44">
        <f t="shared" si="0"/>
        <v>37.052187000000004</v>
      </c>
      <c r="L15" s="45">
        <f t="shared" si="2"/>
        <v>37.052187000000004</v>
      </c>
    </row>
    <row r="16" spans="2:12" s="21" customFormat="1" ht="39.75" customHeight="1" x14ac:dyDescent="0.25">
      <c r="B16" s="13" t="s">
        <v>88</v>
      </c>
      <c r="C16" s="93" t="s">
        <v>390</v>
      </c>
      <c r="D16" s="94"/>
      <c r="E16" s="94"/>
      <c r="F16" s="95"/>
      <c r="G16" s="12">
        <v>93287</v>
      </c>
      <c r="H16" s="12" t="s">
        <v>45</v>
      </c>
      <c r="I16" s="18">
        <v>0.5</v>
      </c>
      <c r="J16" s="41">
        <v>352.24</v>
      </c>
      <c r="K16" s="44">
        <f t="shared" si="0"/>
        <v>432.30415200000004</v>
      </c>
      <c r="L16" s="45">
        <f t="shared" si="2"/>
        <v>216.15207600000002</v>
      </c>
    </row>
    <row r="17" spans="2:12" s="21" customFormat="1" ht="39.75" customHeight="1" x14ac:dyDescent="0.25">
      <c r="B17" s="13" t="s">
        <v>89</v>
      </c>
      <c r="C17" s="93" t="s">
        <v>391</v>
      </c>
      <c r="D17" s="94"/>
      <c r="E17" s="94"/>
      <c r="F17" s="95"/>
      <c r="G17" s="12">
        <v>93288</v>
      </c>
      <c r="H17" s="12" t="s">
        <v>81</v>
      </c>
      <c r="I17" s="18">
        <v>0.25</v>
      </c>
      <c r="J17" s="41">
        <v>186.66</v>
      </c>
      <c r="K17" s="44">
        <f t="shared" si="0"/>
        <v>229.087818</v>
      </c>
      <c r="L17" s="45">
        <f t="shared" si="2"/>
        <v>57.2719545</v>
      </c>
    </row>
    <row r="18" spans="2:12" s="21" customFormat="1" ht="33" customHeight="1" x14ac:dyDescent="0.25">
      <c r="B18" s="99" t="s">
        <v>466</v>
      </c>
      <c r="C18" s="100"/>
      <c r="D18" s="100"/>
      <c r="E18" s="100"/>
      <c r="F18" s="100"/>
      <c r="G18" s="100"/>
      <c r="H18" s="100"/>
      <c r="I18" s="100"/>
      <c r="J18" s="100"/>
      <c r="K18" s="101"/>
      <c r="L18" s="60">
        <f>SUM(L9:L17)</f>
        <v>5335.6426899300013</v>
      </c>
    </row>
    <row r="19" spans="2:12" s="21" customFormat="1" ht="33" customHeight="1" x14ac:dyDescent="0.25">
      <c r="B19" s="14">
        <v>2</v>
      </c>
      <c r="C19" s="142" t="s">
        <v>112</v>
      </c>
      <c r="D19" s="143"/>
      <c r="E19" s="143"/>
      <c r="F19" s="143"/>
      <c r="G19" s="143"/>
      <c r="H19" s="143"/>
      <c r="I19" s="143"/>
      <c r="J19" s="143"/>
      <c r="K19" s="143"/>
      <c r="L19" s="144"/>
    </row>
    <row r="20" spans="2:12" s="21" customFormat="1" ht="39.75" customHeight="1" x14ac:dyDescent="0.25">
      <c r="B20" s="13" t="s">
        <v>1</v>
      </c>
      <c r="C20" s="93" t="s">
        <v>392</v>
      </c>
      <c r="D20" s="94"/>
      <c r="E20" s="94"/>
      <c r="F20" s="95"/>
      <c r="G20" s="12">
        <v>3993</v>
      </c>
      <c r="H20" s="12" t="s">
        <v>50</v>
      </c>
      <c r="I20" s="18">
        <f>1.5*1.4</f>
        <v>2.0999999999999996</v>
      </c>
      <c r="J20" s="41">
        <v>134.18</v>
      </c>
      <c r="K20" s="44">
        <f t="shared" ref="K20:K30" si="3">J20*$G$3</f>
        <v>164.67911400000003</v>
      </c>
      <c r="L20" s="45">
        <f t="shared" ref="L20:L30" si="4">I20*K20</f>
        <v>345.82613939999999</v>
      </c>
    </row>
    <row r="21" spans="2:12" s="21" customFormat="1" ht="39.75" customHeight="1" x14ac:dyDescent="0.25">
      <c r="B21" s="13" t="s">
        <v>46</v>
      </c>
      <c r="C21" s="93" t="s">
        <v>393</v>
      </c>
      <c r="D21" s="94"/>
      <c r="E21" s="94"/>
      <c r="F21" s="95"/>
      <c r="G21" s="12">
        <v>5069</v>
      </c>
      <c r="H21" s="12" t="s">
        <v>51</v>
      </c>
      <c r="I21" s="18">
        <f>70*0.004</f>
        <v>0.28000000000000003</v>
      </c>
      <c r="J21" s="41">
        <v>15.55</v>
      </c>
      <c r="K21" s="44">
        <f t="shared" si="3"/>
        <v>19.084515000000003</v>
      </c>
      <c r="L21" s="45">
        <f t="shared" si="4"/>
        <v>5.343664200000001</v>
      </c>
    </row>
    <row r="22" spans="2:12" s="21" customFormat="1" ht="39.75" customHeight="1" x14ac:dyDescent="0.25">
      <c r="B22" s="13" t="s">
        <v>352</v>
      </c>
      <c r="C22" s="93" t="s">
        <v>394</v>
      </c>
      <c r="D22" s="94"/>
      <c r="E22" s="94"/>
      <c r="F22" s="95"/>
      <c r="G22" s="12">
        <v>20209</v>
      </c>
      <c r="H22" s="12" t="s">
        <v>110</v>
      </c>
      <c r="I22" s="18">
        <f>1.5+1.5+1.4+1.4+2</f>
        <v>7.8000000000000007</v>
      </c>
      <c r="J22" s="41">
        <v>29.98</v>
      </c>
      <c r="K22" s="44">
        <f t="shared" si="3"/>
        <v>36.794454000000002</v>
      </c>
      <c r="L22" s="45">
        <f t="shared" si="4"/>
        <v>286.99674120000003</v>
      </c>
    </row>
    <row r="23" spans="2:12" s="21" customFormat="1" ht="39.75" customHeight="1" x14ac:dyDescent="0.25">
      <c r="B23" s="13" t="s">
        <v>353</v>
      </c>
      <c r="C23" s="93" t="s">
        <v>395</v>
      </c>
      <c r="D23" s="94"/>
      <c r="E23" s="94"/>
      <c r="F23" s="95"/>
      <c r="G23" s="12">
        <v>88239</v>
      </c>
      <c r="H23" s="12" t="s">
        <v>45</v>
      </c>
      <c r="I23" s="18">
        <v>2</v>
      </c>
      <c r="J23" s="41">
        <v>28.29</v>
      </c>
      <c r="K23" s="44">
        <f t="shared" si="3"/>
        <v>34.720317000000001</v>
      </c>
      <c r="L23" s="45">
        <f t="shared" si="4"/>
        <v>69.440634000000003</v>
      </c>
    </row>
    <row r="24" spans="2:12" s="21" customFormat="1" ht="39.75" customHeight="1" x14ac:dyDescent="0.25">
      <c r="B24" s="13" t="s">
        <v>354</v>
      </c>
      <c r="C24" s="93" t="s">
        <v>396</v>
      </c>
      <c r="D24" s="94"/>
      <c r="E24" s="94"/>
      <c r="F24" s="95"/>
      <c r="G24" s="12">
        <v>88262</v>
      </c>
      <c r="H24" s="12" t="s">
        <v>45</v>
      </c>
      <c r="I24" s="18">
        <v>2</v>
      </c>
      <c r="J24" s="41">
        <v>34.31</v>
      </c>
      <c r="K24" s="44">
        <f t="shared" si="3"/>
        <v>42.108663000000007</v>
      </c>
      <c r="L24" s="45">
        <f t="shared" si="4"/>
        <v>84.217326000000014</v>
      </c>
    </row>
    <row r="25" spans="2:12" s="21" customFormat="1" ht="39.75" customHeight="1" x14ac:dyDescent="0.25">
      <c r="B25" s="13" t="s">
        <v>355</v>
      </c>
      <c r="C25" s="93" t="s">
        <v>397</v>
      </c>
      <c r="D25" s="94"/>
      <c r="E25" s="94"/>
      <c r="F25" s="95"/>
      <c r="G25" s="12">
        <v>91692</v>
      </c>
      <c r="H25" s="12" t="s">
        <v>45</v>
      </c>
      <c r="I25" s="18">
        <v>0.1</v>
      </c>
      <c r="J25" s="41">
        <v>34.01</v>
      </c>
      <c r="K25" s="44">
        <f t="shared" si="3"/>
        <v>41.740473000000001</v>
      </c>
      <c r="L25" s="45">
        <f t="shared" si="4"/>
        <v>4.1740473000000007</v>
      </c>
    </row>
    <row r="26" spans="2:12" s="21" customFormat="1" ht="53.25" customHeight="1" x14ac:dyDescent="0.25">
      <c r="B26" s="13" t="s">
        <v>356</v>
      </c>
      <c r="C26" s="93" t="s">
        <v>398</v>
      </c>
      <c r="D26" s="94"/>
      <c r="E26" s="94"/>
      <c r="F26" s="95"/>
      <c r="G26" s="12">
        <v>20017</v>
      </c>
      <c r="H26" s="12" t="s">
        <v>47</v>
      </c>
      <c r="I26" s="18">
        <f>(1.5+1.5+1.4+1.4)*2</f>
        <v>11.600000000000001</v>
      </c>
      <c r="J26" s="41">
        <v>10.18</v>
      </c>
      <c r="K26" s="44">
        <f t="shared" si="3"/>
        <v>12.493914</v>
      </c>
      <c r="L26" s="45">
        <f t="shared" si="4"/>
        <v>144.92940240000001</v>
      </c>
    </row>
    <row r="27" spans="2:12" s="21" customFormat="1" ht="39.75" customHeight="1" x14ac:dyDescent="0.25">
      <c r="B27" s="13" t="s">
        <v>357</v>
      </c>
      <c r="C27" s="93" t="s">
        <v>404</v>
      </c>
      <c r="D27" s="94"/>
      <c r="E27" s="94"/>
      <c r="F27" s="95"/>
      <c r="G27" s="12">
        <v>100708</v>
      </c>
      <c r="H27" s="12" t="s">
        <v>2</v>
      </c>
      <c r="I27" s="18">
        <v>1</v>
      </c>
      <c r="J27" s="41">
        <v>193.88</v>
      </c>
      <c r="K27" s="44">
        <f t="shared" si="3"/>
        <v>237.94892400000001</v>
      </c>
      <c r="L27" s="45">
        <f t="shared" si="4"/>
        <v>237.94892400000001</v>
      </c>
    </row>
    <row r="28" spans="2:12" s="21" customFormat="1" ht="39.75" customHeight="1" x14ac:dyDescent="0.25">
      <c r="B28" s="13" t="s">
        <v>358</v>
      </c>
      <c r="C28" s="93" t="s">
        <v>399</v>
      </c>
      <c r="D28" s="94"/>
      <c r="E28" s="94"/>
      <c r="F28" s="95"/>
      <c r="G28" s="12">
        <v>4777</v>
      </c>
      <c r="H28" s="12" t="s">
        <v>51</v>
      </c>
      <c r="I28" s="18">
        <f>1.52*6</f>
        <v>9.120000000000001</v>
      </c>
      <c r="J28" s="41">
        <v>7.36</v>
      </c>
      <c r="K28" s="44">
        <f t="shared" si="3"/>
        <v>9.0329280000000001</v>
      </c>
      <c r="L28" s="45">
        <f t="shared" si="4"/>
        <v>82.380303360000013</v>
      </c>
    </row>
    <row r="29" spans="2:12" s="21" customFormat="1" ht="39.75" customHeight="1" x14ac:dyDescent="0.25">
      <c r="B29" s="13" t="s">
        <v>359</v>
      </c>
      <c r="C29" s="93" t="s">
        <v>400</v>
      </c>
      <c r="D29" s="94"/>
      <c r="E29" s="94"/>
      <c r="F29" s="95"/>
      <c r="G29" s="12">
        <v>7568</v>
      </c>
      <c r="H29" s="12" t="s">
        <v>2</v>
      </c>
      <c r="I29" s="18">
        <v>12</v>
      </c>
      <c r="J29" s="41">
        <v>0.49</v>
      </c>
      <c r="K29" s="44">
        <f t="shared" si="3"/>
        <v>0.60137700000000005</v>
      </c>
      <c r="L29" s="45">
        <f t="shared" si="4"/>
        <v>7.2165240000000006</v>
      </c>
    </row>
    <row r="30" spans="2:12" s="21" customFormat="1" ht="39.75" customHeight="1" x14ac:dyDescent="0.25">
      <c r="B30" s="13" t="s">
        <v>360</v>
      </c>
      <c r="C30" s="93" t="s">
        <v>401</v>
      </c>
      <c r="D30" s="94"/>
      <c r="E30" s="94"/>
      <c r="F30" s="95"/>
      <c r="G30" s="12">
        <v>90801</v>
      </c>
      <c r="H30" s="12" t="s">
        <v>2</v>
      </c>
      <c r="I30" s="18">
        <v>1</v>
      </c>
      <c r="J30" s="41">
        <v>407.2</v>
      </c>
      <c r="K30" s="44">
        <f t="shared" si="3"/>
        <v>499.75656000000004</v>
      </c>
      <c r="L30" s="45">
        <f t="shared" si="4"/>
        <v>499.75656000000004</v>
      </c>
    </row>
    <row r="31" spans="2:12" s="21" customFormat="1" ht="33" customHeight="1" x14ac:dyDescent="0.25">
      <c r="B31" s="99" t="s">
        <v>467</v>
      </c>
      <c r="C31" s="100"/>
      <c r="D31" s="100"/>
      <c r="E31" s="100"/>
      <c r="F31" s="100"/>
      <c r="G31" s="100"/>
      <c r="H31" s="100"/>
      <c r="I31" s="100"/>
      <c r="J31" s="100"/>
      <c r="K31" s="101"/>
      <c r="L31" s="60">
        <f>SUM(L20:L30)</f>
        <v>1768.2302658600001</v>
      </c>
    </row>
    <row r="32" spans="2:12" s="21" customFormat="1" ht="33" customHeight="1" x14ac:dyDescent="0.25">
      <c r="B32" s="14">
        <v>3</v>
      </c>
      <c r="C32" s="142" t="s">
        <v>111</v>
      </c>
      <c r="D32" s="143"/>
      <c r="E32" s="143"/>
      <c r="F32" s="143"/>
      <c r="G32" s="143"/>
      <c r="H32" s="143"/>
      <c r="I32" s="143"/>
      <c r="J32" s="143"/>
      <c r="K32" s="143"/>
      <c r="L32" s="144"/>
    </row>
    <row r="33" spans="2:12" s="21" customFormat="1" ht="39.75" customHeight="1" x14ac:dyDescent="0.25">
      <c r="B33" s="13" t="s">
        <v>149</v>
      </c>
      <c r="C33" s="93" t="s">
        <v>392</v>
      </c>
      <c r="D33" s="94"/>
      <c r="E33" s="94"/>
      <c r="F33" s="95"/>
      <c r="G33" s="12">
        <v>3993</v>
      </c>
      <c r="H33" s="12" t="s">
        <v>50</v>
      </c>
      <c r="I33" s="18">
        <f>1.5*2.1</f>
        <v>3.1500000000000004</v>
      </c>
      <c r="J33" s="41">
        <v>134.18</v>
      </c>
      <c r="K33" s="44">
        <f t="shared" ref="K33:K43" si="5">J33*$G$3</f>
        <v>164.67911400000003</v>
      </c>
      <c r="L33" s="45">
        <f t="shared" ref="L33:L43" si="6">I33*K33</f>
        <v>518.73920910000015</v>
      </c>
    </row>
    <row r="34" spans="2:12" s="21" customFormat="1" ht="39.75" customHeight="1" x14ac:dyDescent="0.25">
      <c r="B34" s="13" t="s">
        <v>5</v>
      </c>
      <c r="C34" s="93" t="s">
        <v>402</v>
      </c>
      <c r="D34" s="94"/>
      <c r="E34" s="94"/>
      <c r="F34" s="95"/>
      <c r="G34" s="12">
        <v>5068</v>
      </c>
      <c r="H34" s="12" t="s">
        <v>51</v>
      </c>
      <c r="I34" s="18">
        <f>90*0.004</f>
        <v>0.36</v>
      </c>
      <c r="J34" s="41">
        <v>15.26</v>
      </c>
      <c r="K34" s="44">
        <f t="shared" si="5"/>
        <v>18.728598000000002</v>
      </c>
      <c r="L34" s="45">
        <f t="shared" si="6"/>
        <v>6.7422952800000004</v>
      </c>
    </row>
    <row r="35" spans="2:12" s="21" customFormat="1" ht="39.75" customHeight="1" x14ac:dyDescent="0.25">
      <c r="B35" s="13" t="s">
        <v>52</v>
      </c>
      <c r="C35" s="93" t="s">
        <v>403</v>
      </c>
      <c r="D35" s="94"/>
      <c r="E35" s="94"/>
      <c r="F35" s="95"/>
      <c r="G35" s="12">
        <v>20209</v>
      </c>
      <c r="H35" s="12" t="s">
        <v>110</v>
      </c>
      <c r="I35" s="18">
        <f>2.1+2.1+1.5+1.5+3+1.5</f>
        <v>11.7</v>
      </c>
      <c r="J35" s="41">
        <v>29.98</v>
      </c>
      <c r="K35" s="44">
        <f t="shared" si="5"/>
        <v>36.794454000000002</v>
      </c>
      <c r="L35" s="45">
        <f t="shared" si="6"/>
        <v>430.49511180000002</v>
      </c>
    </row>
    <row r="36" spans="2:12" s="21" customFormat="1" ht="39.75" customHeight="1" x14ac:dyDescent="0.25">
      <c r="B36" s="13" t="s">
        <v>361</v>
      </c>
      <c r="C36" s="93" t="s">
        <v>395</v>
      </c>
      <c r="D36" s="94"/>
      <c r="E36" s="94"/>
      <c r="F36" s="95"/>
      <c r="G36" s="12">
        <v>88239</v>
      </c>
      <c r="H36" s="12" t="s">
        <v>45</v>
      </c>
      <c r="I36" s="18">
        <v>3</v>
      </c>
      <c r="J36" s="41">
        <v>28.29</v>
      </c>
      <c r="K36" s="44">
        <f t="shared" si="5"/>
        <v>34.720317000000001</v>
      </c>
      <c r="L36" s="45">
        <f t="shared" si="6"/>
        <v>104.16095100000001</v>
      </c>
    </row>
    <row r="37" spans="2:12" s="21" customFormat="1" ht="39.75" customHeight="1" x14ac:dyDescent="0.25">
      <c r="B37" s="13" t="s">
        <v>362</v>
      </c>
      <c r="C37" s="93" t="s">
        <v>396</v>
      </c>
      <c r="D37" s="94"/>
      <c r="E37" s="94"/>
      <c r="F37" s="95"/>
      <c r="G37" s="12">
        <v>88262</v>
      </c>
      <c r="H37" s="12" t="s">
        <v>45</v>
      </c>
      <c r="I37" s="18">
        <v>3</v>
      </c>
      <c r="J37" s="41">
        <v>34.31</v>
      </c>
      <c r="K37" s="44">
        <f t="shared" si="5"/>
        <v>42.108663000000007</v>
      </c>
      <c r="L37" s="45">
        <f t="shared" si="6"/>
        <v>126.32598900000002</v>
      </c>
    </row>
    <row r="38" spans="2:12" s="21" customFormat="1" ht="39.75" customHeight="1" x14ac:dyDescent="0.25">
      <c r="B38" s="13" t="s">
        <v>363</v>
      </c>
      <c r="C38" s="93" t="s">
        <v>397</v>
      </c>
      <c r="D38" s="94"/>
      <c r="E38" s="94"/>
      <c r="F38" s="95"/>
      <c r="G38" s="12">
        <v>91692</v>
      </c>
      <c r="H38" s="12" t="s">
        <v>45</v>
      </c>
      <c r="I38" s="18">
        <v>0.1</v>
      </c>
      <c r="J38" s="41">
        <v>34.01</v>
      </c>
      <c r="K38" s="44">
        <f t="shared" si="5"/>
        <v>41.740473000000001</v>
      </c>
      <c r="L38" s="45">
        <f t="shared" si="6"/>
        <v>4.1740473000000007</v>
      </c>
    </row>
    <row r="39" spans="2:12" s="21" customFormat="1" ht="53.25" customHeight="1" x14ac:dyDescent="0.25">
      <c r="B39" s="13" t="s">
        <v>364</v>
      </c>
      <c r="C39" s="93" t="s">
        <v>398</v>
      </c>
      <c r="D39" s="94"/>
      <c r="E39" s="94"/>
      <c r="F39" s="95"/>
      <c r="G39" s="12">
        <v>20017</v>
      </c>
      <c r="H39" s="12" t="s">
        <v>47</v>
      </c>
      <c r="I39" s="18">
        <f>(2.1+2.1+1.5+1.5)*2</f>
        <v>14.4</v>
      </c>
      <c r="J39" s="41">
        <v>10.18</v>
      </c>
      <c r="K39" s="44">
        <f t="shared" si="5"/>
        <v>12.493914</v>
      </c>
      <c r="L39" s="45">
        <f t="shared" si="6"/>
        <v>179.9123616</v>
      </c>
    </row>
    <row r="40" spans="2:12" s="21" customFormat="1" ht="39.75" customHeight="1" x14ac:dyDescent="0.25">
      <c r="B40" s="13" t="s">
        <v>365</v>
      </c>
      <c r="C40" s="93" t="s">
        <v>404</v>
      </c>
      <c r="D40" s="94"/>
      <c r="E40" s="94"/>
      <c r="F40" s="95"/>
      <c r="G40" s="12">
        <v>100708</v>
      </c>
      <c r="H40" s="12" t="s">
        <v>2</v>
      </c>
      <c r="I40" s="18">
        <v>1</v>
      </c>
      <c r="J40" s="41">
        <v>193.88</v>
      </c>
      <c r="K40" s="44">
        <f t="shared" si="5"/>
        <v>237.94892400000001</v>
      </c>
      <c r="L40" s="45">
        <f t="shared" si="6"/>
        <v>237.94892400000001</v>
      </c>
    </row>
    <row r="41" spans="2:12" s="21" customFormat="1" ht="39.75" customHeight="1" x14ac:dyDescent="0.25">
      <c r="B41" s="13" t="s">
        <v>366</v>
      </c>
      <c r="C41" s="93" t="s">
        <v>399</v>
      </c>
      <c r="D41" s="94"/>
      <c r="E41" s="94"/>
      <c r="F41" s="95"/>
      <c r="G41" s="12">
        <v>4777</v>
      </c>
      <c r="H41" s="12" t="s">
        <v>51</v>
      </c>
      <c r="I41" s="18">
        <f>1.52*6</f>
        <v>9.120000000000001</v>
      </c>
      <c r="J41" s="41">
        <v>7.36</v>
      </c>
      <c r="K41" s="44">
        <f t="shared" si="5"/>
        <v>9.0329280000000001</v>
      </c>
      <c r="L41" s="45">
        <f t="shared" si="6"/>
        <v>82.380303360000013</v>
      </c>
    </row>
    <row r="42" spans="2:12" s="21" customFormat="1" ht="39.75" customHeight="1" x14ac:dyDescent="0.25">
      <c r="B42" s="13" t="s">
        <v>367</v>
      </c>
      <c r="C42" s="93" t="s">
        <v>400</v>
      </c>
      <c r="D42" s="94"/>
      <c r="E42" s="94"/>
      <c r="F42" s="95"/>
      <c r="G42" s="12">
        <v>7568</v>
      </c>
      <c r="H42" s="12" t="s">
        <v>2</v>
      </c>
      <c r="I42" s="18">
        <v>16</v>
      </c>
      <c r="J42" s="41">
        <v>0.49</v>
      </c>
      <c r="K42" s="44">
        <f t="shared" si="5"/>
        <v>0.60137700000000005</v>
      </c>
      <c r="L42" s="45">
        <f t="shared" si="6"/>
        <v>9.6220320000000008</v>
      </c>
    </row>
    <row r="43" spans="2:12" s="21" customFormat="1" ht="39.75" customHeight="1" x14ac:dyDescent="0.25">
      <c r="B43" s="13" t="s">
        <v>368</v>
      </c>
      <c r="C43" s="93" t="s">
        <v>401</v>
      </c>
      <c r="D43" s="94"/>
      <c r="E43" s="94"/>
      <c r="F43" s="95"/>
      <c r="G43" s="12">
        <v>90801</v>
      </c>
      <c r="H43" s="12" t="s">
        <v>2</v>
      </c>
      <c r="I43" s="18">
        <v>1</v>
      </c>
      <c r="J43" s="41">
        <v>407.2</v>
      </c>
      <c r="K43" s="44">
        <f t="shared" si="5"/>
        <v>499.75656000000004</v>
      </c>
      <c r="L43" s="45">
        <f t="shared" si="6"/>
        <v>499.75656000000004</v>
      </c>
    </row>
    <row r="44" spans="2:12" s="21" customFormat="1" ht="33" customHeight="1" x14ac:dyDescent="0.25">
      <c r="B44" s="99" t="s">
        <v>468</v>
      </c>
      <c r="C44" s="100"/>
      <c r="D44" s="100"/>
      <c r="E44" s="100"/>
      <c r="F44" s="100"/>
      <c r="G44" s="100"/>
      <c r="H44" s="100"/>
      <c r="I44" s="100"/>
      <c r="J44" s="100"/>
      <c r="K44" s="101"/>
      <c r="L44" s="60">
        <f>SUM(L33:L43)</f>
        <v>2200.2577844400003</v>
      </c>
    </row>
    <row r="45" spans="2:12" s="21" customFormat="1" ht="33" customHeight="1" x14ac:dyDescent="0.25">
      <c r="B45" s="14">
        <v>4</v>
      </c>
      <c r="C45" s="142" t="s">
        <v>113</v>
      </c>
      <c r="D45" s="143"/>
      <c r="E45" s="143"/>
      <c r="F45" s="143"/>
      <c r="G45" s="143"/>
      <c r="H45" s="143"/>
      <c r="I45" s="143"/>
      <c r="J45" s="143"/>
      <c r="K45" s="143"/>
      <c r="L45" s="144"/>
    </row>
    <row r="46" spans="2:12" s="21" customFormat="1" ht="39.75" customHeight="1" x14ac:dyDescent="0.25">
      <c r="B46" s="13" t="s">
        <v>369</v>
      </c>
      <c r="C46" s="93" t="s">
        <v>392</v>
      </c>
      <c r="D46" s="94"/>
      <c r="E46" s="94"/>
      <c r="F46" s="95"/>
      <c r="G46" s="12">
        <v>3993</v>
      </c>
      <c r="H46" s="12" t="s">
        <v>50</v>
      </c>
      <c r="I46" s="18">
        <f>1.2+2.1</f>
        <v>3.3</v>
      </c>
      <c r="J46" s="41">
        <v>134.18</v>
      </c>
      <c r="K46" s="44">
        <f t="shared" ref="K46:K56" si="7">J46*$G$3</f>
        <v>164.67911400000003</v>
      </c>
      <c r="L46" s="45">
        <f t="shared" ref="L46:L56" si="8">I46*K46</f>
        <v>543.44107620000011</v>
      </c>
    </row>
    <row r="47" spans="2:12" s="21" customFormat="1" ht="39.75" customHeight="1" x14ac:dyDescent="0.25">
      <c r="B47" s="13" t="s">
        <v>370</v>
      </c>
      <c r="C47" s="93" t="s">
        <v>402</v>
      </c>
      <c r="D47" s="94"/>
      <c r="E47" s="94"/>
      <c r="F47" s="95"/>
      <c r="G47" s="12">
        <v>5068</v>
      </c>
      <c r="H47" s="12" t="s">
        <v>51</v>
      </c>
      <c r="I47" s="18">
        <f>80*0.004</f>
        <v>0.32</v>
      </c>
      <c r="J47" s="41">
        <v>15.26</v>
      </c>
      <c r="K47" s="44">
        <f t="shared" si="7"/>
        <v>18.728598000000002</v>
      </c>
      <c r="L47" s="45">
        <f t="shared" si="8"/>
        <v>5.9931513600000006</v>
      </c>
    </row>
    <row r="48" spans="2:12" s="21" customFormat="1" ht="39.75" customHeight="1" x14ac:dyDescent="0.25">
      <c r="B48" s="13" t="s">
        <v>371</v>
      </c>
      <c r="C48" s="93" t="s">
        <v>403</v>
      </c>
      <c r="D48" s="94"/>
      <c r="E48" s="94"/>
      <c r="F48" s="95"/>
      <c r="G48" s="12">
        <v>20209</v>
      </c>
      <c r="H48" s="12" t="s">
        <v>110</v>
      </c>
      <c r="I48" s="18">
        <f>2.1+2.1+1.2+1.2+3+1.2</f>
        <v>10.8</v>
      </c>
      <c r="J48" s="41">
        <v>29.98</v>
      </c>
      <c r="K48" s="44">
        <f t="shared" si="7"/>
        <v>36.794454000000002</v>
      </c>
      <c r="L48" s="45">
        <f t="shared" si="8"/>
        <v>397.38010320000006</v>
      </c>
    </row>
    <row r="49" spans="2:12" s="21" customFormat="1" ht="39.75" customHeight="1" x14ac:dyDescent="0.25">
      <c r="B49" s="13" t="s">
        <v>372</v>
      </c>
      <c r="C49" s="93" t="s">
        <v>395</v>
      </c>
      <c r="D49" s="94"/>
      <c r="E49" s="94"/>
      <c r="F49" s="95"/>
      <c r="G49" s="12">
        <v>88239</v>
      </c>
      <c r="H49" s="12" t="s">
        <v>45</v>
      </c>
      <c r="I49" s="18">
        <v>3</v>
      </c>
      <c r="J49" s="41">
        <v>28.29</v>
      </c>
      <c r="K49" s="44">
        <f t="shared" si="7"/>
        <v>34.720317000000001</v>
      </c>
      <c r="L49" s="45">
        <f t="shared" si="8"/>
        <v>104.16095100000001</v>
      </c>
    </row>
    <row r="50" spans="2:12" s="21" customFormat="1" ht="39.75" customHeight="1" x14ac:dyDescent="0.25">
      <c r="B50" s="13" t="s">
        <v>373</v>
      </c>
      <c r="C50" s="93" t="s">
        <v>396</v>
      </c>
      <c r="D50" s="94"/>
      <c r="E50" s="94"/>
      <c r="F50" s="95"/>
      <c r="G50" s="12">
        <v>88262</v>
      </c>
      <c r="H50" s="12" t="s">
        <v>45</v>
      </c>
      <c r="I50" s="18">
        <v>3</v>
      </c>
      <c r="J50" s="41">
        <v>34.31</v>
      </c>
      <c r="K50" s="44">
        <f t="shared" si="7"/>
        <v>42.108663000000007</v>
      </c>
      <c r="L50" s="45">
        <f t="shared" si="8"/>
        <v>126.32598900000002</v>
      </c>
    </row>
    <row r="51" spans="2:12" s="21" customFormat="1" ht="39.75" customHeight="1" x14ac:dyDescent="0.25">
      <c r="B51" s="13" t="s">
        <v>374</v>
      </c>
      <c r="C51" s="93" t="s">
        <v>397</v>
      </c>
      <c r="D51" s="94"/>
      <c r="E51" s="94"/>
      <c r="F51" s="95"/>
      <c r="G51" s="12">
        <v>91692</v>
      </c>
      <c r="H51" s="12" t="s">
        <v>45</v>
      </c>
      <c r="I51" s="18">
        <v>0.1</v>
      </c>
      <c r="J51" s="41">
        <v>34.01</v>
      </c>
      <c r="K51" s="44">
        <f t="shared" si="7"/>
        <v>41.740473000000001</v>
      </c>
      <c r="L51" s="45">
        <f t="shared" si="8"/>
        <v>4.1740473000000007</v>
      </c>
    </row>
    <row r="52" spans="2:12" s="21" customFormat="1" ht="53.25" customHeight="1" x14ac:dyDescent="0.25">
      <c r="B52" s="13" t="s">
        <v>375</v>
      </c>
      <c r="C52" s="93" t="s">
        <v>398</v>
      </c>
      <c r="D52" s="94"/>
      <c r="E52" s="94"/>
      <c r="F52" s="95"/>
      <c r="G52" s="12">
        <v>20017</v>
      </c>
      <c r="H52" s="12" t="s">
        <v>47</v>
      </c>
      <c r="I52" s="18">
        <f>(1.2+1.2+2.1+2.1)*2</f>
        <v>13.2</v>
      </c>
      <c r="J52" s="41">
        <v>10.18</v>
      </c>
      <c r="K52" s="44">
        <f t="shared" si="7"/>
        <v>12.493914</v>
      </c>
      <c r="L52" s="45">
        <f t="shared" si="8"/>
        <v>164.91966479999999</v>
      </c>
    </row>
    <row r="53" spans="2:12" s="21" customFormat="1" ht="39.75" customHeight="1" x14ac:dyDescent="0.25">
      <c r="B53" s="13" t="s">
        <v>376</v>
      </c>
      <c r="C53" s="93" t="s">
        <v>404</v>
      </c>
      <c r="D53" s="94"/>
      <c r="E53" s="94"/>
      <c r="F53" s="95"/>
      <c r="G53" s="12">
        <v>100708</v>
      </c>
      <c r="H53" s="12" t="s">
        <v>2</v>
      </c>
      <c r="I53" s="18">
        <v>1</v>
      </c>
      <c r="J53" s="41">
        <v>193.88</v>
      </c>
      <c r="K53" s="44">
        <f t="shared" si="7"/>
        <v>237.94892400000001</v>
      </c>
      <c r="L53" s="45">
        <f t="shared" si="8"/>
        <v>237.94892400000001</v>
      </c>
    </row>
    <row r="54" spans="2:12" s="21" customFormat="1" ht="39.75" customHeight="1" x14ac:dyDescent="0.25">
      <c r="B54" s="13" t="s">
        <v>377</v>
      </c>
      <c r="C54" s="93" t="s">
        <v>399</v>
      </c>
      <c r="D54" s="94"/>
      <c r="E54" s="94"/>
      <c r="F54" s="95"/>
      <c r="G54" s="12">
        <v>4777</v>
      </c>
      <c r="H54" s="12" t="s">
        <v>51</v>
      </c>
      <c r="I54" s="18">
        <f>1.52*4.8</f>
        <v>7.2959999999999994</v>
      </c>
      <c r="J54" s="41">
        <v>7.36</v>
      </c>
      <c r="K54" s="44">
        <f t="shared" si="7"/>
        <v>9.0329280000000001</v>
      </c>
      <c r="L54" s="45">
        <f t="shared" si="8"/>
        <v>65.904242687999997</v>
      </c>
    </row>
    <row r="55" spans="2:12" s="21" customFormat="1" ht="39.75" customHeight="1" x14ac:dyDescent="0.25">
      <c r="B55" s="13" t="s">
        <v>378</v>
      </c>
      <c r="C55" s="93" t="s">
        <v>400</v>
      </c>
      <c r="D55" s="94"/>
      <c r="E55" s="94"/>
      <c r="F55" s="95"/>
      <c r="G55" s="12">
        <v>7568</v>
      </c>
      <c r="H55" s="12" t="s">
        <v>2</v>
      </c>
      <c r="I55" s="18">
        <v>16</v>
      </c>
      <c r="J55" s="41">
        <v>0.49</v>
      </c>
      <c r="K55" s="44">
        <f t="shared" si="7"/>
        <v>0.60137700000000005</v>
      </c>
      <c r="L55" s="45">
        <f t="shared" si="8"/>
        <v>9.6220320000000008</v>
      </c>
    </row>
    <row r="56" spans="2:12" s="21" customFormat="1" ht="39.75" customHeight="1" x14ac:dyDescent="0.25">
      <c r="B56" s="13" t="s">
        <v>379</v>
      </c>
      <c r="C56" s="93" t="s">
        <v>401</v>
      </c>
      <c r="D56" s="94"/>
      <c r="E56" s="94"/>
      <c r="F56" s="95"/>
      <c r="G56" s="12">
        <v>90801</v>
      </c>
      <c r="H56" s="12" t="s">
        <v>2</v>
      </c>
      <c r="I56" s="18">
        <v>1</v>
      </c>
      <c r="J56" s="41">
        <v>407.2</v>
      </c>
      <c r="K56" s="44">
        <f t="shared" si="7"/>
        <v>499.75656000000004</v>
      </c>
      <c r="L56" s="45">
        <f t="shared" si="8"/>
        <v>499.75656000000004</v>
      </c>
    </row>
    <row r="57" spans="2:12" s="21" customFormat="1" ht="33" customHeight="1" x14ac:dyDescent="0.25">
      <c r="B57" s="99" t="s">
        <v>469</v>
      </c>
      <c r="C57" s="100"/>
      <c r="D57" s="100"/>
      <c r="E57" s="100"/>
      <c r="F57" s="100"/>
      <c r="G57" s="100"/>
      <c r="H57" s="100"/>
      <c r="I57" s="100"/>
      <c r="J57" s="100"/>
      <c r="K57" s="101"/>
      <c r="L57" s="60">
        <f>SUM(L46:L56)</f>
        <v>2159.6267415480002</v>
      </c>
    </row>
    <row r="58" spans="2:12" s="21" customFormat="1" ht="33" customHeight="1" x14ac:dyDescent="0.25">
      <c r="B58" s="14">
        <v>5</v>
      </c>
      <c r="C58" s="142" t="s">
        <v>114</v>
      </c>
      <c r="D58" s="143"/>
      <c r="E58" s="143"/>
      <c r="F58" s="143"/>
      <c r="G58" s="143"/>
      <c r="H58" s="143"/>
      <c r="I58" s="143"/>
      <c r="J58" s="143"/>
      <c r="K58" s="143"/>
      <c r="L58" s="144"/>
    </row>
    <row r="59" spans="2:12" s="21" customFormat="1" ht="53.25" customHeight="1" x14ac:dyDescent="0.25">
      <c r="B59" s="13" t="s">
        <v>152</v>
      </c>
      <c r="C59" s="93" t="s">
        <v>285</v>
      </c>
      <c r="D59" s="94"/>
      <c r="E59" s="94"/>
      <c r="F59" s="95"/>
      <c r="G59" s="12">
        <v>90844</v>
      </c>
      <c r="H59" s="12" t="s">
        <v>2</v>
      </c>
      <c r="I59" s="18">
        <f>1.11*2</f>
        <v>2.2200000000000002</v>
      </c>
      <c r="J59" s="41">
        <v>1322.03</v>
      </c>
      <c r="K59" s="44">
        <f t="shared" ref="K59" si="9">J59*$G$3</f>
        <v>1622.527419</v>
      </c>
      <c r="L59" s="45">
        <f t="shared" ref="L59" si="10">I59*K59</f>
        <v>3602.0108701800004</v>
      </c>
    </row>
    <row r="60" spans="2:12" s="21" customFormat="1" ht="33" customHeight="1" x14ac:dyDescent="0.25">
      <c r="B60" s="99" t="s">
        <v>470</v>
      </c>
      <c r="C60" s="100"/>
      <c r="D60" s="100"/>
      <c r="E60" s="100"/>
      <c r="F60" s="100"/>
      <c r="G60" s="100"/>
      <c r="H60" s="100"/>
      <c r="I60" s="100"/>
      <c r="J60" s="100"/>
      <c r="K60" s="101"/>
      <c r="L60" s="60">
        <f>SUM(L59)</f>
        <v>3602.0108701800004</v>
      </c>
    </row>
    <row r="61" spans="2:12" s="21" customFormat="1" ht="33" customHeight="1" x14ac:dyDescent="0.25">
      <c r="B61" s="14">
        <v>6</v>
      </c>
      <c r="C61" s="142" t="s">
        <v>115</v>
      </c>
      <c r="D61" s="143"/>
      <c r="E61" s="143"/>
      <c r="F61" s="143"/>
      <c r="G61" s="143"/>
      <c r="H61" s="143"/>
      <c r="I61" s="143"/>
      <c r="J61" s="143"/>
      <c r="K61" s="143"/>
      <c r="L61" s="144"/>
    </row>
    <row r="62" spans="2:12" s="21" customFormat="1" ht="53.25" customHeight="1" x14ac:dyDescent="0.25">
      <c r="B62" s="13" t="s">
        <v>159</v>
      </c>
      <c r="C62" s="93" t="s">
        <v>285</v>
      </c>
      <c r="D62" s="94"/>
      <c r="E62" s="94"/>
      <c r="F62" s="95"/>
      <c r="G62" s="12">
        <v>90844</v>
      </c>
      <c r="H62" s="12" t="s">
        <v>2</v>
      </c>
      <c r="I62" s="18">
        <f>1.11</f>
        <v>1.1100000000000001</v>
      </c>
      <c r="J62" s="41">
        <v>1322.03</v>
      </c>
      <c r="K62" s="44">
        <f t="shared" ref="K62" si="11">J62*$G$3</f>
        <v>1622.527419</v>
      </c>
      <c r="L62" s="45">
        <f t="shared" ref="L62" si="12">I62*K62</f>
        <v>1801.0054350900002</v>
      </c>
    </row>
    <row r="63" spans="2:12" s="21" customFormat="1" ht="33" customHeight="1" x14ac:dyDescent="0.25">
      <c r="B63" s="99" t="s">
        <v>471</v>
      </c>
      <c r="C63" s="100"/>
      <c r="D63" s="100"/>
      <c r="E63" s="100"/>
      <c r="F63" s="100"/>
      <c r="G63" s="100"/>
      <c r="H63" s="100"/>
      <c r="I63" s="100"/>
      <c r="J63" s="100"/>
      <c r="K63" s="101"/>
      <c r="L63" s="60">
        <f>SUM(L62)</f>
        <v>1801.0054350900002</v>
      </c>
    </row>
    <row r="64" spans="2:12" s="21" customFormat="1" ht="33" customHeight="1" x14ac:dyDescent="0.25">
      <c r="B64" s="14">
        <v>7</v>
      </c>
      <c r="C64" s="142" t="s">
        <v>116</v>
      </c>
      <c r="D64" s="143"/>
      <c r="E64" s="143"/>
      <c r="F64" s="143"/>
      <c r="G64" s="143"/>
      <c r="H64" s="143"/>
      <c r="I64" s="143"/>
      <c r="J64" s="143"/>
      <c r="K64" s="143"/>
      <c r="L64" s="144"/>
    </row>
    <row r="65" spans="2:12" s="21" customFormat="1" ht="53.25" customHeight="1" x14ac:dyDescent="0.25">
      <c r="B65" s="13" t="s">
        <v>18</v>
      </c>
      <c r="C65" s="93" t="s">
        <v>405</v>
      </c>
      <c r="D65" s="94"/>
      <c r="E65" s="94"/>
      <c r="F65" s="95"/>
      <c r="G65" s="12">
        <v>91336</v>
      </c>
      <c r="H65" s="12" t="s">
        <v>2</v>
      </c>
      <c r="I65" s="18">
        <v>2</v>
      </c>
      <c r="J65" s="41">
        <v>2194.58</v>
      </c>
      <c r="K65" s="44">
        <f t="shared" ref="K65" si="13">J65*$G$3</f>
        <v>2693.408034</v>
      </c>
      <c r="L65" s="45">
        <f t="shared" ref="L65" si="14">I65*K65</f>
        <v>5386.8160680000001</v>
      </c>
    </row>
    <row r="66" spans="2:12" s="21" customFormat="1" ht="33" customHeight="1" x14ac:dyDescent="0.25">
      <c r="B66" s="99" t="s">
        <v>472</v>
      </c>
      <c r="C66" s="100"/>
      <c r="D66" s="100"/>
      <c r="E66" s="100"/>
      <c r="F66" s="100"/>
      <c r="G66" s="100"/>
      <c r="H66" s="100"/>
      <c r="I66" s="100"/>
      <c r="J66" s="100"/>
      <c r="K66" s="101"/>
      <c r="L66" s="60">
        <f>SUM(L65)</f>
        <v>5386.8160680000001</v>
      </c>
    </row>
    <row r="67" spans="2:12" s="21" customFormat="1" ht="33" customHeight="1" x14ac:dyDescent="0.25">
      <c r="B67" s="14">
        <v>8</v>
      </c>
      <c r="C67" s="142" t="s">
        <v>117</v>
      </c>
      <c r="D67" s="143"/>
      <c r="E67" s="143"/>
      <c r="F67" s="143"/>
      <c r="G67" s="143"/>
      <c r="H67" s="143"/>
      <c r="I67" s="143"/>
      <c r="J67" s="143"/>
      <c r="K67" s="143"/>
      <c r="L67" s="144"/>
    </row>
    <row r="68" spans="2:12" s="21" customFormat="1" ht="53.25" customHeight="1" x14ac:dyDescent="0.25">
      <c r="B68" s="13" t="s">
        <v>65</v>
      </c>
      <c r="C68" s="93" t="s">
        <v>285</v>
      </c>
      <c r="D68" s="94"/>
      <c r="E68" s="94"/>
      <c r="F68" s="95"/>
      <c r="G68" s="12">
        <v>90844</v>
      </c>
      <c r="H68" s="12" t="s">
        <v>2</v>
      </c>
      <c r="I68" s="18">
        <f>1.11</f>
        <v>1.1100000000000001</v>
      </c>
      <c r="J68" s="41">
        <v>1322.03</v>
      </c>
      <c r="K68" s="44">
        <f t="shared" ref="K68:K73" si="15">J68*$G$3</f>
        <v>1622.527419</v>
      </c>
      <c r="L68" s="45">
        <f t="shared" ref="L68:L73" si="16">I68*K68</f>
        <v>1801.0054350900002</v>
      </c>
    </row>
    <row r="69" spans="2:12" s="21" customFormat="1" ht="39.75" customHeight="1" x14ac:dyDescent="0.25">
      <c r="B69" s="13" t="s">
        <v>66</v>
      </c>
      <c r="C69" s="93" t="s">
        <v>399</v>
      </c>
      <c r="D69" s="94"/>
      <c r="E69" s="94"/>
      <c r="F69" s="95"/>
      <c r="G69" s="12">
        <v>4777</v>
      </c>
      <c r="H69" s="12" t="s">
        <v>51</v>
      </c>
      <c r="I69" s="18">
        <f>1.52*3.6</f>
        <v>5.4720000000000004</v>
      </c>
      <c r="J69" s="41">
        <v>7.36</v>
      </c>
      <c r="K69" s="44">
        <f t="shared" si="15"/>
        <v>9.0329280000000001</v>
      </c>
      <c r="L69" s="45">
        <f t="shared" si="16"/>
        <v>49.428182016000001</v>
      </c>
    </row>
    <row r="70" spans="2:12" s="21" customFormat="1" ht="39.75" customHeight="1" x14ac:dyDescent="0.25">
      <c r="B70" s="13" t="s">
        <v>96</v>
      </c>
      <c r="C70" s="93" t="s">
        <v>400</v>
      </c>
      <c r="D70" s="94"/>
      <c r="E70" s="94"/>
      <c r="F70" s="95"/>
      <c r="G70" s="12">
        <v>7568</v>
      </c>
      <c r="H70" s="12" t="s">
        <v>2</v>
      </c>
      <c r="I70" s="18">
        <v>16</v>
      </c>
      <c r="J70" s="41">
        <v>0.49</v>
      </c>
      <c r="K70" s="44">
        <f t="shared" si="15"/>
        <v>0.60137700000000005</v>
      </c>
      <c r="L70" s="45">
        <f t="shared" si="16"/>
        <v>9.6220320000000008</v>
      </c>
    </row>
    <row r="71" spans="2:12" s="21" customFormat="1" ht="39.75" customHeight="1" x14ac:dyDescent="0.25">
      <c r="B71" s="13" t="s">
        <v>124</v>
      </c>
      <c r="C71" s="93" t="s">
        <v>401</v>
      </c>
      <c r="D71" s="94"/>
      <c r="E71" s="94"/>
      <c r="F71" s="95"/>
      <c r="G71" s="12">
        <v>90801</v>
      </c>
      <c r="H71" s="12" t="s">
        <v>2</v>
      </c>
      <c r="I71" s="18">
        <v>1</v>
      </c>
      <c r="J71" s="41">
        <v>407.2</v>
      </c>
      <c r="K71" s="44">
        <f t="shared" si="15"/>
        <v>499.75656000000004</v>
      </c>
      <c r="L71" s="45">
        <f t="shared" si="16"/>
        <v>499.75656000000004</v>
      </c>
    </row>
    <row r="72" spans="2:12" s="21" customFormat="1" ht="39.75" customHeight="1" x14ac:dyDescent="0.25">
      <c r="B72" s="13" t="s">
        <v>140</v>
      </c>
      <c r="C72" s="93" t="s">
        <v>395</v>
      </c>
      <c r="D72" s="94"/>
      <c r="E72" s="94"/>
      <c r="F72" s="95"/>
      <c r="G72" s="12">
        <v>88239</v>
      </c>
      <c r="H72" s="12" t="s">
        <v>45</v>
      </c>
      <c r="I72" s="18">
        <v>1.5</v>
      </c>
      <c r="J72" s="41">
        <v>28.29</v>
      </c>
      <c r="K72" s="44">
        <f t="shared" si="15"/>
        <v>34.720317000000001</v>
      </c>
      <c r="L72" s="45">
        <f t="shared" si="16"/>
        <v>52.080475500000006</v>
      </c>
    </row>
    <row r="73" spans="2:12" s="21" customFormat="1" ht="39.75" customHeight="1" x14ac:dyDescent="0.25">
      <c r="B73" s="13" t="s">
        <v>380</v>
      </c>
      <c r="C73" s="93" t="s">
        <v>396</v>
      </c>
      <c r="D73" s="94"/>
      <c r="E73" s="94"/>
      <c r="F73" s="95"/>
      <c r="G73" s="12">
        <v>88262</v>
      </c>
      <c r="H73" s="12" t="s">
        <v>45</v>
      </c>
      <c r="I73" s="18">
        <v>1.5</v>
      </c>
      <c r="J73" s="41">
        <v>34.31</v>
      </c>
      <c r="K73" s="44">
        <f t="shared" si="15"/>
        <v>42.108663000000007</v>
      </c>
      <c r="L73" s="45">
        <f t="shared" si="16"/>
        <v>63.162994500000011</v>
      </c>
    </row>
    <row r="74" spans="2:12" s="21" customFormat="1" ht="33" customHeight="1" x14ac:dyDescent="0.25">
      <c r="B74" s="99" t="s">
        <v>473</v>
      </c>
      <c r="C74" s="100"/>
      <c r="D74" s="100"/>
      <c r="E74" s="100"/>
      <c r="F74" s="100"/>
      <c r="G74" s="100"/>
      <c r="H74" s="100"/>
      <c r="I74" s="100"/>
      <c r="J74" s="100"/>
      <c r="K74" s="101"/>
      <c r="L74" s="60">
        <f>SUM(L68:L73)</f>
        <v>2475.0556791060003</v>
      </c>
    </row>
    <row r="75" spans="2:12" s="21" customFormat="1" ht="33" customHeight="1" x14ac:dyDescent="0.25">
      <c r="B75" s="14">
        <v>9</v>
      </c>
      <c r="C75" s="142" t="s">
        <v>118</v>
      </c>
      <c r="D75" s="143"/>
      <c r="E75" s="143"/>
      <c r="F75" s="143"/>
      <c r="G75" s="143"/>
      <c r="H75" s="143"/>
      <c r="I75" s="143"/>
      <c r="J75" s="143"/>
      <c r="K75" s="143"/>
      <c r="L75" s="144"/>
    </row>
    <row r="76" spans="2:12" s="21" customFormat="1" ht="39.75" customHeight="1" x14ac:dyDescent="0.25">
      <c r="B76" s="13" t="s">
        <v>70</v>
      </c>
      <c r="C76" s="93" t="s">
        <v>406</v>
      </c>
      <c r="D76" s="94"/>
      <c r="E76" s="94"/>
      <c r="F76" s="95"/>
      <c r="G76" s="12">
        <v>94570</v>
      </c>
      <c r="H76" s="12" t="s">
        <v>50</v>
      </c>
      <c r="I76" s="18">
        <f>1.5*1.2</f>
        <v>1.7999999999999998</v>
      </c>
      <c r="J76" s="41">
        <v>692.4</v>
      </c>
      <c r="K76" s="44">
        <f t="shared" ref="K76:K79" si="17">J76*$G$3</f>
        <v>849.78251999999998</v>
      </c>
      <c r="L76" s="45">
        <f t="shared" ref="L76:L79" si="18">I76*K76</f>
        <v>1529.6085359999997</v>
      </c>
    </row>
    <row r="77" spans="2:12" s="21" customFormat="1" ht="53.25" customHeight="1" x14ac:dyDescent="0.25">
      <c r="B77" s="13" t="s">
        <v>71</v>
      </c>
      <c r="C77" s="93" t="s">
        <v>398</v>
      </c>
      <c r="D77" s="94"/>
      <c r="E77" s="94"/>
      <c r="F77" s="95"/>
      <c r="G77" s="12">
        <v>20017</v>
      </c>
      <c r="H77" s="12" t="s">
        <v>47</v>
      </c>
      <c r="I77" s="18">
        <f>(1.5+1.5+1.2+1.2)*2</f>
        <v>10.8</v>
      </c>
      <c r="J77" s="41">
        <v>10.18</v>
      </c>
      <c r="K77" s="44">
        <f t="shared" si="17"/>
        <v>12.493914</v>
      </c>
      <c r="L77" s="45">
        <f t="shared" si="18"/>
        <v>134.93427120000001</v>
      </c>
    </row>
    <row r="78" spans="2:12" s="21" customFormat="1" ht="39.75" customHeight="1" x14ac:dyDescent="0.25">
      <c r="B78" s="13" t="s">
        <v>381</v>
      </c>
      <c r="C78" s="93" t="s">
        <v>401</v>
      </c>
      <c r="D78" s="94"/>
      <c r="E78" s="94"/>
      <c r="F78" s="95"/>
      <c r="G78" s="12">
        <v>90801</v>
      </c>
      <c r="H78" s="12" t="s">
        <v>2</v>
      </c>
      <c r="I78" s="18">
        <v>1.08</v>
      </c>
      <c r="J78" s="41">
        <v>407.2</v>
      </c>
      <c r="K78" s="44">
        <f t="shared" si="17"/>
        <v>499.75656000000004</v>
      </c>
      <c r="L78" s="45">
        <f t="shared" si="18"/>
        <v>539.73708480000005</v>
      </c>
    </row>
    <row r="79" spans="2:12" s="21" customFormat="1" ht="39.75" customHeight="1" x14ac:dyDescent="0.25">
      <c r="B79" s="13" t="s">
        <v>382</v>
      </c>
      <c r="C79" s="93" t="s">
        <v>400</v>
      </c>
      <c r="D79" s="94"/>
      <c r="E79" s="94"/>
      <c r="F79" s="95"/>
      <c r="G79" s="12">
        <v>7568</v>
      </c>
      <c r="H79" s="12" t="s">
        <v>2</v>
      </c>
      <c r="I79" s="18">
        <v>12</v>
      </c>
      <c r="J79" s="41">
        <v>0.49</v>
      </c>
      <c r="K79" s="44">
        <f t="shared" si="17"/>
        <v>0.60137700000000005</v>
      </c>
      <c r="L79" s="45">
        <f t="shared" si="18"/>
        <v>7.2165240000000006</v>
      </c>
    </row>
    <row r="80" spans="2:12" s="21" customFormat="1" ht="33" customHeight="1" x14ac:dyDescent="0.25">
      <c r="B80" s="99" t="s">
        <v>474</v>
      </c>
      <c r="C80" s="100"/>
      <c r="D80" s="100"/>
      <c r="E80" s="100"/>
      <c r="F80" s="100"/>
      <c r="G80" s="100"/>
      <c r="H80" s="100"/>
      <c r="I80" s="100"/>
      <c r="J80" s="100"/>
      <c r="K80" s="101"/>
      <c r="L80" s="60">
        <f>SUM(L76:L79)</f>
        <v>2211.4964159999995</v>
      </c>
    </row>
    <row r="81" spans="2:12" s="21" customFormat="1" ht="33" customHeight="1" x14ac:dyDescent="0.25">
      <c r="B81" s="14">
        <v>10</v>
      </c>
      <c r="C81" s="142" t="s">
        <v>119</v>
      </c>
      <c r="D81" s="143"/>
      <c r="E81" s="143"/>
      <c r="F81" s="143"/>
      <c r="G81" s="143"/>
      <c r="H81" s="143"/>
      <c r="I81" s="143"/>
      <c r="J81" s="143"/>
      <c r="K81" s="143"/>
      <c r="L81" s="144"/>
    </row>
    <row r="82" spans="2:12" s="21" customFormat="1" ht="39.75" customHeight="1" x14ac:dyDescent="0.25">
      <c r="B82" s="13" t="s">
        <v>167</v>
      </c>
      <c r="C82" s="93" t="s">
        <v>407</v>
      </c>
      <c r="D82" s="94"/>
      <c r="E82" s="94"/>
      <c r="F82" s="95"/>
      <c r="G82" s="12">
        <v>94569</v>
      </c>
      <c r="H82" s="12" t="s">
        <v>50</v>
      </c>
      <c r="I82" s="18">
        <f>0.8*0.6</f>
        <v>0.48</v>
      </c>
      <c r="J82" s="41">
        <v>1320.01</v>
      </c>
      <c r="K82" s="44">
        <f t="shared" ref="K82:K85" si="19">J82*$G$3</f>
        <v>1620.0482730000001</v>
      </c>
      <c r="L82" s="45">
        <f t="shared" ref="L82:L85" si="20">I82*K82</f>
        <v>777.62317103999999</v>
      </c>
    </row>
    <row r="83" spans="2:12" s="21" customFormat="1" ht="53.25" customHeight="1" x14ac:dyDescent="0.25">
      <c r="B83" s="13" t="s">
        <v>168</v>
      </c>
      <c r="C83" s="93" t="s">
        <v>398</v>
      </c>
      <c r="D83" s="94"/>
      <c r="E83" s="94"/>
      <c r="F83" s="95"/>
      <c r="G83" s="12">
        <v>20017</v>
      </c>
      <c r="H83" s="12" t="s">
        <v>47</v>
      </c>
      <c r="I83" s="18">
        <f>(1.5+1.5+1.2+1.2)*2</f>
        <v>10.8</v>
      </c>
      <c r="J83" s="41">
        <v>10.18</v>
      </c>
      <c r="K83" s="44">
        <f t="shared" si="19"/>
        <v>12.493914</v>
      </c>
      <c r="L83" s="45">
        <f t="shared" si="20"/>
        <v>134.93427120000001</v>
      </c>
    </row>
    <row r="84" spans="2:12" s="21" customFormat="1" ht="39.75" customHeight="1" x14ac:dyDescent="0.25">
      <c r="B84" s="13" t="s">
        <v>169</v>
      </c>
      <c r="C84" s="93" t="s">
        <v>401</v>
      </c>
      <c r="D84" s="94"/>
      <c r="E84" s="94"/>
      <c r="F84" s="95"/>
      <c r="G84" s="12">
        <v>90801</v>
      </c>
      <c r="H84" s="12" t="s">
        <v>2</v>
      </c>
      <c r="I84" s="18">
        <v>0.56000000000000005</v>
      </c>
      <c r="J84" s="41">
        <v>407.2</v>
      </c>
      <c r="K84" s="44">
        <f t="shared" si="19"/>
        <v>499.75656000000004</v>
      </c>
      <c r="L84" s="45">
        <f t="shared" si="20"/>
        <v>279.86367360000003</v>
      </c>
    </row>
    <row r="85" spans="2:12" s="21" customFormat="1" ht="39.75" customHeight="1" x14ac:dyDescent="0.25">
      <c r="B85" s="13" t="s">
        <v>170</v>
      </c>
      <c r="C85" s="93" t="s">
        <v>400</v>
      </c>
      <c r="D85" s="94"/>
      <c r="E85" s="94"/>
      <c r="F85" s="95"/>
      <c r="G85" s="12">
        <v>7568</v>
      </c>
      <c r="H85" s="12" t="s">
        <v>2</v>
      </c>
      <c r="I85" s="18">
        <v>12</v>
      </c>
      <c r="J85" s="41">
        <v>0.49</v>
      </c>
      <c r="K85" s="44">
        <f t="shared" si="19"/>
        <v>0.60137700000000005</v>
      </c>
      <c r="L85" s="45">
        <f t="shared" si="20"/>
        <v>7.2165240000000006</v>
      </c>
    </row>
    <row r="86" spans="2:12" s="21" customFormat="1" ht="33" customHeight="1" x14ac:dyDescent="0.25">
      <c r="B86" s="99" t="s">
        <v>475</v>
      </c>
      <c r="C86" s="100"/>
      <c r="D86" s="100"/>
      <c r="E86" s="100"/>
      <c r="F86" s="100"/>
      <c r="G86" s="100"/>
      <c r="H86" s="100"/>
      <c r="I86" s="100"/>
      <c r="J86" s="100"/>
      <c r="K86" s="101"/>
      <c r="L86" s="60">
        <f>SUM(L82:L85)</f>
        <v>1199.63763984</v>
      </c>
    </row>
    <row r="87" spans="2:12" s="21" customFormat="1" ht="33" customHeight="1" x14ac:dyDescent="0.25">
      <c r="B87" s="14">
        <v>11</v>
      </c>
      <c r="C87" s="142" t="s">
        <v>120</v>
      </c>
      <c r="D87" s="143"/>
      <c r="E87" s="143"/>
      <c r="F87" s="143"/>
      <c r="G87" s="143"/>
      <c r="H87" s="143"/>
      <c r="I87" s="143"/>
      <c r="J87" s="143"/>
      <c r="K87" s="143"/>
      <c r="L87" s="144"/>
    </row>
    <row r="88" spans="2:12" s="21" customFormat="1" ht="39.75" customHeight="1" x14ac:dyDescent="0.25">
      <c r="B88" s="13" t="s">
        <v>181</v>
      </c>
      <c r="C88" s="93" t="s">
        <v>408</v>
      </c>
      <c r="D88" s="94"/>
      <c r="E88" s="94"/>
      <c r="F88" s="95"/>
      <c r="G88" s="12">
        <v>102181</v>
      </c>
      <c r="H88" s="12" t="s">
        <v>50</v>
      </c>
      <c r="I88" s="18">
        <f>3*1.55</f>
        <v>4.6500000000000004</v>
      </c>
      <c r="J88" s="41">
        <v>541.75</v>
      </c>
      <c r="K88" s="44">
        <f t="shared" ref="K88:K91" si="21">J88*$G$3</f>
        <v>664.88977499999999</v>
      </c>
      <c r="L88" s="45">
        <f t="shared" ref="L88:L91" si="22">I88*K88</f>
        <v>3091.73745375</v>
      </c>
    </row>
    <row r="89" spans="2:12" s="21" customFormat="1" ht="53.25" customHeight="1" x14ac:dyDescent="0.25">
      <c r="B89" s="13" t="s">
        <v>182</v>
      </c>
      <c r="C89" s="93" t="s">
        <v>398</v>
      </c>
      <c r="D89" s="94"/>
      <c r="E89" s="94"/>
      <c r="F89" s="95"/>
      <c r="G89" s="12">
        <v>20017</v>
      </c>
      <c r="H89" s="12" t="s">
        <v>47</v>
      </c>
      <c r="I89" s="18">
        <f>(3+3+1.55+1.55)*2</f>
        <v>18.2</v>
      </c>
      <c r="J89" s="41">
        <v>10.18</v>
      </c>
      <c r="K89" s="44">
        <f t="shared" si="21"/>
        <v>12.493914</v>
      </c>
      <c r="L89" s="45">
        <f t="shared" si="22"/>
        <v>227.3892348</v>
      </c>
    </row>
    <row r="90" spans="2:12" s="21" customFormat="1" ht="39.75" customHeight="1" x14ac:dyDescent="0.25">
      <c r="B90" s="13" t="s">
        <v>102</v>
      </c>
      <c r="C90" s="93" t="s">
        <v>401</v>
      </c>
      <c r="D90" s="94"/>
      <c r="E90" s="94"/>
      <c r="F90" s="95"/>
      <c r="G90" s="12">
        <v>90801</v>
      </c>
      <c r="H90" s="12" t="s">
        <v>2</v>
      </c>
      <c r="I90" s="18">
        <v>1.82</v>
      </c>
      <c r="J90" s="41">
        <v>407.2</v>
      </c>
      <c r="K90" s="44">
        <f t="shared" si="21"/>
        <v>499.75656000000004</v>
      </c>
      <c r="L90" s="45">
        <f t="shared" si="22"/>
        <v>909.5569392000001</v>
      </c>
    </row>
    <row r="91" spans="2:12" s="21" customFormat="1" ht="39.75" customHeight="1" x14ac:dyDescent="0.25">
      <c r="B91" s="13" t="s">
        <v>135</v>
      </c>
      <c r="C91" s="93" t="s">
        <v>400</v>
      </c>
      <c r="D91" s="94"/>
      <c r="E91" s="94"/>
      <c r="F91" s="95"/>
      <c r="G91" s="12">
        <v>7568</v>
      </c>
      <c r="H91" s="12" t="s">
        <v>2</v>
      </c>
      <c r="I91" s="18">
        <v>12</v>
      </c>
      <c r="J91" s="41">
        <v>0.49</v>
      </c>
      <c r="K91" s="44">
        <f t="shared" si="21"/>
        <v>0.60137700000000005</v>
      </c>
      <c r="L91" s="45">
        <f t="shared" si="22"/>
        <v>7.2165240000000006</v>
      </c>
    </row>
    <row r="92" spans="2:12" s="21" customFormat="1" ht="33" customHeight="1" x14ac:dyDescent="0.25">
      <c r="B92" s="99" t="s">
        <v>476</v>
      </c>
      <c r="C92" s="100"/>
      <c r="D92" s="100"/>
      <c r="E92" s="100"/>
      <c r="F92" s="100"/>
      <c r="G92" s="100"/>
      <c r="H92" s="100"/>
      <c r="I92" s="100"/>
      <c r="J92" s="100"/>
      <c r="K92" s="101"/>
      <c r="L92" s="60">
        <f>SUM(L88:L91)</f>
        <v>4235.9001517500001</v>
      </c>
    </row>
    <row r="93" spans="2:12" s="21" customFormat="1" ht="33" customHeight="1" x14ac:dyDescent="0.25">
      <c r="B93" s="14">
        <v>12</v>
      </c>
      <c r="C93" s="142" t="s">
        <v>121</v>
      </c>
      <c r="D93" s="143"/>
      <c r="E93" s="143"/>
      <c r="F93" s="143"/>
      <c r="G93" s="143"/>
      <c r="H93" s="143"/>
      <c r="I93" s="143"/>
      <c r="J93" s="143"/>
      <c r="K93" s="143"/>
      <c r="L93" s="144"/>
    </row>
    <row r="94" spans="2:12" s="21" customFormat="1" ht="39.75" customHeight="1" x14ac:dyDescent="0.25">
      <c r="B94" s="13" t="s">
        <v>183</v>
      </c>
      <c r="C94" s="93" t="s">
        <v>408</v>
      </c>
      <c r="D94" s="94"/>
      <c r="E94" s="94"/>
      <c r="F94" s="95"/>
      <c r="G94" s="12">
        <v>102181</v>
      </c>
      <c r="H94" s="12" t="s">
        <v>50</v>
      </c>
      <c r="I94" s="18">
        <f>1.5*0.8</f>
        <v>1.2000000000000002</v>
      </c>
      <c r="J94" s="41">
        <v>541.75</v>
      </c>
      <c r="K94" s="44">
        <f t="shared" ref="K94:K97" si="23">J94*$G$3</f>
        <v>664.88977499999999</v>
      </c>
      <c r="L94" s="45">
        <f t="shared" ref="L94:L97" si="24">I94*K94</f>
        <v>797.86773000000005</v>
      </c>
    </row>
    <row r="95" spans="2:12" s="21" customFormat="1" ht="53.25" customHeight="1" x14ac:dyDescent="0.25">
      <c r="B95" s="13" t="s">
        <v>184</v>
      </c>
      <c r="C95" s="93" t="s">
        <v>398</v>
      </c>
      <c r="D95" s="94"/>
      <c r="E95" s="94"/>
      <c r="F95" s="95"/>
      <c r="G95" s="12">
        <v>20017</v>
      </c>
      <c r="H95" s="12" t="s">
        <v>47</v>
      </c>
      <c r="I95" s="18">
        <f>(1.5+1.5+0.8+0.8)*2</f>
        <v>9.1999999999999993</v>
      </c>
      <c r="J95" s="41">
        <v>10.18</v>
      </c>
      <c r="K95" s="44">
        <f t="shared" si="23"/>
        <v>12.493914</v>
      </c>
      <c r="L95" s="45">
        <f t="shared" si="24"/>
        <v>114.94400879999999</v>
      </c>
    </row>
    <row r="96" spans="2:12" s="21" customFormat="1" ht="39.75" customHeight="1" x14ac:dyDescent="0.25">
      <c r="B96" s="13" t="s">
        <v>185</v>
      </c>
      <c r="C96" s="93" t="s">
        <v>401</v>
      </c>
      <c r="D96" s="94"/>
      <c r="E96" s="94"/>
      <c r="F96" s="95"/>
      <c r="G96" s="12">
        <v>90801</v>
      </c>
      <c r="H96" s="12" t="s">
        <v>2</v>
      </c>
      <c r="I96" s="18">
        <v>0.92</v>
      </c>
      <c r="J96" s="41">
        <v>407.2</v>
      </c>
      <c r="K96" s="44">
        <f t="shared" si="23"/>
        <v>499.75656000000004</v>
      </c>
      <c r="L96" s="45">
        <f t="shared" si="24"/>
        <v>459.77603520000008</v>
      </c>
    </row>
    <row r="97" spans="2:78" s="21" customFormat="1" ht="39.75" customHeight="1" x14ac:dyDescent="0.25">
      <c r="B97" s="13" t="s">
        <v>383</v>
      </c>
      <c r="C97" s="93" t="s">
        <v>400</v>
      </c>
      <c r="D97" s="94"/>
      <c r="E97" s="94"/>
      <c r="F97" s="95"/>
      <c r="G97" s="12">
        <v>7568</v>
      </c>
      <c r="H97" s="12" t="s">
        <v>2</v>
      </c>
      <c r="I97" s="18">
        <v>12</v>
      </c>
      <c r="J97" s="41">
        <v>0.49</v>
      </c>
      <c r="K97" s="44">
        <f t="shared" si="23"/>
        <v>0.60137700000000005</v>
      </c>
      <c r="L97" s="45">
        <f t="shared" si="24"/>
        <v>7.2165240000000006</v>
      </c>
    </row>
    <row r="98" spans="2:78" s="21" customFormat="1" ht="33" customHeight="1" x14ac:dyDescent="0.25">
      <c r="B98" s="99" t="s">
        <v>477</v>
      </c>
      <c r="C98" s="100"/>
      <c r="D98" s="100"/>
      <c r="E98" s="100"/>
      <c r="F98" s="100"/>
      <c r="G98" s="100"/>
      <c r="H98" s="100"/>
      <c r="I98" s="100"/>
      <c r="J98" s="100"/>
      <c r="K98" s="101"/>
      <c r="L98" s="60">
        <f>SUM(L94:L97)</f>
        <v>1379.804298</v>
      </c>
    </row>
    <row r="99" spans="2:78" s="21" customFormat="1" ht="33" customHeight="1" x14ac:dyDescent="0.25">
      <c r="B99" s="14">
        <v>13</v>
      </c>
      <c r="C99" s="142" t="s">
        <v>120</v>
      </c>
      <c r="D99" s="143"/>
      <c r="E99" s="143"/>
      <c r="F99" s="143"/>
      <c r="G99" s="143"/>
      <c r="H99" s="143"/>
      <c r="I99" s="143"/>
      <c r="J99" s="143"/>
      <c r="K99" s="143"/>
      <c r="L99" s="144"/>
    </row>
    <row r="100" spans="2:78" s="21" customFormat="1" ht="39.75" customHeight="1" x14ac:dyDescent="0.25">
      <c r="B100" s="13" t="s">
        <v>108</v>
      </c>
      <c r="C100" s="93" t="s">
        <v>408</v>
      </c>
      <c r="D100" s="94"/>
      <c r="E100" s="94"/>
      <c r="F100" s="95"/>
      <c r="G100" s="12">
        <v>102181</v>
      </c>
      <c r="H100" s="12" t="s">
        <v>50</v>
      </c>
      <c r="I100" s="18">
        <v>1.2</v>
      </c>
      <c r="J100" s="41">
        <v>541.75</v>
      </c>
      <c r="K100" s="44">
        <f t="shared" ref="K100:K103" si="25">J100*$G$3</f>
        <v>664.88977499999999</v>
      </c>
      <c r="L100" s="45">
        <f t="shared" ref="L100:L103" si="26">I100*K100</f>
        <v>797.86772999999994</v>
      </c>
    </row>
    <row r="101" spans="2:78" s="21" customFormat="1" ht="53.25" customHeight="1" x14ac:dyDescent="0.25">
      <c r="B101" s="13" t="s">
        <v>109</v>
      </c>
      <c r="C101" s="93" t="s">
        <v>398</v>
      </c>
      <c r="D101" s="94"/>
      <c r="E101" s="94"/>
      <c r="F101" s="95"/>
      <c r="G101" s="12">
        <v>20017</v>
      </c>
      <c r="H101" s="12" t="s">
        <v>47</v>
      </c>
      <c r="I101" s="18">
        <f>1.5+1.5+0.8+0.8</f>
        <v>4.5999999999999996</v>
      </c>
      <c r="J101" s="41">
        <v>10.18</v>
      </c>
      <c r="K101" s="44">
        <f t="shared" si="25"/>
        <v>12.493914</v>
      </c>
      <c r="L101" s="45">
        <f t="shared" si="26"/>
        <v>57.472004399999996</v>
      </c>
    </row>
    <row r="102" spans="2:78" s="21" customFormat="1" ht="39.75" customHeight="1" x14ac:dyDescent="0.25">
      <c r="B102" s="13" t="s">
        <v>186</v>
      </c>
      <c r="C102" s="93" t="s">
        <v>401</v>
      </c>
      <c r="D102" s="94"/>
      <c r="E102" s="94"/>
      <c r="F102" s="95"/>
      <c r="G102" s="12">
        <v>90801</v>
      </c>
      <c r="H102" s="12" t="s">
        <v>2</v>
      </c>
      <c r="I102" s="18">
        <v>0.91</v>
      </c>
      <c r="J102" s="41">
        <v>407.2</v>
      </c>
      <c r="K102" s="44">
        <f t="shared" si="25"/>
        <v>499.75656000000004</v>
      </c>
      <c r="L102" s="45">
        <f t="shared" si="26"/>
        <v>454.77846960000005</v>
      </c>
    </row>
    <row r="103" spans="2:78" s="21" customFormat="1" ht="39.75" customHeight="1" x14ac:dyDescent="0.25">
      <c r="B103" s="13" t="s">
        <v>187</v>
      </c>
      <c r="C103" s="93" t="s">
        <v>400</v>
      </c>
      <c r="D103" s="94"/>
      <c r="E103" s="94"/>
      <c r="F103" s="95"/>
      <c r="G103" s="12">
        <v>7568</v>
      </c>
      <c r="H103" s="12" t="s">
        <v>2</v>
      </c>
      <c r="I103" s="18">
        <v>12</v>
      </c>
      <c r="J103" s="41">
        <v>0.49</v>
      </c>
      <c r="K103" s="44">
        <f t="shared" si="25"/>
        <v>0.60137700000000005</v>
      </c>
      <c r="L103" s="45">
        <f t="shared" si="26"/>
        <v>7.2165240000000006</v>
      </c>
    </row>
    <row r="104" spans="2:78" s="21" customFormat="1" ht="33" customHeight="1" x14ac:dyDescent="0.25">
      <c r="B104" s="99" t="s">
        <v>478</v>
      </c>
      <c r="C104" s="100"/>
      <c r="D104" s="100"/>
      <c r="E104" s="100"/>
      <c r="F104" s="100"/>
      <c r="G104" s="100"/>
      <c r="H104" s="100"/>
      <c r="I104" s="100"/>
      <c r="J104" s="100"/>
      <c r="K104" s="101"/>
      <c r="L104" s="60">
        <f>SUM(L100:L103)</f>
        <v>1317.3347279999998</v>
      </c>
    </row>
    <row r="105" spans="2:78" s="68" customFormat="1" ht="31.5" customHeight="1" x14ac:dyDescent="0.25">
      <c r="I105" s="69"/>
      <c r="J105" s="70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</row>
    <row r="106" spans="2:78" s="68" customFormat="1" ht="33" customHeight="1" x14ac:dyDescent="0.25">
      <c r="B106" s="125" t="s">
        <v>463</v>
      </c>
      <c r="C106" s="125"/>
      <c r="D106" s="125"/>
      <c r="E106" s="125"/>
      <c r="F106" s="125"/>
      <c r="G106" s="72"/>
      <c r="H106" s="72"/>
      <c r="I106" s="73"/>
      <c r="J106" s="74"/>
      <c r="K106" s="72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</row>
    <row r="107" spans="2:78" s="10" customFormat="1" ht="23.25" customHeight="1" x14ac:dyDescent="0.25"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</row>
    <row r="108" spans="2:78" s="1" customFormat="1" ht="21.75" customHeight="1" x14ac:dyDescent="0.25">
      <c r="G108" s="77"/>
      <c r="H108" s="77"/>
      <c r="I108" s="77"/>
      <c r="J108" s="77"/>
      <c r="K108" s="77"/>
      <c r="L108" s="77"/>
      <c r="M108" s="77"/>
      <c r="N108" s="77"/>
      <c r="O108" s="77"/>
      <c r="P108" s="77"/>
    </row>
    <row r="109" spans="2:78" s="1" customFormat="1" ht="20.25" customHeight="1" x14ac:dyDescent="0.25">
      <c r="F109" s="78" t="s">
        <v>41</v>
      </c>
      <c r="G109" s="79" t="s">
        <v>41</v>
      </c>
      <c r="H109" s="78"/>
      <c r="J109" s="78"/>
      <c r="L109" s="78"/>
      <c r="M109" s="78"/>
      <c r="N109" s="78"/>
      <c r="O109" s="77"/>
      <c r="P109" s="77"/>
    </row>
    <row r="110" spans="2:78" s="1" customFormat="1" ht="20.25" customHeight="1" x14ac:dyDescent="0.25">
      <c r="F110" s="78" t="s">
        <v>40</v>
      </c>
      <c r="G110" s="79" t="s">
        <v>76</v>
      </c>
      <c r="H110" s="78"/>
      <c r="J110" s="78"/>
      <c r="L110" s="78"/>
      <c r="M110" s="78"/>
      <c r="N110" s="78"/>
      <c r="O110" s="77"/>
      <c r="P110" s="77"/>
    </row>
    <row r="111" spans="2:78" s="1" customFormat="1" ht="20.25" customHeight="1" x14ac:dyDescent="0.25">
      <c r="F111" s="78" t="s">
        <v>43</v>
      </c>
      <c r="G111" s="79" t="s">
        <v>464</v>
      </c>
      <c r="H111" s="78"/>
      <c r="J111" s="78"/>
      <c r="L111" s="78"/>
      <c r="M111" s="78"/>
      <c r="N111" s="78"/>
      <c r="O111" s="77"/>
      <c r="P111" s="77"/>
    </row>
    <row r="112" spans="2:78" s="1" customFormat="1" ht="20.25" customHeight="1" x14ac:dyDescent="0.25">
      <c r="F112" s="78" t="s">
        <v>19</v>
      </c>
      <c r="G112" s="79" t="s">
        <v>465</v>
      </c>
      <c r="H112" s="78"/>
      <c r="J112" s="78"/>
      <c r="L112" s="78"/>
      <c r="M112" s="78"/>
      <c r="N112" s="78"/>
      <c r="O112" s="77"/>
      <c r="P112" s="77"/>
    </row>
    <row r="113" spans="2:16" s="1" customFormat="1" ht="20.25" customHeight="1" x14ac:dyDescent="0.25">
      <c r="F113" s="78" t="s">
        <v>20</v>
      </c>
      <c r="G113" s="78"/>
      <c r="H113" s="78"/>
      <c r="I113" s="78"/>
      <c r="J113" s="78"/>
      <c r="K113" s="79"/>
      <c r="L113" s="78"/>
      <c r="M113" s="78"/>
      <c r="N113" s="78"/>
      <c r="O113" s="77"/>
      <c r="P113" s="77"/>
    </row>
    <row r="114" spans="2:16" s="1" customFormat="1" ht="15" customHeight="1" x14ac:dyDescent="0.25">
      <c r="G114" s="77"/>
      <c r="H114" s="77"/>
      <c r="I114" s="77"/>
      <c r="J114" s="77"/>
      <c r="K114" s="77"/>
      <c r="L114" s="77"/>
      <c r="M114" s="77"/>
      <c r="N114" s="77"/>
      <c r="O114" s="77"/>
      <c r="P114" s="77"/>
    </row>
    <row r="115" spans="2:16" s="21" customFormat="1" ht="15" customHeight="1" x14ac:dyDescent="0.25">
      <c r="B115" s="58"/>
      <c r="C115" s="58"/>
      <c r="D115" s="58"/>
      <c r="E115" s="58"/>
      <c r="F115" s="80"/>
      <c r="G115" s="145"/>
      <c r="H115" s="145"/>
      <c r="I115" s="145"/>
      <c r="J115" s="145"/>
      <c r="K115" s="145"/>
      <c r="L115" s="145"/>
    </row>
    <row r="116" spans="2:16" x14ac:dyDescent="0.25">
      <c r="B116" s="20"/>
      <c r="C116" s="59"/>
      <c r="D116" s="59"/>
      <c r="E116" s="59"/>
      <c r="F116" s="59"/>
      <c r="G116" s="59"/>
      <c r="H116" s="59"/>
      <c r="I116" s="23"/>
      <c r="J116" s="32"/>
      <c r="K116" s="59"/>
      <c r="L116" s="59"/>
    </row>
    <row r="117" spans="2:16" x14ac:dyDescent="0.25">
      <c r="B117" s="20"/>
      <c r="C117" s="26"/>
      <c r="D117" s="26"/>
      <c r="E117" s="26"/>
      <c r="F117" s="26"/>
      <c r="G117" s="26"/>
      <c r="H117" s="26"/>
      <c r="I117" s="23"/>
      <c r="J117" s="32"/>
      <c r="K117" s="26"/>
      <c r="L117" s="26"/>
    </row>
    <row r="118" spans="2:16" ht="15.75" x14ac:dyDescent="0.25">
      <c r="B118" s="20"/>
      <c r="C118" s="24"/>
      <c r="D118" s="24"/>
      <c r="E118" s="24"/>
      <c r="F118" s="24"/>
      <c r="G118" s="24"/>
      <c r="H118" s="24"/>
      <c r="I118" s="35"/>
      <c r="J118" s="31"/>
      <c r="K118" s="24"/>
      <c r="L118" s="20"/>
    </row>
    <row r="119" spans="2:16" x14ac:dyDescent="0.25">
      <c r="B119" s="20"/>
      <c r="C119" s="20"/>
      <c r="D119" s="20"/>
      <c r="E119" s="20"/>
      <c r="F119" s="20"/>
      <c r="G119" s="20"/>
      <c r="H119" s="20"/>
      <c r="I119" s="36"/>
      <c r="J119" s="33"/>
      <c r="K119" s="20"/>
      <c r="L119" s="20"/>
    </row>
    <row r="120" spans="2:16" x14ac:dyDescent="0.25">
      <c r="B120" s="20"/>
      <c r="C120" s="20"/>
      <c r="D120" s="20"/>
      <c r="E120" s="20"/>
      <c r="F120" s="20"/>
      <c r="G120" s="20"/>
      <c r="H120" s="20"/>
      <c r="I120" s="36"/>
      <c r="J120" s="33"/>
      <c r="K120" s="20"/>
      <c r="L120" s="20"/>
    </row>
    <row r="121" spans="2:16" x14ac:dyDescent="0.25">
      <c r="B121" s="20"/>
      <c r="C121" s="20"/>
      <c r="D121" s="20"/>
      <c r="E121" s="20"/>
      <c r="F121" s="20"/>
      <c r="G121" s="20"/>
      <c r="H121" s="20"/>
      <c r="I121" s="36"/>
      <c r="J121" s="33"/>
      <c r="K121" s="20"/>
      <c r="L121" s="20"/>
    </row>
    <row r="122" spans="2:16" x14ac:dyDescent="0.25">
      <c r="B122" s="20"/>
      <c r="C122" s="20"/>
      <c r="D122" s="20"/>
      <c r="E122" s="20"/>
      <c r="F122" s="20"/>
      <c r="G122" s="27"/>
      <c r="H122" s="20"/>
      <c r="I122" s="36"/>
      <c r="J122" s="33"/>
      <c r="K122" s="20"/>
      <c r="L122" s="20"/>
    </row>
    <row r="123" spans="2:16" x14ac:dyDescent="0.25">
      <c r="B123" s="20"/>
      <c r="C123" s="20"/>
      <c r="D123" s="20"/>
      <c r="E123" s="20"/>
      <c r="F123" s="20"/>
      <c r="G123" s="27"/>
      <c r="H123" s="20"/>
      <c r="I123" s="36"/>
      <c r="J123" s="33"/>
      <c r="K123" s="20"/>
      <c r="L123" s="20"/>
    </row>
    <row r="124" spans="2:16" x14ac:dyDescent="0.25">
      <c r="B124" s="20"/>
      <c r="C124" s="20"/>
      <c r="D124" s="20"/>
      <c r="E124" s="20"/>
      <c r="F124" s="20"/>
      <c r="G124" s="27"/>
      <c r="H124" s="20"/>
      <c r="I124" s="36"/>
      <c r="J124" s="33"/>
      <c r="K124" s="20"/>
      <c r="L124" s="20"/>
    </row>
    <row r="125" spans="2:16" x14ac:dyDescent="0.25">
      <c r="B125" s="20"/>
      <c r="C125" s="20"/>
      <c r="D125" s="20"/>
      <c r="E125" s="20"/>
      <c r="F125" s="20"/>
      <c r="G125" s="27"/>
      <c r="H125" s="20"/>
      <c r="I125" s="36"/>
      <c r="J125" s="33"/>
      <c r="K125" s="20"/>
      <c r="L125" s="20"/>
    </row>
    <row r="126" spans="2:16" x14ac:dyDescent="0.25">
      <c r="B126" s="20"/>
      <c r="C126" s="20"/>
      <c r="D126" s="20"/>
      <c r="E126" s="20"/>
      <c r="F126" s="20"/>
      <c r="G126" s="27"/>
      <c r="H126" s="20"/>
      <c r="I126" s="36"/>
      <c r="J126" s="33"/>
      <c r="K126" s="20"/>
      <c r="L126" s="20"/>
    </row>
    <row r="127" spans="2:16" x14ac:dyDescent="0.25">
      <c r="B127" s="20"/>
      <c r="C127" s="20"/>
      <c r="D127" s="20"/>
      <c r="E127" s="20"/>
      <c r="F127" s="20"/>
      <c r="G127" s="27"/>
      <c r="H127" s="20"/>
      <c r="I127" s="36"/>
      <c r="J127" s="33"/>
      <c r="K127" s="20"/>
      <c r="L127" s="20"/>
    </row>
    <row r="128" spans="2:16" x14ac:dyDescent="0.25">
      <c r="B128" s="20"/>
      <c r="C128" s="20"/>
      <c r="D128" s="20"/>
      <c r="E128" s="20"/>
      <c r="F128" s="20"/>
      <c r="G128" s="27"/>
      <c r="H128" s="20"/>
      <c r="I128" s="36"/>
      <c r="J128" s="33"/>
      <c r="K128" s="20"/>
      <c r="L128" s="20"/>
    </row>
    <row r="129" spans="2:12" x14ac:dyDescent="0.25">
      <c r="B129" s="20"/>
      <c r="C129" s="20"/>
      <c r="D129" s="20"/>
      <c r="E129" s="20"/>
      <c r="F129" s="20"/>
      <c r="G129" s="27"/>
      <c r="H129" s="20"/>
      <c r="I129" s="36"/>
      <c r="J129" s="33"/>
      <c r="K129" s="20"/>
      <c r="L129" s="20"/>
    </row>
    <row r="130" spans="2:12" x14ac:dyDescent="0.25">
      <c r="B130" s="20"/>
      <c r="C130" s="20"/>
      <c r="D130" s="20"/>
      <c r="E130" s="20"/>
      <c r="F130" s="20"/>
      <c r="G130" s="27"/>
      <c r="H130" s="20"/>
      <c r="I130" s="36"/>
      <c r="J130" s="33"/>
      <c r="K130" s="20"/>
      <c r="L130" s="20"/>
    </row>
    <row r="131" spans="2:12" x14ac:dyDescent="0.25">
      <c r="B131" s="20"/>
      <c r="C131" s="20"/>
      <c r="D131" s="20"/>
      <c r="E131" s="20"/>
      <c r="F131" s="20"/>
      <c r="G131" s="27"/>
      <c r="H131" s="20"/>
      <c r="I131" s="36"/>
      <c r="J131" s="33"/>
      <c r="K131" s="20"/>
      <c r="L131" s="20"/>
    </row>
    <row r="132" spans="2:12" x14ac:dyDescent="0.25">
      <c r="B132" s="20"/>
      <c r="C132" s="20"/>
      <c r="D132" s="20"/>
      <c r="E132" s="20"/>
      <c r="F132" s="20"/>
      <c r="G132" s="27"/>
      <c r="H132" s="20"/>
      <c r="I132" s="36"/>
      <c r="J132" s="33"/>
      <c r="K132" s="20"/>
      <c r="L132" s="20"/>
    </row>
    <row r="133" spans="2:12" x14ac:dyDescent="0.25">
      <c r="B133" s="20"/>
      <c r="C133" s="20"/>
      <c r="D133" s="20"/>
      <c r="E133" s="20"/>
      <c r="F133" s="20"/>
      <c r="G133" s="27"/>
      <c r="H133" s="20"/>
      <c r="I133" s="36"/>
      <c r="J133" s="33"/>
      <c r="K133" s="20"/>
      <c r="L133" s="20"/>
    </row>
    <row r="134" spans="2:12" x14ac:dyDescent="0.25">
      <c r="B134" s="20"/>
      <c r="C134" s="20"/>
      <c r="D134" s="20"/>
      <c r="E134" s="20"/>
      <c r="F134" s="20"/>
      <c r="G134" s="27"/>
      <c r="H134" s="20"/>
      <c r="I134" s="36"/>
      <c r="J134" s="33"/>
      <c r="K134" s="20"/>
      <c r="L134" s="20"/>
    </row>
    <row r="135" spans="2:12" x14ac:dyDescent="0.25">
      <c r="B135" s="20"/>
      <c r="C135" s="20"/>
      <c r="D135" s="20"/>
      <c r="E135" s="20"/>
      <c r="F135" s="20"/>
      <c r="G135" s="27"/>
      <c r="H135" s="20"/>
      <c r="I135" s="36"/>
      <c r="J135" s="33"/>
      <c r="K135" s="20"/>
      <c r="L135" s="20"/>
    </row>
    <row r="136" spans="2:12" x14ac:dyDescent="0.25">
      <c r="B136" s="20"/>
      <c r="C136" s="20"/>
      <c r="D136" s="20"/>
      <c r="E136" s="20"/>
      <c r="F136" s="20"/>
      <c r="G136" s="27"/>
      <c r="H136" s="20"/>
      <c r="I136" s="36"/>
      <c r="J136" s="33"/>
      <c r="K136" s="20"/>
      <c r="L136" s="20"/>
    </row>
    <row r="137" spans="2:12" x14ac:dyDescent="0.25">
      <c r="B137" s="20"/>
      <c r="C137" s="20"/>
      <c r="D137" s="20"/>
      <c r="E137" s="20"/>
      <c r="F137" s="20"/>
      <c r="G137" s="27"/>
      <c r="H137" s="20"/>
      <c r="I137" s="36"/>
      <c r="J137" s="33"/>
      <c r="K137" s="20"/>
      <c r="L137" s="20"/>
    </row>
    <row r="138" spans="2:12" x14ac:dyDescent="0.25">
      <c r="B138" s="20"/>
      <c r="C138" s="20"/>
      <c r="D138" s="20"/>
      <c r="E138" s="20"/>
      <c r="F138" s="20"/>
      <c r="G138" s="27"/>
      <c r="H138" s="20"/>
      <c r="I138" s="36"/>
      <c r="J138" s="33"/>
      <c r="K138" s="20"/>
      <c r="L138" s="20"/>
    </row>
    <row r="139" spans="2:12" x14ac:dyDescent="0.25">
      <c r="B139" s="20"/>
      <c r="C139" s="20"/>
      <c r="D139" s="20"/>
      <c r="E139" s="20"/>
      <c r="F139" s="20"/>
      <c r="G139" s="27"/>
      <c r="H139" s="20"/>
      <c r="I139" s="36"/>
      <c r="J139" s="33"/>
      <c r="K139" s="20"/>
      <c r="L139" s="20"/>
    </row>
    <row r="140" spans="2:12" x14ac:dyDescent="0.25">
      <c r="B140" s="20"/>
      <c r="C140" s="20"/>
      <c r="D140" s="20"/>
      <c r="E140" s="20"/>
      <c r="F140" s="20"/>
      <c r="G140" s="27"/>
      <c r="H140" s="20"/>
      <c r="I140" s="36"/>
      <c r="J140" s="33"/>
      <c r="K140" s="20"/>
      <c r="L140" s="20"/>
    </row>
    <row r="141" spans="2:12" x14ac:dyDescent="0.25">
      <c r="B141" s="20"/>
      <c r="C141" s="20"/>
      <c r="D141" s="20"/>
      <c r="E141" s="20"/>
      <c r="F141" s="20"/>
      <c r="G141" s="27"/>
      <c r="H141" s="20"/>
      <c r="I141" s="36"/>
      <c r="J141" s="33"/>
      <c r="K141" s="20"/>
      <c r="L141" s="20"/>
    </row>
    <row r="142" spans="2:12" x14ac:dyDescent="0.25">
      <c r="B142" s="20"/>
      <c r="C142" s="20"/>
      <c r="D142" s="20"/>
      <c r="E142" s="20"/>
      <c r="F142" s="20"/>
      <c r="G142" s="27"/>
      <c r="H142" s="20"/>
      <c r="I142" s="36"/>
      <c r="J142" s="33"/>
      <c r="K142" s="20"/>
      <c r="L142" s="20"/>
    </row>
    <row r="143" spans="2:12" x14ac:dyDescent="0.25">
      <c r="B143" s="20"/>
      <c r="C143" s="20"/>
      <c r="D143" s="20"/>
      <c r="E143" s="20"/>
      <c r="F143" s="20"/>
      <c r="G143" s="27"/>
      <c r="H143" s="20"/>
      <c r="I143" s="36"/>
      <c r="J143" s="33"/>
      <c r="K143" s="20"/>
      <c r="L143" s="20"/>
    </row>
    <row r="144" spans="2:12" x14ac:dyDescent="0.25">
      <c r="B144" s="20"/>
      <c r="C144" s="20"/>
      <c r="D144" s="20"/>
      <c r="E144" s="20"/>
      <c r="F144" s="20"/>
      <c r="G144" s="27"/>
      <c r="H144" s="20"/>
      <c r="I144" s="36"/>
      <c r="J144" s="33"/>
      <c r="K144" s="20"/>
      <c r="L144" s="20"/>
    </row>
    <row r="145" spans="2:12" x14ac:dyDescent="0.25">
      <c r="B145" s="20"/>
      <c r="C145" s="20"/>
      <c r="D145" s="20"/>
      <c r="E145" s="20"/>
      <c r="F145" s="20"/>
      <c r="G145" s="27"/>
      <c r="H145" s="20"/>
      <c r="I145" s="36"/>
      <c r="J145" s="33"/>
      <c r="K145" s="20"/>
      <c r="L145" s="20"/>
    </row>
    <row r="146" spans="2:12" x14ac:dyDescent="0.25">
      <c r="B146" s="20"/>
      <c r="C146" s="20"/>
      <c r="D146" s="20"/>
      <c r="E146" s="20"/>
      <c r="F146" s="20"/>
      <c r="G146" s="27"/>
      <c r="H146" s="20"/>
      <c r="I146" s="36"/>
      <c r="J146" s="33"/>
      <c r="K146" s="20"/>
      <c r="L146" s="20"/>
    </row>
    <row r="147" spans="2:12" x14ac:dyDescent="0.25">
      <c r="B147" s="20"/>
      <c r="C147" s="20"/>
      <c r="D147" s="20"/>
      <c r="E147" s="20"/>
      <c r="F147" s="20"/>
      <c r="G147" s="27"/>
      <c r="H147" s="20"/>
      <c r="I147" s="36"/>
      <c r="J147" s="33"/>
      <c r="K147" s="20"/>
      <c r="L147" s="20"/>
    </row>
    <row r="148" spans="2:12" x14ac:dyDescent="0.25">
      <c r="B148" s="20"/>
      <c r="C148" s="20"/>
      <c r="D148" s="20"/>
      <c r="E148" s="20"/>
      <c r="F148" s="20"/>
      <c r="G148" s="27"/>
      <c r="H148" s="20"/>
      <c r="I148" s="36"/>
      <c r="J148" s="33"/>
      <c r="K148" s="20"/>
      <c r="L148" s="20"/>
    </row>
    <row r="149" spans="2:12" x14ac:dyDescent="0.25">
      <c r="B149" s="20"/>
      <c r="C149" s="20"/>
      <c r="D149" s="20"/>
      <c r="E149" s="20"/>
      <c r="F149" s="20"/>
      <c r="G149" s="27"/>
      <c r="H149" s="20"/>
      <c r="I149" s="36"/>
      <c r="J149" s="33"/>
      <c r="K149" s="20"/>
      <c r="L149" s="20"/>
    </row>
    <row r="150" spans="2:12" x14ac:dyDescent="0.25">
      <c r="B150" s="20"/>
      <c r="C150" s="20"/>
      <c r="D150" s="20"/>
      <c r="E150" s="20"/>
      <c r="F150" s="20"/>
      <c r="G150" s="27"/>
      <c r="H150" s="20"/>
      <c r="I150" s="36"/>
      <c r="J150" s="33"/>
      <c r="K150" s="20"/>
      <c r="L150" s="20"/>
    </row>
    <row r="151" spans="2:12" x14ac:dyDescent="0.25">
      <c r="B151" s="20"/>
      <c r="C151" s="20"/>
      <c r="D151" s="20"/>
      <c r="E151" s="20"/>
      <c r="F151" s="20"/>
      <c r="G151" s="27"/>
      <c r="H151" s="20"/>
      <c r="I151" s="36"/>
      <c r="J151" s="33"/>
      <c r="K151" s="20"/>
      <c r="L151" s="20"/>
    </row>
    <row r="152" spans="2:12" x14ac:dyDescent="0.25">
      <c r="B152" s="20"/>
      <c r="C152" s="20"/>
      <c r="D152" s="20"/>
      <c r="E152" s="20"/>
      <c r="F152" s="20"/>
      <c r="G152" s="27"/>
      <c r="H152" s="20"/>
      <c r="I152" s="36"/>
      <c r="J152" s="33"/>
      <c r="K152" s="20"/>
      <c r="L152" s="20"/>
    </row>
    <row r="153" spans="2:12" x14ac:dyDescent="0.25">
      <c r="B153" s="20"/>
      <c r="C153" s="20"/>
      <c r="D153" s="20"/>
      <c r="E153" s="20"/>
      <c r="F153" s="20"/>
      <c r="G153" s="27"/>
      <c r="H153" s="20"/>
      <c r="I153" s="36"/>
      <c r="J153" s="33"/>
      <c r="K153" s="20"/>
      <c r="L153" s="20"/>
    </row>
    <row r="154" spans="2:12" x14ac:dyDescent="0.25">
      <c r="B154" s="20"/>
      <c r="C154" s="20"/>
      <c r="D154" s="20"/>
      <c r="E154" s="20"/>
      <c r="F154" s="20"/>
      <c r="G154" s="27"/>
      <c r="H154" s="20"/>
      <c r="I154" s="36"/>
      <c r="J154" s="33"/>
      <c r="K154" s="20"/>
      <c r="L154" s="20"/>
    </row>
    <row r="155" spans="2:12" x14ac:dyDescent="0.25">
      <c r="B155" s="20"/>
      <c r="C155" s="20"/>
      <c r="D155" s="20"/>
      <c r="E155" s="20"/>
      <c r="F155" s="20"/>
      <c r="G155" s="27"/>
      <c r="H155" s="20"/>
      <c r="I155" s="36"/>
      <c r="J155" s="33"/>
      <c r="K155" s="20"/>
      <c r="L155" s="20"/>
    </row>
    <row r="156" spans="2:12" x14ac:dyDescent="0.25">
      <c r="B156" s="20"/>
      <c r="C156" s="20"/>
      <c r="D156" s="20"/>
      <c r="E156" s="20"/>
      <c r="F156" s="20"/>
      <c r="G156" s="27"/>
      <c r="H156" s="20"/>
      <c r="I156" s="36"/>
      <c r="J156" s="33"/>
      <c r="K156" s="20"/>
      <c r="L156" s="20"/>
    </row>
    <row r="157" spans="2:12" x14ac:dyDescent="0.25">
      <c r="B157" s="20"/>
      <c r="C157" s="20"/>
      <c r="D157" s="20"/>
      <c r="E157" s="20"/>
      <c r="F157" s="20"/>
      <c r="G157" s="27"/>
      <c r="H157" s="20"/>
      <c r="I157" s="36"/>
      <c r="J157" s="33"/>
      <c r="K157" s="20"/>
      <c r="L157" s="20"/>
    </row>
    <row r="158" spans="2:12" x14ac:dyDescent="0.25">
      <c r="B158" s="20"/>
      <c r="C158" s="20"/>
      <c r="D158" s="20"/>
      <c r="E158" s="20"/>
      <c r="F158" s="20"/>
      <c r="G158" s="27"/>
      <c r="H158" s="20"/>
      <c r="I158" s="36"/>
      <c r="J158" s="33"/>
      <c r="K158" s="20"/>
      <c r="L158" s="20"/>
    </row>
    <row r="159" spans="2:12" x14ac:dyDescent="0.25">
      <c r="B159" s="20"/>
      <c r="C159" s="20"/>
      <c r="D159" s="20"/>
      <c r="E159" s="20"/>
      <c r="F159" s="20"/>
      <c r="G159" s="27"/>
      <c r="H159" s="20"/>
      <c r="I159" s="36"/>
      <c r="J159" s="33"/>
      <c r="K159" s="20"/>
      <c r="L159" s="20"/>
    </row>
    <row r="160" spans="2:12" x14ac:dyDescent="0.25">
      <c r="B160" s="20"/>
      <c r="C160" s="20"/>
      <c r="D160" s="20"/>
      <c r="E160" s="20"/>
      <c r="F160" s="20"/>
      <c r="G160" s="27"/>
      <c r="H160" s="20"/>
      <c r="I160" s="36"/>
      <c r="J160" s="33"/>
      <c r="K160" s="20"/>
      <c r="L160" s="20"/>
    </row>
    <row r="161" spans="2:12" x14ac:dyDescent="0.25">
      <c r="B161" s="20"/>
      <c r="C161" s="20"/>
      <c r="D161" s="20"/>
      <c r="E161" s="20"/>
      <c r="F161" s="20"/>
      <c r="G161" s="27"/>
      <c r="H161" s="20"/>
      <c r="I161" s="36"/>
      <c r="J161" s="33"/>
      <c r="K161" s="20"/>
      <c r="L161" s="20"/>
    </row>
    <row r="162" spans="2:12" x14ac:dyDescent="0.25">
      <c r="B162" s="20"/>
      <c r="C162" s="20"/>
      <c r="D162" s="20"/>
      <c r="E162" s="20"/>
      <c r="F162" s="20"/>
      <c r="G162" s="27"/>
      <c r="H162" s="20"/>
      <c r="I162" s="36"/>
      <c r="J162" s="33"/>
      <c r="K162" s="20"/>
      <c r="L162" s="20"/>
    </row>
    <row r="163" spans="2:12" x14ac:dyDescent="0.25">
      <c r="B163" s="20"/>
      <c r="C163" s="20"/>
      <c r="D163" s="20"/>
      <c r="E163" s="20"/>
      <c r="F163" s="20"/>
      <c r="G163" s="27"/>
      <c r="H163" s="20"/>
      <c r="I163" s="36"/>
      <c r="J163" s="33"/>
      <c r="K163" s="20"/>
      <c r="L163" s="20"/>
    </row>
    <row r="164" spans="2:12" x14ac:dyDescent="0.25">
      <c r="B164" s="20"/>
      <c r="C164" s="20"/>
      <c r="D164" s="20"/>
      <c r="E164" s="20"/>
      <c r="F164" s="20"/>
      <c r="G164" s="27"/>
      <c r="H164" s="20"/>
      <c r="I164" s="36"/>
      <c r="J164" s="33"/>
      <c r="K164" s="20"/>
      <c r="L164" s="20"/>
    </row>
    <row r="165" spans="2:12" x14ac:dyDescent="0.25">
      <c r="B165" s="20"/>
      <c r="C165" s="20"/>
      <c r="D165" s="20"/>
      <c r="E165" s="20"/>
      <c r="F165" s="20"/>
      <c r="G165" s="27"/>
      <c r="H165" s="20"/>
      <c r="I165" s="36"/>
      <c r="J165" s="33"/>
      <c r="K165" s="20"/>
      <c r="L165" s="20"/>
    </row>
    <row r="166" spans="2:12" x14ac:dyDescent="0.25">
      <c r="B166" s="20"/>
      <c r="C166" s="20"/>
      <c r="D166" s="20"/>
      <c r="E166" s="20"/>
      <c r="F166" s="20"/>
      <c r="G166" s="27"/>
      <c r="H166" s="20"/>
      <c r="I166" s="36"/>
      <c r="J166" s="33"/>
      <c r="K166" s="20"/>
      <c r="L166" s="20"/>
    </row>
    <row r="167" spans="2:12" x14ac:dyDescent="0.25">
      <c r="B167" s="20"/>
      <c r="C167" s="20"/>
      <c r="D167" s="20"/>
      <c r="E167" s="20"/>
      <c r="F167" s="20"/>
      <c r="G167" s="27"/>
      <c r="H167" s="20"/>
      <c r="I167" s="36"/>
      <c r="J167" s="33"/>
      <c r="K167" s="20"/>
      <c r="L167" s="20"/>
    </row>
    <row r="168" spans="2:12" x14ac:dyDescent="0.25">
      <c r="B168" s="20"/>
      <c r="C168" s="20"/>
      <c r="D168" s="20"/>
      <c r="E168" s="20"/>
      <c r="F168" s="20"/>
      <c r="G168" s="27"/>
      <c r="H168" s="20"/>
      <c r="I168" s="36"/>
      <c r="J168" s="33"/>
      <c r="K168" s="20"/>
      <c r="L168" s="20"/>
    </row>
    <row r="169" spans="2:12" x14ac:dyDescent="0.25">
      <c r="B169" s="20"/>
      <c r="C169" s="20"/>
      <c r="D169" s="20"/>
      <c r="E169" s="20"/>
      <c r="F169" s="20"/>
      <c r="G169" s="27"/>
      <c r="H169" s="20"/>
      <c r="I169" s="36"/>
      <c r="J169" s="33"/>
      <c r="K169" s="20"/>
      <c r="L169" s="20"/>
    </row>
    <row r="170" spans="2:12" x14ac:dyDescent="0.25">
      <c r="B170" s="20"/>
      <c r="C170" s="20"/>
      <c r="D170" s="20"/>
      <c r="E170" s="20"/>
      <c r="F170" s="20"/>
      <c r="G170" s="27"/>
      <c r="H170" s="20"/>
      <c r="I170" s="36"/>
      <c r="J170" s="33"/>
      <c r="K170" s="20"/>
      <c r="L170" s="20"/>
    </row>
    <row r="171" spans="2:12" x14ac:dyDescent="0.25">
      <c r="B171" s="20"/>
      <c r="C171" s="20"/>
      <c r="D171" s="20"/>
      <c r="E171" s="20"/>
      <c r="F171" s="20"/>
      <c r="G171" s="27"/>
      <c r="H171" s="20"/>
      <c r="I171" s="36"/>
      <c r="J171" s="33"/>
      <c r="K171" s="20"/>
      <c r="L171" s="20"/>
    </row>
    <row r="172" spans="2:12" x14ac:dyDescent="0.25">
      <c r="B172" s="20"/>
      <c r="C172" s="20"/>
      <c r="D172" s="20"/>
      <c r="E172" s="20"/>
      <c r="F172" s="20"/>
      <c r="G172" s="27"/>
      <c r="H172" s="20"/>
      <c r="I172" s="36"/>
      <c r="J172" s="33"/>
      <c r="K172" s="20"/>
      <c r="L172" s="20"/>
    </row>
    <row r="173" spans="2:12" x14ac:dyDescent="0.25">
      <c r="B173" s="20"/>
      <c r="C173" s="20"/>
      <c r="D173" s="20"/>
      <c r="E173" s="20"/>
      <c r="F173" s="20"/>
      <c r="G173" s="27"/>
      <c r="H173" s="20"/>
      <c r="I173" s="36"/>
      <c r="J173" s="33"/>
      <c r="K173" s="20"/>
      <c r="L173" s="20"/>
    </row>
    <row r="174" spans="2:12" x14ac:dyDescent="0.25">
      <c r="B174" s="20"/>
      <c r="C174" s="20"/>
      <c r="D174" s="20"/>
      <c r="E174" s="20"/>
      <c r="F174" s="20"/>
      <c r="G174" s="27"/>
      <c r="H174" s="20"/>
      <c r="I174" s="36"/>
      <c r="J174" s="33"/>
      <c r="K174" s="20"/>
      <c r="L174" s="20"/>
    </row>
    <row r="175" spans="2:12" x14ac:dyDescent="0.25">
      <c r="B175" s="20"/>
      <c r="C175" s="20"/>
      <c r="D175" s="20"/>
      <c r="E175" s="20"/>
      <c r="F175" s="20"/>
      <c r="G175" s="27"/>
      <c r="H175" s="20"/>
      <c r="I175" s="36"/>
      <c r="J175" s="33"/>
      <c r="K175" s="20"/>
      <c r="L175" s="20"/>
    </row>
    <row r="176" spans="2:12" x14ac:dyDescent="0.25">
      <c r="B176" s="20"/>
      <c r="C176" s="20"/>
      <c r="D176" s="20"/>
      <c r="E176" s="20"/>
      <c r="F176" s="20"/>
      <c r="G176" s="27"/>
      <c r="H176" s="20"/>
      <c r="I176" s="36"/>
      <c r="J176" s="33"/>
      <c r="K176" s="20"/>
      <c r="L176" s="20"/>
    </row>
    <row r="177" spans="2:12" x14ac:dyDescent="0.25">
      <c r="B177" s="20"/>
      <c r="C177" s="20"/>
      <c r="D177" s="20"/>
      <c r="E177" s="20"/>
      <c r="F177" s="20"/>
      <c r="G177" s="27"/>
      <c r="H177" s="20"/>
      <c r="I177" s="36"/>
      <c r="J177" s="33"/>
      <c r="K177" s="20"/>
      <c r="L177" s="20"/>
    </row>
    <row r="178" spans="2:12" x14ac:dyDescent="0.25">
      <c r="B178" s="20"/>
      <c r="C178" s="20"/>
      <c r="D178" s="20"/>
      <c r="E178" s="20"/>
      <c r="F178" s="20"/>
      <c r="G178" s="27"/>
      <c r="H178" s="20"/>
      <c r="I178" s="36"/>
      <c r="J178" s="33"/>
      <c r="K178" s="20"/>
      <c r="L178" s="20"/>
    </row>
    <row r="179" spans="2:12" x14ac:dyDescent="0.25">
      <c r="B179" s="20"/>
      <c r="C179" s="20"/>
      <c r="D179" s="20"/>
      <c r="E179" s="20"/>
      <c r="F179" s="20"/>
      <c r="G179" s="27"/>
      <c r="H179" s="20"/>
      <c r="I179" s="36"/>
      <c r="J179" s="33"/>
      <c r="K179" s="20"/>
      <c r="L179" s="20"/>
    </row>
    <row r="180" spans="2:12" x14ac:dyDescent="0.25">
      <c r="B180" s="20"/>
      <c r="C180" s="20"/>
      <c r="D180" s="20"/>
      <c r="E180" s="20"/>
      <c r="F180" s="20"/>
      <c r="G180" s="27"/>
      <c r="H180" s="20"/>
      <c r="I180" s="36"/>
      <c r="J180" s="33"/>
      <c r="K180" s="20"/>
      <c r="L180" s="20"/>
    </row>
    <row r="181" spans="2:12" x14ac:dyDescent="0.25">
      <c r="B181" s="20"/>
      <c r="C181" s="20"/>
      <c r="D181" s="20"/>
      <c r="E181" s="20"/>
      <c r="F181" s="20"/>
      <c r="G181" s="27"/>
      <c r="H181" s="20"/>
      <c r="I181" s="36"/>
      <c r="J181" s="33"/>
      <c r="K181" s="20"/>
      <c r="L181" s="20"/>
    </row>
    <row r="182" spans="2:12" x14ac:dyDescent="0.25">
      <c r="B182" s="20"/>
      <c r="C182" s="20"/>
      <c r="D182" s="20"/>
      <c r="E182" s="20"/>
      <c r="F182" s="20"/>
      <c r="G182" s="27"/>
      <c r="H182" s="20"/>
      <c r="I182" s="36"/>
      <c r="J182" s="33"/>
      <c r="K182" s="20"/>
      <c r="L182" s="20"/>
    </row>
    <row r="183" spans="2:12" x14ac:dyDescent="0.25">
      <c r="B183" s="20"/>
      <c r="C183" s="20"/>
      <c r="D183" s="20"/>
      <c r="E183" s="20"/>
      <c r="F183" s="20"/>
      <c r="G183" s="27"/>
      <c r="H183" s="20"/>
      <c r="I183" s="36"/>
      <c r="J183" s="33"/>
      <c r="K183" s="20"/>
      <c r="L183" s="20"/>
    </row>
    <row r="184" spans="2:12" x14ac:dyDescent="0.25">
      <c r="B184" s="20"/>
      <c r="C184" s="20"/>
      <c r="D184" s="20"/>
      <c r="E184" s="20"/>
      <c r="F184" s="20"/>
      <c r="G184" s="27"/>
      <c r="H184" s="20"/>
      <c r="I184" s="36"/>
      <c r="J184" s="33"/>
      <c r="K184" s="20"/>
      <c r="L184" s="20"/>
    </row>
    <row r="185" spans="2:12" x14ac:dyDescent="0.25">
      <c r="B185" s="20"/>
      <c r="C185" s="20"/>
      <c r="D185" s="20"/>
      <c r="E185" s="20"/>
      <c r="F185" s="20"/>
      <c r="G185" s="27"/>
      <c r="H185" s="20"/>
      <c r="I185" s="36"/>
      <c r="J185" s="33"/>
      <c r="K185" s="20"/>
      <c r="L185" s="20"/>
    </row>
    <row r="186" spans="2:12" x14ac:dyDescent="0.25">
      <c r="B186" s="20"/>
      <c r="C186" s="20"/>
      <c r="D186" s="20"/>
      <c r="E186" s="20"/>
      <c r="F186" s="20"/>
      <c r="G186" s="27"/>
      <c r="H186" s="20"/>
      <c r="I186" s="36"/>
      <c r="J186" s="33"/>
      <c r="K186" s="20"/>
      <c r="L186" s="20"/>
    </row>
    <row r="187" spans="2:12" x14ac:dyDescent="0.25">
      <c r="B187" s="20"/>
      <c r="C187" s="20"/>
      <c r="D187" s="20"/>
      <c r="E187" s="20"/>
      <c r="F187" s="20"/>
      <c r="G187" s="27"/>
      <c r="H187" s="20"/>
      <c r="I187" s="36"/>
      <c r="J187" s="33"/>
      <c r="K187" s="20"/>
      <c r="L187" s="20"/>
    </row>
    <row r="188" spans="2:12" x14ac:dyDescent="0.25">
      <c r="B188" s="20"/>
      <c r="C188" s="20"/>
      <c r="D188" s="20"/>
      <c r="E188" s="20"/>
      <c r="F188" s="20"/>
      <c r="G188" s="27"/>
      <c r="H188" s="20"/>
      <c r="I188" s="36"/>
      <c r="J188" s="33"/>
      <c r="K188" s="20"/>
      <c r="L188" s="20"/>
    </row>
    <row r="189" spans="2:12" x14ac:dyDescent="0.25">
      <c r="B189" s="20"/>
      <c r="C189" s="20"/>
      <c r="D189" s="20"/>
      <c r="E189" s="20"/>
      <c r="F189" s="20"/>
      <c r="G189" s="27"/>
      <c r="H189" s="20"/>
      <c r="I189" s="36"/>
      <c r="J189" s="33"/>
      <c r="K189" s="20"/>
      <c r="L189" s="20"/>
    </row>
    <row r="190" spans="2:12" x14ac:dyDescent="0.25">
      <c r="B190" s="20"/>
      <c r="C190" s="20"/>
      <c r="D190" s="20"/>
      <c r="E190" s="20"/>
      <c r="F190" s="20"/>
      <c r="G190" s="27"/>
      <c r="H190" s="20"/>
      <c r="I190" s="36"/>
      <c r="J190" s="33"/>
      <c r="K190" s="20"/>
      <c r="L190" s="20"/>
    </row>
    <row r="191" spans="2:12" x14ac:dyDescent="0.25">
      <c r="B191" s="20"/>
      <c r="C191" s="20"/>
      <c r="D191" s="20"/>
      <c r="E191" s="20"/>
      <c r="F191" s="20"/>
      <c r="G191" s="27"/>
      <c r="H191" s="20"/>
      <c r="I191" s="36"/>
      <c r="J191" s="33"/>
      <c r="K191" s="20"/>
      <c r="L191" s="20"/>
    </row>
    <row r="192" spans="2:12" x14ac:dyDescent="0.25">
      <c r="B192" s="20"/>
      <c r="C192" s="20"/>
      <c r="D192" s="20"/>
      <c r="E192" s="20"/>
      <c r="F192" s="20"/>
      <c r="G192" s="27"/>
      <c r="H192" s="20"/>
      <c r="I192" s="36"/>
      <c r="J192" s="33"/>
      <c r="K192" s="20"/>
      <c r="L192" s="20"/>
    </row>
    <row r="193" spans="2:12" x14ac:dyDescent="0.25">
      <c r="B193" s="20"/>
      <c r="C193" s="20"/>
      <c r="D193" s="20"/>
      <c r="E193" s="20"/>
      <c r="F193" s="20"/>
      <c r="G193" s="27"/>
      <c r="H193" s="20"/>
      <c r="I193" s="36"/>
      <c r="J193" s="33"/>
      <c r="K193" s="20"/>
      <c r="L193" s="20"/>
    </row>
    <row r="194" spans="2:12" x14ac:dyDescent="0.25">
      <c r="B194" s="20"/>
      <c r="C194" s="20"/>
      <c r="D194" s="20"/>
      <c r="E194" s="20"/>
      <c r="F194" s="20"/>
      <c r="G194" s="27"/>
      <c r="H194" s="20"/>
      <c r="I194" s="36"/>
      <c r="J194" s="33"/>
      <c r="K194" s="20"/>
      <c r="L194" s="20"/>
    </row>
    <row r="195" spans="2:12" x14ac:dyDescent="0.25">
      <c r="B195" s="20"/>
      <c r="C195" s="20"/>
      <c r="D195" s="20"/>
      <c r="E195" s="20"/>
      <c r="F195" s="20"/>
      <c r="G195" s="27"/>
      <c r="H195" s="20"/>
      <c r="I195" s="36"/>
      <c r="J195" s="33"/>
      <c r="K195" s="20"/>
      <c r="L195" s="20"/>
    </row>
    <row r="196" spans="2:12" x14ac:dyDescent="0.25">
      <c r="B196" s="20"/>
      <c r="C196" s="20"/>
      <c r="D196" s="20"/>
      <c r="E196" s="20"/>
      <c r="F196" s="20"/>
      <c r="G196" s="27"/>
      <c r="H196" s="20"/>
      <c r="I196" s="36"/>
      <c r="J196" s="33"/>
      <c r="K196" s="20"/>
      <c r="L196" s="20"/>
    </row>
    <row r="197" spans="2:12" x14ac:dyDescent="0.25">
      <c r="B197" s="20"/>
      <c r="C197" s="20"/>
      <c r="D197" s="20"/>
      <c r="E197" s="20"/>
      <c r="F197" s="20"/>
      <c r="G197" s="27"/>
      <c r="H197" s="20"/>
      <c r="I197" s="36"/>
      <c r="J197" s="33"/>
      <c r="K197" s="20"/>
      <c r="L197" s="20"/>
    </row>
    <row r="198" spans="2:12" x14ac:dyDescent="0.25">
      <c r="B198" s="20"/>
      <c r="C198" s="20"/>
      <c r="D198" s="20"/>
      <c r="E198" s="20"/>
      <c r="F198" s="20"/>
      <c r="G198" s="27"/>
      <c r="H198" s="20"/>
      <c r="I198" s="36"/>
      <c r="J198" s="33"/>
      <c r="K198" s="20"/>
      <c r="L198" s="20"/>
    </row>
    <row r="199" spans="2:12" x14ac:dyDescent="0.25">
      <c r="B199" s="20"/>
      <c r="C199" s="20"/>
      <c r="D199" s="20"/>
      <c r="E199" s="20"/>
      <c r="F199" s="20"/>
      <c r="G199" s="27"/>
      <c r="H199" s="20"/>
      <c r="I199" s="36"/>
      <c r="J199" s="33"/>
      <c r="K199" s="20"/>
      <c r="L199" s="20"/>
    </row>
    <row r="200" spans="2:12" x14ac:dyDescent="0.25">
      <c r="B200" s="20"/>
      <c r="C200" s="20"/>
      <c r="D200" s="20"/>
      <c r="E200" s="20"/>
      <c r="F200" s="20"/>
      <c r="G200" s="27"/>
      <c r="H200" s="20"/>
      <c r="I200" s="36"/>
      <c r="J200" s="33"/>
      <c r="K200" s="20"/>
      <c r="L200" s="20"/>
    </row>
    <row r="201" spans="2:12" x14ac:dyDescent="0.25">
      <c r="B201" s="20"/>
      <c r="C201" s="20"/>
      <c r="D201" s="20"/>
      <c r="E201" s="20"/>
      <c r="F201" s="20"/>
      <c r="G201" s="27"/>
      <c r="H201" s="20"/>
      <c r="I201" s="36"/>
      <c r="J201" s="33"/>
      <c r="K201" s="20"/>
      <c r="L201" s="20"/>
    </row>
    <row r="202" spans="2:12" x14ac:dyDescent="0.25">
      <c r="B202" s="20"/>
      <c r="C202" s="20"/>
      <c r="D202" s="20"/>
      <c r="E202" s="20"/>
      <c r="F202" s="20"/>
      <c r="G202" s="27"/>
      <c r="H202" s="20"/>
      <c r="I202" s="36"/>
      <c r="J202" s="33"/>
      <c r="K202" s="20"/>
      <c r="L202" s="20"/>
    </row>
    <row r="203" spans="2:12" x14ac:dyDescent="0.25">
      <c r="B203" s="20"/>
      <c r="C203" s="20"/>
      <c r="D203" s="20"/>
      <c r="E203" s="20"/>
      <c r="F203" s="20"/>
      <c r="G203" s="27"/>
      <c r="H203" s="20"/>
      <c r="I203" s="36"/>
      <c r="J203" s="33"/>
      <c r="K203" s="20"/>
      <c r="L203" s="20"/>
    </row>
    <row r="204" spans="2:12" x14ac:dyDescent="0.25">
      <c r="B204" s="20"/>
      <c r="C204" s="20"/>
      <c r="D204" s="20"/>
      <c r="E204" s="20"/>
      <c r="F204" s="20"/>
      <c r="G204" s="27"/>
      <c r="H204" s="20"/>
      <c r="I204" s="36"/>
      <c r="J204" s="33"/>
      <c r="K204" s="20"/>
      <c r="L204" s="20"/>
    </row>
    <row r="205" spans="2:12" x14ac:dyDescent="0.25">
      <c r="B205" s="20"/>
      <c r="C205" s="20"/>
      <c r="D205" s="20"/>
      <c r="E205" s="20"/>
      <c r="F205" s="20"/>
      <c r="G205" s="27"/>
      <c r="H205" s="20"/>
      <c r="I205" s="36"/>
      <c r="J205" s="33"/>
      <c r="K205" s="20"/>
      <c r="L205" s="20"/>
    </row>
    <row r="206" spans="2:12" x14ac:dyDescent="0.25">
      <c r="B206" s="20"/>
      <c r="C206" s="20"/>
      <c r="D206" s="20"/>
      <c r="E206" s="20"/>
      <c r="F206" s="20"/>
      <c r="G206" s="27"/>
      <c r="H206" s="20"/>
      <c r="I206" s="36"/>
      <c r="J206" s="33"/>
      <c r="K206" s="20"/>
      <c r="L206" s="20"/>
    </row>
    <row r="207" spans="2:12" x14ac:dyDescent="0.25">
      <c r="B207" s="20"/>
      <c r="C207" s="20"/>
      <c r="D207" s="20"/>
      <c r="E207" s="20"/>
      <c r="F207" s="20"/>
      <c r="G207" s="27"/>
      <c r="H207" s="20"/>
      <c r="I207" s="36"/>
      <c r="J207" s="33"/>
      <c r="K207" s="20"/>
      <c r="L207" s="20"/>
    </row>
    <row r="208" spans="2:12" x14ac:dyDescent="0.25">
      <c r="B208" s="20"/>
      <c r="C208" s="20"/>
      <c r="D208" s="20"/>
      <c r="E208" s="20"/>
      <c r="F208" s="20"/>
      <c r="G208" s="27"/>
      <c r="H208" s="20"/>
      <c r="I208" s="36"/>
      <c r="J208" s="33"/>
      <c r="K208" s="20"/>
      <c r="L208" s="20"/>
    </row>
    <row r="209" spans="2:12" x14ac:dyDescent="0.25">
      <c r="B209" s="20"/>
      <c r="C209" s="20"/>
      <c r="D209" s="20"/>
      <c r="E209" s="20"/>
      <c r="F209" s="20"/>
      <c r="G209" s="27"/>
      <c r="H209" s="20"/>
      <c r="I209" s="36"/>
      <c r="J209" s="33"/>
      <c r="K209" s="20"/>
      <c r="L209" s="20"/>
    </row>
    <row r="210" spans="2:12" x14ac:dyDescent="0.25">
      <c r="B210" s="20"/>
      <c r="C210" s="20"/>
      <c r="D210" s="20"/>
      <c r="E210" s="20"/>
      <c r="F210" s="20"/>
      <c r="G210" s="27"/>
      <c r="H210" s="20"/>
      <c r="I210" s="36"/>
      <c r="J210" s="33"/>
      <c r="K210" s="20"/>
      <c r="L210" s="20"/>
    </row>
    <row r="211" spans="2:12" x14ac:dyDescent="0.25">
      <c r="B211" s="20"/>
      <c r="C211" s="20"/>
      <c r="D211" s="20"/>
      <c r="E211" s="20"/>
      <c r="F211" s="20"/>
      <c r="G211" s="27"/>
      <c r="H211" s="20"/>
      <c r="I211" s="36"/>
      <c r="J211" s="33"/>
      <c r="K211" s="20"/>
      <c r="L211" s="20"/>
    </row>
    <row r="212" spans="2:12" x14ac:dyDescent="0.25">
      <c r="B212" s="20"/>
      <c r="C212" s="20"/>
      <c r="D212" s="20"/>
      <c r="E212" s="20"/>
      <c r="F212" s="20"/>
      <c r="G212" s="27"/>
      <c r="H212" s="20"/>
      <c r="I212" s="36"/>
      <c r="J212" s="33"/>
      <c r="K212" s="20"/>
      <c r="L212" s="20"/>
    </row>
    <row r="213" spans="2:12" x14ac:dyDescent="0.25">
      <c r="B213" s="20"/>
      <c r="C213" s="20"/>
      <c r="D213" s="20"/>
      <c r="E213" s="20"/>
      <c r="F213" s="20"/>
      <c r="G213" s="27"/>
      <c r="H213" s="20"/>
      <c r="I213" s="36"/>
      <c r="J213" s="33"/>
      <c r="K213" s="20"/>
      <c r="L213" s="20"/>
    </row>
    <row r="214" spans="2:12" x14ac:dyDescent="0.25">
      <c r="B214" s="20"/>
      <c r="C214" s="20"/>
      <c r="D214" s="20"/>
      <c r="E214" s="20"/>
      <c r="F214" s="20"/>
      <c r="G214" s="27"/>
      <c r="H214" s="20"/>
      <c r="I214" s="36"/>
      <c r="J214" s="33"/>
      <c r="K214" s="20"/>
      <c r="L214" s="20"/>
    </row>
    <row r="215" spans="2:12" x14ac:dyDescent="0.25">
      <c r="B215" s="20"/>
      <c r="C215" s="20"/>
      <c r="D215" s="20"/>
      <c r="E215" s="20"/>
      <c r="F215" s="20"/>
      <c r="G215" s="27"/>
      <c r="H215" s="20"/>
      <c r="I215" s="36"/>
      <c r="J215" s="33"/>
      <c r="K215" s="20"/>
      <c r="L215" s="20"/>
    </row>
    <row r="216" spans="2:12" x14ac:dyDescent="0.25">
      <c r="B216" s="20"/>
      <c r="C216" s="20"/>
      <c r="D216" s="20"/>
      <c r="E216" s="20"/>
      <c r="F216" s="20"/>
      <c r="G216" s="27"/>
      <c r="H216" s="20"/>
      <c r="I216" s="36"/>
      <c r="J216" s="33"/>
      <c r="K216" s="20"/>
      <c r="L216" s="20"/>
    </row>
    <row r="217" spans="2:12" x14ac:dyDescent="0.25">
      <c r="B217" s="20"/>
      <c r="C217" s="20"/>
      <c r="D217" s="20"/>
      <c r="E217" s="20"/>
      <c r="F217" s="20"/>
      <c r="G217" s="27"/>
      <c r="H217" s="20"/>
      <c r="I217" s="36"/>
      <c r="J217" s="33"/>
      <c r="K217" s="20"/>
      <c r="L217" s="20"/>
    </row>
    <row r="218" spans="2:12" x14ac:dyDescent="0.25">
      <c r="B218" s="20"/>
      <c r="C218" s="20"/>
      <c r="D218" s="20"/>
      <c r="E218" s="20"/>
      <c r="F218" s="20"/>
      <c r="G218" s="27"/>
      <c r="H218" s="20"/>
      <c r="I218" s="36"/>
      <c r="J218" s="33"/>
      <c r="K218" s="20"/>
      <c r="L218" s="20"/>
    </row>
    <row r="219" spans="2:12" x14ac:dyDescent="0.25">
      <c r="B219" s="20"/>
      <c r="C219" s="20"/>
      <c r="D219" s="20"/>
      <c r="E219" s="20"/>
      <c r="F219" s="20"/>
      <c r="G219" s="27"/>
      <c r="H219" s="20"/>
      <c r="I219" s="36"/>
      <c r="J219" s="33"/>
      <c r="K219" s="20"/>
      <c r="L219" s="20"/>
    </row>
    <row r="220" spans="2:12" x14ac:dyDescent="0.25">
      <c r="B220" s="20"/>
      <c r="C220" s="20"/>
      <c r="D220" s="20"/>
      <c r="E220" s="20"/>
      <c r="F220" s="20"/>
      <c r="G220" s="27"/>
      <c r="H220" s="20"/>
      <c r="I220" s="36"/>
      <c r="J220" s="33"/>
      <c r="K220" s="20"/>
      <c r="L220" s="20"/>
    </row>
    <row r="221" spans="2:12" x14ac:dyDescent="0.25">
      <c r="B221" s="20"/>
      <c r="C221" s="20"/>
      <c r="D221" s="20"/>
      <c r="E221" s="20"/>
      <c r="F221" s="20"/>
      <c r="G221" s="27"/>
      <c r="H221" s="20"/>
      <c r="I221" s="36"/>
      <c r="J221" s="33"/>
      <c r="K221" s="20"/>
      <c r="L221" s="20"/>
    </row>
    <row r="222" spans="2:12" x14ac:dyDescent="0.25">
      <c r="B222" s="20"/>
      <c r="C222" s="20"/>
      <c r="D222" s="20"/>
      <c r="E222" s="20"/>
      <c r="F222" s="20"/>
      <c r="G222" s="27"/>
      <c r="H222" s="20"/>
      <c r="I222" s="36"/>
      <c r="J222" s="33"/>
      <c r="K222" s="20"/>
      <c r="L222" s="20"/>
    </row>
    <row r="223" spans="2:12" x14ac:dyDescent="0.25">
      <c r="B223" s="20"/>
      <c r="C223" s="20"/>
      <c r="D223" s="20"/>
      <c r="E223" s="20"/>
      <c r="F223" s="20"/>
      <c r="G223" s="27"/>
      <c r="H223" s="20"/>
      <c r="I223" s="36"/>
      <c r="J223" s="33"/>
      <c r="K223" s="20"/>
      <c r="L223" s="20"/>
    </row>
    <row r="224" spans="2:12" x14ac:dyDescent="0.25">
      <c r="B224" s="20"/>
      <c r="C224" s="20"/>
      <c r="D224" s="20"/>
      <c r="E224" s="20"/>
      <c r="F224" s="20"/>
      <c r="G224" s="27"/>
      <c r="H224" s="20"/>
      <c r="I224" s="36"/>
      <c r="J224" s="33"/>
      <c r="K224" s="20"/>
      <c r="L224" s="20"/>
    </row>
    <row r="225" spans="2:12" x14ac:dyDescent="0.25">
      <c r="B225" s="20"/>
      <c r="C225" s="20"/>
      <c r="D225" s="20"/>
      <c r="E225" s="20"/>
      <c r="F225" s="20"/>
      <c r="G225" s="27"/>
      <c r="H225" s="20"/>
      <c r="I225" s="36"/>
      <c r="J225" s="33"/>
      <c r="K225" s="20"/>
      <c r="L225" s="20"/>
    </row>
    <row r="226" spans="2:12" x14ac:dyDescent="0.25">
      <c r="B226" s="20"/>
      <c r="C226" s="20"/>
      <c r="D226" s="20"/>
      <c r="E226" s="20"/>
      <c r="F226" s="20"/>
      <c r="G226" s="27"/>
      <c r="H226" s="20"/>
      <c r="I226" s="36"/>
      <c r="J226" s="33"/>
      <c r="K226" s="20"/>
      <c r="L226" s="20"/>
    </row>
    <row r="227" spans="2:12" x14ac:dyDescent="0.25">
      <c r="B227" s="20"/>
      <c r="C227" s="20"/>
      <c r="D227" s="20"/>
      <c r="E227" s="20"/>
      <c r="F227" s="20"/>
      <c r="G227" s="27"/>
      <c r="H227" s="20"/>
      <c r="I227" s="36"/>
      <c r="J227" s="33"/>
      <c r="K227" s="20"/>
      <c r="L227" s="20"/>
    </row>
    <row r="228" spans="2:12" x14ac:dyDescent="0.25">
      <c r="B228" s="20"/>
      <c r="C228" s="20"/>
      <c r="D228" s="20"/>
      <c r="E228" s="20"/>
      <c r="F228" s="20"/>
      <c r="G228" s="27"/>
      <c r="H228" s="20"/>
      <c r="I228" s="36"/>
      <c r="J228" s="33"/>
      <c r="K228" s="20"/>
      <c r="L228" s="20"/>
    </row>
    <row r="229" spans="2:12" x14ac:dyDescent="0.25">
      <c r="B229" s="20"/>
      <c r="C229" s="20"/>
      <c r="D229" s="20"/>
      <c r="E229" s="20"/>
      <c r="F229" s="20"/>
      <c r="G229" s="27"/>
      <c r="H229" s="20"/>
      <c r="I229" s="36"/>
      <c r="J229" s="33"/>
      <c r="K229" s="20"/>
      <c r="L229" s="20"/>
    </row>
    <row r="230" spans="2:12" x14ac:dyDescent="0.25">
      <c r="B230" s="20"/>
      <c r="C230" s="20"/>
      <c r="D230" s="20"/>
      <c r="E230" s="20"/>
      <c r="F230" s="20"/>
      <c r="G230" s="27"/>
      <c r="H230" s="20"/>
      <c r="I230" s="36"/>
      <c r="J230" s="33"/>
      <c r="K230" s="20"/>
      <c r="L230" s="20"/>
    </row>
    <row r="231" spans="2:12" x14ac:dyDescent="0.25">
      <c r="B231" s="20"/>
      <c r="C231" s="20"/>
      <c r="D231" s="20"/>
      <c r="E231" s="20"/>
      <c r="F231" s="20"/>
      <c r="G231" s="27"/>
      <c r="H231" s="20"/>
      <c r="I231" s="36"/>
      <c r="J231" s="33"/>
      <c r="K231" s="20"/>
      <c r="L231" s="20"/>
    </row>
    <row r="232" spans="2:12" x14ac:dyDescent="0.25">
      <c r="B232" s="20"/>
      <c r="C232" s="20"/>
      <c r="D232" s="20"/>
      <c r="E232" s="20"/>
      <c r="F232" s="20"/>
      <c r="G232" s="27"/>
      <c r="H232" s="20"/>
      <c r="I232" s="36"/>
      <c r="J232" s="33"/>
      <c r="K232" s="20"/>
      <c r="L232" s="20"/>
    </row>
    <row r="233" spans="2:12" x14ac:dyDescent="0.25">
      <c r="B233" s="20"/>
      <c r="C233" s="20"/>
      <c r="D233" s="20"/>
      <c r="E233" s="20"/>
      <c r="F233" s="20"/>
      <c r="G233" s="27"/>
      <c r="H233" s="20"/>
      <c r="I233" s="36"/>
      <c r="J233" s="33"/>
      <c r="K233" s="20"/>
      <c r="L233" s="20"/>
    </row>
    <row r="234" spans="2:12" x14ac:dyDescent="0.25">
      <c r="B234" s="20"/>
      <c r="C234" s="20"/>
      <c r="D234" s="20"/>
      <c r="E234" s="20"/>
      <c r="F234" s="20"/>
      <c r="G234" s="27"/>
      <c r="H234" s="20"/>
      <c r="I234" s="36"/>
      <c r="J234" s="33"/>
      <c r="K234" s="20"/>
      <c r="L234" s="20"/>
    </row>
    <row r="235" spans="2:12" x14ac:dyDescent="0.25">
      <c r="B235" s="20"/>
      <c r="C235" s="20"/>
      <c r="D235" s="20"/>
      <c r="E235" s="20"/>
      <c r="F235" s="20"/>
      <c r="G235" s="27"/>
      <c r="H235" s="20"/>
      <c r="I235" s="36"/>
      <c r="J235" s="33"/>
      <c r="K235" s="20"/>
      <c r="L235" s="20"/>
    </row>
    <row r="236" spans="2:12" x14ac:dyDescent="0.25">
      <c r="B236" s="20"/>
      <c r="C236" s="20"/>
      <c r="D236" s="20"/>
      <c r="E236" s="20"/>
      <c r="F236" s="20"/>
      <c r="G236" s="27"/>
      <c r="H236" s="20"/>
      <c r="I236" s="36"/>
      <c r="J236" s="33"/>
      <c r="K236" s="20"/>
      <c r="L236" s="20"/>
    </row>
    <row r="237" spans="2:12" x14ac:dyDescent="0.25">
      <c r="B237" s="20"/>
      <c r="C237" s="20"/>
      <c r="D237" s="20"/>
      <c r="E237" s="20"/>
      <c r="F237" s="20"/>
      <c r="G237" s="27"/>
      <c r="H237" s="20"/>
      <c r="I237" s="36"/>
      <c r="J237" s="33"/>
      <c r="K237" s="20"/>
      <c r="L237" s="20"/>
    </row>
    <row r="238" spans="2:12" x14ac:dyDescent="0.25">
      <c r="B238" s="20"/>
      <c r="C238" s="20"/>
      <c r="D238" s="20"/>
      <c r="E238" s="20"/>
      <c r="F238" s="20"/>
      <c r="G238" s="27"/>
      <c r="H238" s="20"/>
      <c r="I238" s="36"/>
      <c r="J238" s="33"/>
      <c r="K238" s="20"/>
      <c r="L238" s="20"/>
    </row>
    <row r="239" spans="2:12" x14ac:dyDescent="0.25">
      <c r="B239" s="20"/>
      <c r="C239" s="20"/>
      <c r="D239" s="20"/>
      <c r="E239" s="20"/>
      <c r="F239" s="20"/>
      <c r="G239" s="27"/>
      <c r="H239" s="20"/>
      <c r="I239" s="36"/>
      <c r="J239" s="33"/>
      <c r="K239" s="20"/>
      <c r="L239" s="20"/>
    </row>
    <row r="240" spans="2:12" x14ac:dyDescent="0.25">
      <c r="B240" s="20"/>
      <c r="C240" s="20"/>
      <c r="D240" s="20"/>
      <c r="E240" s="20"/>
      <c r="F240" s="20"/>
      <c r="G240" s="27"/>
      <c r="H240" s="20"/>
      <c r="I240" s="36"/>
      <c r="J240" s="33"/>
      <c r="K240" s="20"/>
      <c r="L240" s="20"/>
    </row>
    <row r="241" spans="2:12" x14ac:dyDescent="0.25">
      <c r="B241" s="20"/>
      <c r="C241" s="20"/>
      <c r="D241" s="20"/>
      <c r="E241" s="20"/>
      <c r="F241" s="20"/>
      <c r="G241" s="27"/>
      <c r="H241" s="20"/>
      <c r="I241" s="36"/>
      <c r="J241" s="33"/>
      <c r="K241" s="20"/>
      <c r="L241" s="20"/>
    </row>
    <row r="242" spans="2:12" x14ac:dyDescent="0.25">
      <c r="B242" s="20"/>
      <c r="C242" s="20"/>
      <c r="D242" s="20"/>
      <c r="E242" s="20"/>
      <c r="F242" s="20"/>
      <c r="G242" s="27"/>
      <c r="H242" s="20"/>
      <c r="I242" s="36"/>
      <c r="J242" s="33"/>
      <c r="K242" s="20"/>
      <c r="L242" s="20"/>
    </row>
    <row r="243" spans="2:12" x14ac:dyDescent="0.25">
      <c r="B243" s="20"/>
      <c r="C243" s="20"/>
      <c r="D243" s="20"/>
      <c r="E243" s="20"/>
      <c r="F243" s="20"/>
      <c r="G243" s="27"/>
      <c r="H243" s="20"/>
      <c r="I243" s="36"/>
      <c r="J243" s="33"/>
      <c r="K243" s="20"/>
      <c r="L243" s="20"/>
    </row>
    <row r="244" spans="2:12" x14ac:dyDescent="0.25">
      <c r="B244" s="20"/>
      <c r="C244" s="20"/>
      <c r="D244" s="20"/>
      <c r="E244" s="20"/>
      <c r="F244" s="20"/>
      <c r="G244" s="27"/>
      <c r="H244" s="20"/>
      <c r="I244" s="36"/>
      <c r="J244" s="33"/>
      <c r="K244" s="20"/>
      <c r="L244" s="20"/>
    </row>
    <row r="245" spans="2:12" x14ac:dyDescent="0.25">
      <c r="B245" s="20"/>
      <c r="C245" s="20"/>
      <c r="D245" s="20"/>
      <c r="E245" s="20"/>
      <c r="F245" s="20"/>
      <c r="G245" s="27"/>
      <c r="H245" s="20"/>
      <c r="I245" s="36"/>
      <c r="J245" s="33"/>
      <c r="K245" s="20"/>
      <c r="L245" s="20"/>
    </row>
    <row r="246" spans="2:12" x14ac:dyDescent="0.25">
      <c r="B246" s="20"/>
      <c r="C246" s="20"/>
      <c r="D246" s="20"/>
      <c r="E246" s="20"/>
      <c r="F246" s="20"/>
      <c r="G246" s="27"/>
      <c r="H246" s="20"/>
      <c r="I246" s="36"/>
      <c r="J246" s="33"/>
      <c r="K246" s="20"/>
      <c r="L246" s="20"/>
    </row>
    <row r="247" spans="2:12" x14ac:dyDescent="0.25">
      <c r="B247" s="20"/>
      <c r="C247" s="20"/>
      <c r="D247" s="20"/>
      <c r="E247" s="20"/>
      <c r="F247" s="20"/>
      <c r="G247" s="27"/>
      <c r="H247" s="20"/>
      <c r="I247" s="36"/>
      <c r="J247" s="33"/>
      <c r="K247" s="20"/>
      <c r="L247" s="20"/>
    </row>
    <row r="248" spans="2:12" x14ac:dyDescent="0.25">
      <c r="B248" s="20"/>
      <c r="C248" s="20"/>
      <c r="D248" s="20"/>
      <c r="E248" s="20"/>
      <c r="F248" s="20"/>
      <c r="G248" s="27"/>
      <c r="H248" s="20"/>
      <c r="I248" s="36"/>
      <c r="J248" s="33"/>
      <c r="K248" s="20"/>
      <c r="L248" s="20"/>
    </row>
    <row r="249" spans="2:12" x14ac:dyDescent="0.25">
      <c r="B249" s="20"/>
      <c r="C249" s="20"/>
      <c r="D249" s="20"/>
      <c r="E249" s="20"/>
      <c r="F249" s="20"/>
      <c r="G249" s="27"/>
      <c r="H249" s="20"/>
      <c r="I249" s="36"/>
      <c r="J249" s="33"/>
      <c r="K249" s="20"/>
      <c r="L249" s="20"/>
    </row>
    <row r="250" spans="2:12" x14ac:dyDescent="0.25">
      <c r="B250" s="20"/>
      <c r="C250" s="20"/>
      <c r="D250" s="20"/>
      <c r="E250" s="20"/>
      <c r="F250" s="20"/>
      <c r="G250" s="27"/>
      <c r="H250" s="20"/>
      <c r="I250" s="36"/>
      <c r="J250" s="33"/>
      <c r="K250" s="20"/>
      <c r="L250" s="20"/>
    </row>
    <row r="251" spans="2:12" x14ac:dyDescent="0.25">
      <c r="B251" s="20"/>
      <c r="C251" s="20"/>
      <c r="D251" s="20"/>
      <c r="E251" s="20"/>
      <c r="F251" s="20"/>
      <c r="G251" s="27"/>
      <c r="H251" s="20"/>
      <c r="I251" s="36"/>
      <c r="J251" s="33"/>
      <c r="K251" s="20"/>
      <c r="L251" s="20"/>
    </row>
    <row r="252" spans="2:12" x14ac:dyDescent="0.25">
      <c r="B252" s="20"/>
      <c r="C252" s="20"/>
      <c r="D252" s="20"/>
      <c r="E252" s="20"/>
      <c r="F252" s="20"/>
      <c r="G252" s="27"/>
      <c r="H252" s="20"/>
      <c r="I252" s="36"/>
      <c r="J252" s="33"/>
      <c r="K252" s="20"/>
      <c r="L252" s="20"/>
    </row>
    <row r="253" spans="2:12" x14ac:dyDescent="0.25">
      <c r="B253" s="20"/>
      <c r="C253" s="20"/>
      <c r="D253" s="20"/>
      <c r="E253" s="20"/>
      <c r="F253" s="20"/>
      <c r="G253" s="27"/>
      <c r="H253" s="20"/>
      <c r="I253" s="36"/>
      <c r="J253" s="33"/>
      <c r="K253" s="20"/>
      <c r="L253" s="20"/>
    </row>
    <row r="254" spans="2:12" x14ac:dyDescent="0.25">
      <c r="B254" s="20"/>
      <c r="C254" s="20"/>
      <c r="D254" s="20"/>
      <c r="E254" s="20"/>
      <c r="F254" s="20"/>
      <c r="G254" s="27"/>
      <c r="H254" s="20"/>
      <c r="I254" s="36"/>
      <c r="J254" s="33"/>
      <c r="K254" s="20"/>
      <c r="L254" s="20"/>
    </row>
    <row r="255" spans="2:12" x14ac:dyDescent="0.25">
      <c r="B255" s="20"/>
      <c r="C255" s="20"/>
      <c r="D255" s="20"/>
      <c r="E255" s="20"/>
      <c r="F255" s="20"/>
      <c r="G255" s="27"/>
      <c r="H255" s="20"/>
      <c r="I255" s="36"/>
      <c r="J255" s="33"/>
      <c r="K255" s="20"/>
      <c r="L255" s="20"/>
    </row>
    <row r="256" spans="2:12" x14ac:dyDescent="0.25">
      <c r="B256" s="20"/>
      <c r="C256" s="20"/>
      <c r="D256" s="20"/>
      <c r="E256" s="20"/>
      <c r="F256" s="20"/>
      <c r="G256" s="27"/>
      <c r="H256" s="20"/>
      <c r="I256" s="36"/>
      <c r="J256" s="33"/>
      <c r="K256" s="20"/>
      <c r="L256" s="20"/>
    </row>
    <row r="257" spans="2:12" x14ac:dyDescent="0.25">
      <c r="B257" s="20"/>
      <c r="C257" s="20"/>
      <c r="D257" s="20"/>
      <c r="E257" s="20"/>
      <c r="F257" s="20"/>
      <c r="G257" s="27"/>
      <c r="H257" s="20"/>
      <c r="I257" s="36"/>
      <c r="J257" s="33"/>
      <c r="K257" s="20"/>
      <c r="L257" s="20"/>
    </row>
    <row r="258" spans="2:12" x14ac:dyDescent="0.25">
      <c r="B258" s="20"/>
      <c r="C258" s="20"/>
      <c r="D258" s="20"/>
      <c r="E258" s="20"/>
      <c r="F258" s="20"/>
      <c r="G258" s="27"/>
      <c r="H258" s="20"/>
      <c r="I258" s="36"/>
      <c r="J258" s="33"/>
      <c r="K258" s="20"/>
      <c r="L258" s="20"/>
    </row>
    <row r="259" spans="2:12" x14ac:dyDescent="0.25">
      <c r="B259" s="20"/>
      <c r="C259" s="20"/>
      <c r="D259" s="20"/>
      <c r="E259" s="20"/>
      <c r="F259" s="20"/>
      <c r="G259" s="27"/>
      <c r="H259" s="20"/>
      <c r="I259" s="36"/>
      <c r="J259" s="33"/>
      <c r="K259" s="20"/>
      <c r="L259" s="20"/>
    </row>
    <row r="260" spans="2:12" x14ac:dyDescent="0.25">
      <c r="B260" s="20"/>
      <c r="C260" s="20"/>
      <c r="D260" s="20"/>
      <c r="E260" s="20"/>
      <c r="F260" s="20"/>
      <c r="G260" s="27"/>
      <c r="H260" s="20"/>
      <c r="I260" s="36"/>
      <c r="J260" s="33"/>
      <c r="K260" s="20"/>
      <c r="L260" s="20"/>
    </row>
    <row r="261" spans="2:12" x14ac:dyDescent="0.25">
      <c r="B261" s="20"/>
      <c r="C261" s="20"/>
      <c r="D261" s="20"/>
      <c r="E261" s="20"/>
      <c r="F261" s="20"/>
      <c r="G261" s="27"/>
      <c r="H261" s="20"/>
      <c r="I261" s="36"/>
      <c r="J261" s="33"/>
      <c r="K261" s="20"/>
      <c r="L261" s="20"/>
    </row>
    <row r="262" spans="2:12" x14ac:dyDescent="0.25">
      <c r="B262" s="20"/>
      <c r="C262" s="20"/>
      <c r="D262" s="20"/>
      <c r="E262" s="20"/>
      <c r="F262" s="20"/>
      <c r="G262" s="27"/>
      <c r="H262" s="20"/>
      <c r="I262" s="36"/>
      <c r="J262" s="33"/>
      <c r="K262" s="20"/>
      <c r="L262" s="20"/>
    </row>
    <row r="263" spans="2:12" x14ac:dyDescent="0.25">
      <c r="B263" s="20"/>
      <c r="C263" s="20"/>
      <c r="D263" s="20"/>
      <c r="E263" s="20"/>
      <c r="F263" s="20"/>
      <c r="G263" s="27"/>
      <c r="H263" s="20"/>
      <c r="I263" s="36"/>
      <c r="J263" s="33"/>
      <c r="K263" s="20"/>
      <c r="L263" s="20"/>
    </row>
    <row r="264" spans="2:12" x14ac:dyDescent="0.25">
      <c r="B264" s="20"/>
      <c r="C264" s="20"/>
      <c r="D264" s="20"/>
      <c r="E264" s="20"/>
      <c r="F264" s="20"/>
      <c r="G264" s="27"/>
      <c r="H264" s="20"/>
      <c r="I264" s="36"/>
      <c r="J264" s="33"/>
      <c r="K264" s="20"/>
      <c r="L264" s="20"/>
    </row>
    <row r="265" spans="2:12" x14ac:dyDescent="0.25">
      <c r="B265" s="20"/>
      <c r="C265" s="20"/>
      <c r="D265" s="20"/>
      <c r="E265" s="20"/>
      <c r="F265" s="20"/>
      <c r="G265" s="27"/>
      <c r="H265" s="20"/>
      <c r="I265" s="36"/>
      <c r="J265" s="33"/>
      <c r="K265" s="20"/>
      <c r="L265" s="20"/>
    </row>
    <row r="266" spans="2:12" x14ac:dyDescent="0.25">
      <c r="B266" s="20"/>
      <c r="C266" s="20"/>
      <c r="D266" s="20"/>
      <c r="E266" s="20"/>
      <c r="F266" s="20"/>
      <c r="G266" s="27"/>
      <c r="H266" s="20"/>
      <c r="I266" s="36"/>
      <c r="J266" s="33"/>
      <c r="K266" s="20"/>
      <c r="L266" s="20"/>
    </row>
    <row r="267" spans="2:12" x14ac:dyDescent="0.25">
      <c r="B267" s="20"/>
      <c r="C267" s="20"/>
      <c r="D267" s="20"/>
      <c r="E267" s="20"/>
      <c r="F267" s="20"/>
      <c r="G267" s="27"/>
      <c r="H267" s="20"/>
      <c r="I267" s="36"/>
      <c r="J267" s="33"/>
      <c r="K267" s="20"/>
      <c r="L267" s="20"/>
    </row>
    <row r="268" spans="2:12" x14ac:dyDescent="0.25">
      <c r="B268" s="20"/>
      <c r="C268" s="20"/>
      <c r="D268" s="20"/>
      <c r="E268" s="20"/>
      <c r="F268" s="20"/>
      <c r="G268" s="27"/>
      <c r="H268" s="20"/>
      <c r="I268" s="36"/>
      <c r="J268" s="33"/>
      <c r="K268" s="20"/>
      <c r="L268" s="20"/>
    </row>
    <row r="269" spans="2:12" x14ac:dyDescent="0.25">
      <c r="B269" s="20"/>
      <c r="C269" s="20"/>
      <c r="D269" s="20"/>
      <c r="E269" s="20"/>
      <c r="F269" s="20"/>
      <c r="G269" s="27"/>
      <c r="H269" s="20"/>
      <c r="I269" s="36"/>
      <c r="J269" s="33"/>
      <c r="K269" s="20"/>
      <c r="L269" s="20"/>
    </row>
    <row r="270" spans="2:12" x14ac:dyDescent="0.25">
      <c r="B270" s="20"/>
      <c r="C270" s="20"/>
      <c r="D270" s="20"/>
      <c r="E270" s="20"/>
      <c r="F270" s="20"/>
      <c r="G270" s="27"/>
      <c r="H270" s="20"/>
      <c r="I270" s="36"/>
      <c r="J270" s="33"/>
      <c r="K270" s="20"/>
      <c r="L270" s="20"/>
    </row>
    <row r="271" spans="2:12" x14ac:dyDescent="0.25">
      <c r="B271" s="20"/>
      <c r="C271" s="20"/>
      <c r="D271" s="20"/>
      <c r="E271" s="20"/>
      <c r="F271" s="20"/>
      <c r="G271" s="27"/>
      <c r="H271" s="20"/>
      <c r="I271" s="36"/>
      <c r="J271" s="33"/>
      <c r="K271" s="20"/>
      <c r="L271" s="20"/>
    </row>
    <row r="272" spans="2:12" x14ac:dyDescent="0.25">
      <c r="B272" s="20"/>
      <c r="C272" s="20"/>
      <c r="D272" s="20"/>
      <c r="E272" s="20"/>
      <c r="F272" s="20"/>
      <c r="G272" s="27"/>
      <c r="H272" s="20"/>
      <c r="I272" s="36"/>
      <c r="J272" s="33"/>
      <c r="K272" s="20"/>
      <c r="L272" s="20"/>
    </row>
    <row r="273" spans="2:12" x14ac:dyDescent="0.25">
      <c r="B273" s="20"/>
      <c r="C273" s="20"/>
      <c r="D273" s="20"/>
      <c r="E273" s="20"/>
      <c r="F273" s="20"/>
      <c r="G273" s="27"/>
      <c r="H273" s="20"/>
      <c r="I273" s="36"/>
      <c r="J273" s="33"/>
      <c r="K273" s="20"/>
      <c r="L273" s="20"/>
    </row>
    <row r="274" spans="2:12" x14ac:dyDescent="0.25">
      <c r="B274" s="20"/>
      <c r="C274" s="20"/>
      <c r="D274" s="20"/>
      <c r="E274" s="20"/>
      <c r="F274" s="20"/>
      <c r="G274" s="27"/>
      <c r="H274" s="20"/>
      <c r="I274" s="36"/>
      <c r="J274" s="33"/>
      <c r="K274" s="20"/>
      <c r="L274" s="20"/>
    </row>
    <row r="275" spans="2:12" x14ac:dyDescent="0.25">
      <c r="B275" s="20"/>
      <c r="C275" s="20"/>
      <c r="D275" s="20"/>
      <c r="E275" s="20"/>
      <c r="F275" s="20"/>
      <c r="G275" s="27"/>
      <c r="H275" s="20"/>
      <c r="I275" s="36"/>
      <c r="J275" s="33"/>
      <c r="K275" s="20"/>
      <c r="L275" s="20"/>
    </row>
    <row r="276" spans="2:12" x14ac:dyDescent="0.25">
      <c r="B276" s="20"/>
      <c r="C276" s="20"/>
      <c r="D276" s="20"/>
      <c r="E276" s="20"/>
      <c r="F276" s="20"/>
      <c r="G276" s="27"/>
      <c r="H276" s="20"/>
      <c r="I276" s="36"/>
      <c r="J276" s="33"/>
      <c r="K276" s="20"/>
      <c r="L276" s="20"/>
    </row>
    <row r="277" spans="2:12" x14ac:dyDescent="0.25">
      <c r="B277" s="20"/>
      <c r="C277" s="20"/>
      <c r="D277" s="20"/>
      <c r="E277" s="20"/>
      <c r="F277" s="20"/>
      <c r="G277" s="27"/>
      <c r="H277" s="20"/>
      <c r="I277" s="36"/>
      <c r="J277" s="33"/>
      <c r="K277" s="20"/>
      <c r="L277" s="20"/>
    </row>
    <row r="278" spans="2:12" x14ac:dyDescent="0.25">
      <c r="B278" s="20"/>
      <c r="C278" s="20"/>
      <c r="D278" s="20"/>
      <c r="E278" s="20"/>
      <c r="F278" s="20"/>
      <c r="G278" s="27"/>
      <c r="H278" s="20"/>
      <c r="I278" s="36"/>
      <c r="J278" s="33"/>
      <c r="K278" s="20"/>
      <c r="L278" s="20"/>
    </row>
    <row r="279" spans="2:12" x14ac:dyDescent="0.25">
      <c r="B279" s="20"/>
      <c r="C279" s="20"/>
      <c r="D279" s="20"/>
      <c r="E279" s="20"/>
      <c r="F279" s="20"/>
      <c r="G279" s="27"/>
      <c r="H279" s="20"/>
      <c r="I279" s="36"/>
      <c r="J279" s="33"/>
      <c r="K279" s="20"/>
      <c r="L279" s="20"/>
    </row>
    <row r="280" spans="2:12" x14ac:dyDescent="0.25">
      <c r="B280" s="20"/>
      <c r="C280" s="20"/>
      <c r="D280" s="20"/>
      <c r="E280" s="20"/>
      <c r="F280" s="20"/>
      <c r="G280" s="27"/>
      <c r="H280" s="20"/>
      <c r="I280" s="36"/>
      <c r="J280" s="33"/>
      <c r="K280" s="20"/>
      <c r="L280" s="20"/>
    </row>
    <row r="281" spans="2:12" x14ac:dyDescent="0.25">
      <c r="B281" s="20"/>
      <c r="C281" s="20"/>
      <c r="D281" s="20"/>
      <c r="E281" s="20"/>
      <c r="F281" s="20"/>
      <c r="G281" s="27"/>
      <c r="H281" s="20"/>
      <c r="I281" s="36"/>
      <c r="J281" s="33"/>
      <c r="K281" s="20"/>
      <c r="L281" s="20"/>
    </row>
    <row r="282" spans="2:12" x14ac:dyDescent="0.25">
      <c r="B282" s="20"/>
      <c r="C282" s="20"/>
      <c r="D282" s="20"/>
      <c r="E282" s="20"/>
      <c r="F282" s="20"/>
      <c r="G282" s="27"/>
      <c r="H282" s="20"/>
      <c r="I282" s="36"/>
      <c r="J282" s="33"/>
      <c r="K282" s="20"/>
      <c r="L282" s="20"/>
    </row>
    <row r="283" spans="2:12" x14ac:dyDescent="0.25">
      <c r="B283" s="20"/>
      <c r="C283" s="20"/>
      <c r="D283" s="20"/>
      <c r="E283" s="20"/>
      <c r="F283" s="20"/>
      <c r="G283" s="27"/>
      <c r="H283" s="20"/>
      <c r="I283" s="36"/>
      <c r="J283" s="33"/>
      <c r="K283" s="20"/>
      <c r="L283" s="20"/>
    </row>
    <row r="284" spans="2:12" x14ac:dyDescent="0.25">
      <c r="B284" s="20"/>
      <c r="C284" s="20"/>
      <c r="D284" s="20"/>
      <c r="E284" s="20"/>
      <c r="F284" s="20"/>
      <c r="G284" s="27"/>
      <c r="H284" s="20"/>
      <c r="I284" s="36"/>
      <c r="J284" s="33"/>
      <c r="K284" s="20"/>
      <c r="L284" s="20"/>
    </row>
    <row r="285" spans="2:12" x14ac:dyDescent="0.25">
      <c r="B285" s="20"/>
      <c r="C285" s="20"/>
      <c r="D285" s="20"/>
      <c r="E285" s="20"/>
      <c r="F285" s="20"/>
      <c r="G285" s="27"/>
      <c r="H285" s="20"/>
      <c r="I285" s="36"/>
      <c r="J285" s="33"/>
      <c r="K285" s="20"/>
      <c r="L285" s="20"/>
    </row>
    <row r="286" spans="2:12" x14ac:dyDescent="0.25">
      <c r="B286" s="20"/>
      <c r="C286" s="20"/>
      <c r="D286" s="20"/>
      <c r="E286" s="20"/>
      <c r="F286" s="20"/>
      <c r="G286" s="27"/>
      <c r="H286" s="20"/>
      <c r="I286" s="36"/>
      <c r="J286" s="33"/>
      <c r="K286" s="20"/>
      <c r="L286" s="20"/>
    </row>
    <row r="287" spans="2:12" x14ac:dyDescent="0.25">
      <c r="B287" s="20"/>
      <c r="C287" s="20"/>
      <c r="D287" s="20"/>
      <c r="E287" s="20"/>
      <c r="F287" s="20"/>
      <c r="G287" s="27"/>
      <c r="H287" s="20"/>
      <c r="I287" s="36"/>
      <c r="J287" s="33"/>
      <c r="K287" s="20"/>
      <c r="L287" s="20"/>
    </row>
    <row r="288" spans="2:12" x14ac:dyDescent="0.25">
      <c r="B288" s="20"/>
      <c r="C288" s="20"/>
      <c r="D288" s="20"/>
      <c r="E288" s="20"/>
      <c r="F288" s="20"/>
      <c r="G288" s="27"/>
      <c r="H288" s="20"/>
      <c r="I288" s="36"/>
      <c r="J288" s="33"/>
      <c r="K288" s="20"/>
      <c r="L288" s="20"/>
    </row>
    <row r="289" spans="2:12" x14ac:dyDescent="0.25">
      <c r="B289" s="20"/>
      <c r="C289" s="20"/>
      <c r="D289" s="20"/>
      <c r="E289" s="20"/>
      <c r="F289" s="20"/>
      <c r="G289" s="27"/>
      <c r="H289" s="20"/>
      <c r="I289" s="36"/>
      <c r="J289" s="33"/>
      <c r="K289" s="20"/>
      <c r="L289" s="20"/>
    </row>
    <row r="290" spans="2:12" x14ac:dyDescent="0.25">
      <c r="B290" s="20"/>
      <c r="C290" s="20"/>
      <c r="D290" s="20"/>
      <c r="E290" s="20"/>
      <c r="F290" s="20"/>
      <c r="G290" s="27"/>
      <c r="H290" s="20"/>
      <c r="I290" s="36"/>
      <c r="J290" s="33"/>
      <c r="K290" s="20"/>
      <c r="L290" s="20"/>
    </row>
    <row r="291" spans="2:12" x14ac:dyDescent="0.25">
      <c r="B291" s="20"/>
      <c r="C291" s="20"/>
      <c r="D291" s="20"/>
      <c r="E291" s="20"/>
      <c r="F291" s="20"/>
      <c r="G291" s="27"/>
      <c r="H291" s="20"/>
      <c r="I291" s="36"/>
      <c r="J291" s="33"/>
      <c r="K291" s="20"/>
      <c r="L291" s="20"/>
    </row>
    <row r="292" spans="2:12" x14ac:dyDescent="0.25">
      <c r="B292" s="20"/>
      <c r="C292" s="20"/>
      <c r="D292" s="20"/>
      <c r="E292" s="20"/>
      <c r="F292" s="20"/>
      <c r="G292" s="27"/>
      <c r="H292" s="20"/>
      <c r="I292" s="36"/>
      <c r="J292" s="33"/>
      <c r="K292" s="20"/>
      <c r="L292" s="20"/>
    </row>
    <row r="293" spans="2:12" x14ac:dyDescent="0.25">
      <c r="B293" s="20"/>
      <c r="C293" s="20"/>
      <c r="D293" s="20"/>
      <c r="E293" s="20"/>
      <c r="F293" s="20"/>
      <c r="G293" s="27"/>
      <c r="H293" s="20"/>
      <c r="I293" s="36"/>
      <c r="J293" s="33"/>
      <c r="K293" s="20"/>
      <c r="L293" s="20"/>
    </row>
    <row r="294" spans="2:12" x14ac:dyDescent="0.25">
      <c r="B294" s="20"/>
      <c r="C294" s="20"/>
      <c r="D294" s="20"/>
      <c r="E294" s="20"/>
      <c r="F294" s="20"/>
      <c r="G294" s="27"/>
      <c r="H294" s="20"/>
      <c r="I294" s="36"/>
      <c r="J294" s="33"/>
      <c r="K294" s="20"/>
      <c r="L294" s="20"/>
    </row>
    <row r="295" spans="2:12" x14ac:dyDescent="0.25">
      <c r="B295" s="20"/>
      <c r="C295" s="20"/>
      <c r="D295" s="20"/>
      <c r="E295" s="20"/>
      <c r="F295" s="20"/>
      <c r="G295" s="27"/>
      <c r="H295" s="20"/>
      <c r="I295" s="36"/>
      <c r="J295" s="33"/>
      <c r="K295" s="20"/>
      <c r="L295" s="20"/>
    </row>
    <row r="296" spans="2:12" x14ac:dyDescent="0.25">
      <c r="B296" s="20"/>
      <c r="C296" s="20"/>
      <c r="D296" s="20"/>
      <c r="E296" s="20"/>
      <c r="F296" s="20"/>
      <c r="G296" s="27"/>
      <c r="H296" s="20"/>
      <c r="I296" s="36"/>
      <c r="J296" s="33"/>
      <c r="K296" s="20"/>
      <c r="L296" s="20"/>
    </row>
    <row r="297" spans="2:12" x14ac:dyDescent="0.25">
      <c r="B297" s="20"/>
      <c r="C297" s="20"/>
      <c r="D297" s="20"/>
      <c r="E297" s="20"/>
      <c r="F297" s="20"/>
      <c r="G297" s="27"/>
      <c r="H297" s="20"/>
      <c r="I297" s="36"/>
      <c r="J297" s="33"/>
      <c r="K297" s="20"/>
      <c r="L297" s="20"/>
    </row>
    <row r="298" spans="2:12" x14ac:dyDescent="0.25">
      <c r="B298" s="20"/>
      <c r="C298" s="20"/>
      <c r="D298" s="20"/>
      <c r="E298" s="20"/>
      <c r="F298" s="20"/>
      <c r="G298" s="27"/>
      <c r="H298" s="20"/>
      <c r="I298" s="36"/>
      <c r="J298" s="33"/>
      <c r="K298" s="20"/>
      <c r="L298" s="20"/>
    </row>
    <row r="299" spans="2:12" x14ac:dyDescent="0.25">
      <c r="B299" s="20"/>
      <c r="C299" s="20"/>
      <c r="D299" s="20"/>
      <c r="E299" s="20"/>
      <c r="F299" s="20"/>
      <c r="G299" s="27"/>
      <c r="H299" s="20"/>
      <c r="I299" s="36"/>
      <c r="J299" s="33"/>
      <c r="K299" s="20"/>
      <c r="L299" s="20"/>
    </row>
    <row r="300" spans="2:12" x14ac:dyDescent="0.25">
      <c r="B300" s="20"/>
      <c r="C300" s="20"/>
      <c r="D300" s="20"/>
      <c r="E300" s="20"/>
      <c r="F300" s="20"/>
      <c r="G300" s="27"/>
      <c r="H300" s="20"/>
      <c r="I300" s="36"/>
      <c r="J300" s="33"/>
      <c r="K300" s="20"/>
      <c r="L300" s="20"/>
    </row>
    <row r="301" spans="2:12" x14ac:dyDescent="0.25">
      <c r="B301" s="20"/>
      <c r="C301" s="20"/>
      <c r="D301" s="20"/>
      <c r="E301" s="20"/>
      <c r="F301" s="20"/>
      <c r="G301" s="27"/>
      <c r="H301" s="20"/>
      <c r="I301" s="36"/>
      <c r="J301" s="33"/>
      <c r="K301" s="20"/>
      <c r="L301" s="20"/>
    </row>
    <row r="302" spans="2:12" x14ac:dyDescent="0.25">
      <c r="B302" s="20"/>
      <c r="C302" s="20"/>
      <c r="D302" s="20"/>
      <c r="E302" s="20"/>
      <c r="F302" s="20"/>
      <c r="G302" s="27"/>
      <c r="H302" s="20"/>
      <c r="I302" s="36"/>
      <c r="J302" s="33"/>
      <c r="K302" s="20"/>
      <c r="L302" s="20"/>
    </row>
    <row r="303" spans="2:12" x14ac:dyDescent="0.25">
      <c r="B303" s="20"/>
      <c r="C303" s="20"/>
      <c r="D303" s="20"/>
      <c r="E303" s="20"/>
      <c r="F303" s="20"/>
      <c r="G303" s="27"/>
      <c r="H303" s="20"/>
      <c r="I303" s="36"/>
      <c r="J303" s="33"/>
      <c r="K303" s="20"/>
      <c r="L303" s="20"/>
    </row>
    <row r="304" spans="2:12" x14ac:dyDescent="0.25">
      <c r="B304" s="20"/>
      <c r="C304" s="20"/>
      <c r="D304" s="20"/>
      <c r="E304" s="20"/>
      <c r="F304" s="20"/>
      <c r="G304" s="27"/>
      <c r="H304" s="20"/>
      <c r="I304" s="36"/>
      <c r="J304" s="33"/>
      <c r="K304" s="20"/>
      <c r="L304" s="20"/>
    </row>
    <row r="305" spans="2:12" x14ac:dyDescent="0.25">
      <c r="B305" s="20"/>
      <c r="C305" s="20"/>
      <c r="D305" s="20"/>
      <c r="E305" s="20"/>
      <c r="F305" s="20"/>
      <c r="G305" s="27"/>
      <c r="H305" s="20"/>
      <c r="I305" s="36"/>
      <c r="J305" s="33"/>
      <c r="K305" s="20"/>
      <c r="L305" s="20"/>
    </row>
    <row r="306" spans="2:12" x14ac:dyDescent="0.25">
      <c r="B306" s="20"/>
      <c r="C306" s="20"/>
      <c r="D306" s="20"/>
      <c r="E306" s="20"/>
      <c r="F306" s="20"/>
      <c r="G306" s="27"/>
      <c r="H306" s="20"/>
      <c r="I306" s="36"/>
      <c r="J306" s="33"/>
      <c r="K306" s="20"/>
      <c r="L306" s="20"/>
    </row>
    <row r="307" spans="2:12" x14ac:dyDescent="0.25">
      <c r="B307" s="20"/>
      <c r="C307" s="20"/>
      <c r="D307" s="20"/>
      <c r="E307" s="20"/>
      <c r="F307" s="20"/>
      <c r="G307" s="27"/>
      <c r="H307" s="20"/>
      <c r="I307" s="36"/>
      <c r="J307" s="33"/>
      <c r="K307" s="20"/>
      <c r="L307" s="20"/>
    </row>
    <row r="308" spans="2:12" x14ac:dyDescent="0.25">
      <c r="B308" s="20"/>
      <c r="C308" s="20"/>
      <c r="D308" s="20"/>
      <c r="E308" s="20"/>
      <c r="F308" s="20"/>
      <c r="G308" s="27"/>
      <c r="H308" s="20"/>
      <c r="I308" s="36"/>
      <c r="J308" s="33"/>
      <c r="K308" s="20"/>
      <c r="L308" s="20"/>
    </row>
    <row r="309" spans="2:12" x14ac:dyDescent="0.25">
      <c r="B309" s="20"/>
      <c r="C309" s="20"/>
      <c r="D309" s="20"/>
      <c r="E309" s="20"/>
      <c r="F309" s="20"/>
      <c r="G309" s="27"/>
      <c r="H309" s="20"/>
      <c r="I309" s="36"/>
      <c r="J309" s="33"/>
      <c r="K309" s="20"/>
      <c r="L309" s="20"/>
    </row>
    <row r="310" spans="2:12" x14ac:dyDescent="0.25">
      <c r="B310" s="20"/>
      <c r="C310" s="20"/>
      <c r="D310" s="20"/>
      <c r="E310" s="20"/>
      <c r="F310" s="20"/>
      <c r="G310" s="27"/>
      <c r="H310" s="20"/>
      <c r="I310" s="36"/>
      <c r="J310" s="33"/>
      <c r="K310" s="20"/>
      <c r="L310" s="20"/>
    </row>
    <row r="311" spans="2:12" x14ac:dyDescent="0.25">
      <c r="B311" s="20"/>
      <c r="C311" s="20"/>
      <c r="D311" s="20"/>
      <c r="E311" s="20"/>
      <c r="F311" s="20"/>
      <c r="G311" s="27"/>
      <c r="H311" s="20"/>
      <c r="I311" s="36"/>
      <c r="J311" s="33"/>
      <c r="K311" s="20"/>
      <c r="L311" s="20"/>
    </row>
    <row r="312" spans="2:12" x14ac:dyDescent="0.25">
      <c r="B312" s="20"/>
      <c r="C312" s="20"/>
      <c r="D312" s="20"/>
      <c r="E312" s="20"/>
      <c r="F312" s="20"/>
      <c r="G312" s="27"/>
      <c r="H312" s="20"/>
      <c r="I312" s="36"/>
      <c r="J312" s="33"/>
      <c r="K312" s="20"/>
      <c r="L312" s="20"/>
    </row>
    <row r="313" spans="2:12" x14ac:dyDescent="0.25">
      <c r="B313" s="20"/>
      <c r="C313" s="20"/>
      <c r="D313" s="20"/>
      <c r="E313" s="20"/>
      <c r="F313" s="20"/>
      <c r="G313" s="27"/>
      <c r="H313" s="20"/>
      <c r="I313" s="36"/>
      <c r="J313" s="33"/>
      <c r="K313" s="20"/>
      <c r="L313" s="20"/>
    </row>
    <row r="314" spans="2:12" x14ac:dyDescent="0.25">
      <c r="B314" s="20"/>
      <c r="C314" s="20"/>
      <c r="D314" s="20"/>
      <c r="E314" s="20"/>
      <c r="F314" s="20"/>
      <c r="G314" s="27"/>
      <c r="H314" s="20"/>
      <c r="I314" s="36"/>
      <c r="J314" s="33"/>
      <c r="K314" s="20"/>
      <c r="L314" s="20"/>
    </row>
    <row r="315" spans="2:12" x14ac:dyDescent="0.25">
      <c r="B315" s="20"/>
      <c r="C315" s="20"/>
      <c r="D315" s="20"/>
      <c r="E315" s="20"/>
      <c r="F315" s="20"/>
      <c r="G315" s="27"/>
      <c r="H315" s="20"/>
      <c r="I315" s="36"/>
      <c r="J315" s="33"/>
      <c r="K315" s="20"/>
      <c r="L315" s="20"/>
    </row>
    <row r="316" spans="2:12" x14ac:dyDescent="0.25">
      <c r="B316" s="20"/>
      <c r="C316" s="20"/>
      <c r="D316" s="20"/>
      <c r="E316" s="20"/>
      <c r="F316" s="20"/>
      <c r="G316" s="27"/>
      <c r="H316" s="20"/>
      <c r="I316" s="36"/>
      <c r="J316" s="33"/>
      <c r="K316" s="20"/>
      <c r="L316" s="20"/>
    </row>
    <row r="317" spans="2:12" x14ac:dyDescent="0.25">
      <c r="B317" s="20"/>
      <c r="C317" s="20"/>
      <c r="D317" s="20"/>
      <c r="E317" s="20"/>
      <c r="F317" s="20"/>
      <c r="G317" s="27"/>
      <c r="H317" s="20"/>
      <c r="I317" s="36"/>
      <c r="J317" s="33"/>
      <c r="K317" s="20"/>
      <c r="L317" s="20"/>
    </row>
    <row r="318" spans="2:12" x14ac:dyDescent="0.25">
      <c r="B318" s="20"/>
      <c r="C318" s="20"/>
      <c r="D318" s="20"/>
      <c r="E318" s="20"/>
      <c r="F318" s="20"/>
      <c r="G318" s="27"/>
      <c r="H318" s="20"/>
      <c r="I318" s="36"/>
      <c r="J318" s="33"/>
      <c r="K318" s="20"/>
      <c r="L318" s="20"/>
    </row>
    <row r="319" spans="2:12" x14ac:dyDescent="0.25">
      <c r="B319" s="20"/>
      <c r="C319" s="20"/>
      <c r="D319" s="20"/>
      <c r="E319" s="20"/>
      <c r="F319" s="20"/>
      <c r="G319" s="27"/>
      <c r="H319" s="20"/>
      <c r="I319" s="36"/>
      <c r="J319" s="33"/>
      <c r="K319" s="20"/>
      <c r="L319" s="20"/>
    </row>
    <row r="320" spans="2:12" x14ac:dyDescent="0.25">
      <c r="B320" s="20"/>
      <c r="C320" s="20"/>
      <c r="D320" s="20"/>
      <c r="E320" s="20"/>
      <c r="F320" s="20"/>
      <c r="G320" s="27"/>
      <c r="H320" s="20"/>
      <c r="I320" s="36"/>
      <c r="J320" s="33"/>
      <c r="K320" s="20"/>
      <c r="L320" s="20"/>
    </row>
    <row r="321" spans="2:12" x14ac:dyDescent="0.25">
      <c r="B321" s="20"/>
      <c r="C321" s="20"/>
      <c r="D321" s="20"/>
      <c r="E321" s="20"/>
      <c r="F321" s="20"/>
      <c r="G321" s="27"/>
      <c r="H321" s="20"/>
      <c r="I321" s="36"/>
      <c r="J321" s="33"/>
      <c r="K321" s="20"/>
      <c r="L321" s="20"/>
    </row>
    <row r="322" spans="2:12" x14ac:dyDescent="0.25">
      <c r="B322" s="20"/>
      <c r="C322" s="20"/>
      <c r="D322" s="20"/>
      <c r="E322" s="20"/>
      <c r="F322" s="20"/>
      <c r="G322" s="27"/>
      <c r="H322" s="20"/>
      <c r="I322" s="36"/>
      <c r="J322" s="33"/>
      <c r="K322" s="20"/>
      <c r="L322" s="20"/>
    </row>
    <row r="323" spans="2:12" x14ac:dyDescent="0.25">
      <c r="B323" s="20"/>
      <c r="C323" s="20"/>
      <c r="D323" s="20"/>
      <c r="E323" s="20"/>
      <c r="F323" s="20"/>
      <c r="G323" s="27"/>
      <c r="H323" s="20"/>
      <c r="I323" s="36"/>
      <c r="J323" s="33"/>
      <c r="K323" s="20"/>
      <c r="L323" s="20"/>
    </row>
    <row r="324" spans="2:12" x14ac:dyDescent="0.25">
      <c r="B324" s="20"/>
      <c r="C324" s="20"/>
      <c r="D324" s="20"/>
      <c r="E324" s="20"/>
      <c r="F324" s="20"/>
      <c r="G324" s="27"/>
      <c r="H324" s="20"/>
      <c r="I324" s="36"/>
      <c r="J324" s="33"/>
      <c r="K324" s="20"/>
      <c r="L324" s="20"/>
    </row>
    <row r="325" spans="2:12" x14ac:dyDescent="0.25">
      <c r="B325" s="20"/>
      <c r="C325" s="20"/>
      <c r="D325" s="20"/>
      <c r="E325" s="20"/>
      <c r="F325" s="20"/>
      <c r="G325" s="27"/>
      <c r="H325" s="20"/>
      <c r="I325" s="36"/>
      <c r="J325" s="33"/>
      <c r="K325" s="20"/>
      <c r="L325" s="20"/>
    </row>
    <row r="326" spans="2:12" x14ac:dyDescent="0.25">
      <c r="B326" s="20"/>
      <c r="C326" s="20"/>
      <c r="D326" s="20"/>
      <c r="E326" s="20"/>
      <c r="F326" s="20"/>
      <c r="G326" s="27"/>
      <c r="H326" s="20"/>
      <c r="I326" s="36"/>
      <c r="J326" s="33"/>
      <c r="K326" s="20"/>
      <c r="L326" s="20"/>
    </row>
    <row r="327" spans="2:12" x14ac:dyDescent="0.25">
      <c r="B327" s="20"/>
      <c r="C327" s="20"/>
      <c r="D327" s="20"/>
      <c r="E327" s="20"/>
      <c r="F327" s="20"/>
      <c r="G327" s="27"/>
      <c r="H327" s="20"/>
      <c r="I327" s="36"/>
      <c r="J327" s="33"/>
      <c r="K327" s="20"/>
      <c r="L327" s="20"/>
    </row>
    <row r="328" spans="2:12" x14ac:dyDescent="0.25">
      <c r="B328" s="20"/>
      <c r="C328" s="20"/>
      <c r="D328" s="20"/>
      <c r="E328" s="20"/>
      <c r="F328" s="20"/>
      <c r="G328" s="27"/>
      <c r="H328" s="20"/>
      <c r="I328" s="36"/>
      <c r="J328" s="33"/>
      <c r="K328" s="20"/>
      <c r="L328" s="20"/>
    </row>
    <row r="329" spans="2:12" x14ac:dyDescent="0.25">
      <c r="B329" s="20"/>
      <c r="C329" s="20"/>
      <c r="D329" s="20"/>
      <c r="E329" s="20"/>
      <c r="F329" s="20"/>
      <c r="G329" s="27"/>
      <c r="H329" s="20"/>
      <c r="I329" s="36"/>
      <c r="J329" s="33"/>
      <c r="K329" s="20"/>
      <c r="L329" s="20"/>
    </row>
    <row r="330" spans="2:12" x14ac:dyDescent="0.25">
      <c r="B330" s="20"/>
      <c r="C330" s="20"/>
      <c r="D330" s="20"/>
      <c r="E330" s="20"/>
      <c r="F330" s="20"/>
      <c r="G330" s="27"/>
      <c r="H330" s="20"/>
      <c r="I330" s="36"/>
      <c r="J330" s="33"/>
      <c r="K330" s="20"/>
      <c r="L330" s="20"/>
    </row>
    <row r="331" spans="2:12" x14ac:dyDescent="0.25">
      <c r="B331" s="20"/>
      <c r="C331" s="20"/>
      <c r="D331" s="20"/>
      <c r="E331" s="20"/>
      <c r="F331" s="20"/>
      <c r="G331" s="27"/>
      <c r="H331" s="20"/>
      <c r="I331" s="36"/>
      <c r="J331" s="33"/>
      <c r="K331" s="20"/>
      <c r="L331" s="20"/>
    </row>
    <row r="332" spans="2:12" x14ac:dyDescent="0.25">
      <c r="B332" s="20"/>
      <c r="C332" s="20"/>
      <c r="D332" s="20"/>
      <c r="E332" s="20"/>
      <c r="F332" s="20"/>
      <c r="G332" s="27"/>
      <c r="H332" s="20"/>
      <c r="I332" s="36"/>
      <c r="J332" s="33"/>
      <c r="K332" s="20"/>
      <c r="L332" s="20"/>
    </row>
    <row r="333" spans="2:12" x14ac:dyDescent="0.25">
      <c r="B333" s="20"/>
      <c r="C333" s="20"/>
      <c r="D333" s="20"/>
      <c r="E333" s="20"/>
      <c r="F333" s="20"/>
      <c r="G333" s="27"/>
      <c r="H333" s="20"/>
      <c r="I333" s="36"/>
      <c r="J333" s="33"/>
      <c r="K333" s="20"/>
      <c r="L333" s="20"/>
    </row>
    <row r="334" spans="2:12" x14ac:dyDescent="0.25">
      <c r="B334" s="20"/>
      <c r="C334" s="20"/>
      <c r="D334" s="20"/>
      <c r="E334" s="20"/>
      <c r="F334" s="20"/>
      <c r="G334" s="27"/>
      <c r="H334" s="20"/>
      <c r="I334" s="36"/>
      <c r="J334" s="33"/>
      <c r="K334" s="20"/>
      <c r="L334" s="20"/>
    </row>
    <row r="335" spans="2:12" x14ac:dyDescent="0.25">
      <c r="B335" s="20"/>
      <c r="C335" s="20"/>
      <c r="D335" s="20"/>
      <c r="E335" s="20"/>
      <c r="F335" s="20"/>
      <c r="G335" s="27"/>
      <c r="H335" s="20"/>
      <c r="I335" s="36"/>
      <c r="J335" s="33"/>
      <c r="K335" s="20"/>
      <c r="L335" s="20"/>
    </row>
    <row r="336" spans="2:12" x14ac:dyDescent="0.25">
      <c r="B336" s="20"/>
      <c r="C336" s="20"/>
      <c r="D336" s="20"/>
      <c r="E336" s="20"/>
      <c r="F336" s="20"/>
      <c r="G336" s="27"/>
      <c r="H336" s="20"/>
      <c r="I336" s="36"/>
      <c r="J336" s="33"/>
      <c r="K336" s="20"/>
      <c r="L336" s="20"/>
    </row>
    <row r="337" spans="2:12" x14ac:dyDescent="0.25">
      <c r="B337" s="20"/>
      <c r="C337" s="20"/>
      <c r="D337" s="20"/>
      <c r="E337" s="20"/>
      <c r="F337" s="20"/>
      <c r="G337" s="27"/>
      <c r="H337" s="20"/>
      <c r="I337" s="36"/>
      <c r="J337" s="33"/>
      <c r="K337" s="20"/>
      <c r="L337" s="20"/>
    </row>
    <row r="338" spans="2:12" x14ac:dyDescent="0.25">
      <c r="B338" s="20"/>
      <c r="C338" s="20"/>
      <c r="D338" s="20"/>
      <c r="E338" s="20"/>
      <c r="F338" s="20"/>
      <c r="G338" s="27"/>
      <c r="H338" s="20"/>
      <c r="I338" s="36"/>
      <c r="J338" s="33"/>
      <c r="K338" s="20"/>
      <c r="L338" s="20"/>
    </row>
    <row r="339" spans="2:12" x14ac:dyDescent="0.25">
      <c r="B339" s="20"/>
      <c r="C339" s="20"/>
      <c r="D339" s="20"/>
      <c r="E339" s="20"/>
      <c r="F339" s="20"/>
      <c r="G339" s="27"/>
      <c r="H339" s="20"/>
      <c r="I339" s="36"/>
      <c r="J339" s="33"/>
      <c r="K339" s="20"/>
      <c r="L339" s="20"/>
    </row>
    <row r="340" spans="2:12" x14ac:dyDescent="0.25">
      <c r="B340" s="20"/>
      <c r="C340" s="20"/>
      <c r="D340" s="20"/>
      <c r="E340" s="20"/>
      <c r="F340" s="20"/>
      <c r="G340" s="27"/>
      <c r="H340" s="20"/>
      <c r="I340" s="36"/>
      <c r="J340" s="33"/>
      <c r="K340" s="20"/>
      <c r="L340" s="20"/>
    </row>
    <row r="341" spans="2:12" x14ac:dyDescent="0.25">
      <c r="B341" s="20"/>
      <c r="C341" s="20"/>
      <c r="D341" s="20"/>
      <c r="E341" s="20"/>
      <c r="F341" s="20"/>
      <c r="G341" s="27"/>
      <c r="H341" s="20"/>
      <c r="I341" s="36"/>
      <c r="J341" s="33"/>
      <c r="K341" s="20"/>
      <c r="L341" s="20"/>
    </row>
    <row r="342" spans="2:12" x14ac:dyDescent="0.25">
      <c r="B342" s="20"/>
      <c r="C342" s="20"/>
      <c r="D342" s="20"/>
      <c r="E342" s="20"/>
      <c r="F342" s="20"/>
      <c r="G342" s="27"/>
      <c r="H342" s="20"/>
      <c r="I342" s="36"/>
      <c r="J342" s="33"/>
      <c r="K342" s="20"/>
      <c r="L342" s="20"/>
    </row>
    <row r="343" spans="2:12" x14ac:dyDescent="0.25">
      <c r="B343" s="20"/>
      <c r="C343" s="20"/>
      <c r="D343" s="20"/>
      <c r="E343" s="20"/>
      <c r="F343" s="20"/>
      <c r="G343" s="27"/>
      <c r="H343" s="20"/>
      <c r="I343" s="36"/>
      <c r="J343" s="33"/>
      <c r="K343" s="20"/>
      <c r="L343" s="20"/>
    </row>
    <row r="344" spans="2:12" x14ac:dyDescent="0.25">
      <c r="B344" s="20"/>
      <c r="C344" s="20"/>
      <c r="D344" s="20"/>
      <c r="E344" s="20"/>
      <c r="F344" s="20"/>
      <c r="G344" s="27"/>
      <c r="H344" s="20"/>
      <c r="I344" s="36"/>
      <c r="J344" s="33"/>
      <c r="K344" s="20"/>
      <c r="L344" s="20"/>
    </row>
    <row r="345" spans="2:12" x14ac:dyDescent="0.25">
      <c r="B345" s="20"/>
      <c r="C345" s="20"/>
      <c r="D345" s="20"/>
      <c r="E345" s="20"/>
      <c r="F345" s="20"/>
      <c r="G345" s="27"/>
      <c r="H345" s="20"/>
      <c r="I345" s="36"/>
      <c r="J345" s="33"/>
      <c r="K345" s="20"/>
      <c r="L345" s="20"/>
    </row>
    <row r="346" spans="2:12" x14ac:dyDescent="0.25">
      <c r="B346" s="20"/>
      <c r="C346" s="20"/>
      <c r="D346" s="20"/>
      <c r="E346" s="20"/>
      <c r="F346" s="20"/>
      <c r="G346" s="27"/>
      <c r="H346" s="20"/>
      <c r="I346" s="36"/>
      <c r="J346" s="33"/>
      <c r="K346" s="20"/>
      <c r="L346" s="20"/>
    </row>
    <row r="347" spans="2:12" x14ac:dyDescent="0.25">
      <c r="B347" s="20"/>
      <c r="C347" s="20"/>
      <c r="D347" s="20"/>
      <c r="E347" s="20"/>
      <c r="F347" s="20"/>
      <c r="G347" s="27"/>
      <c r="H347" s="20"/>
      <c r="I347" s="36"/>
      <c r="J347" s="33"/>
      <c r="K347" s="20"/>
      <c r="L347" s="20"/>
    </row>
    <row r="348" spans="2:12" x14ac:dyDescent="0.25">
      <c r="B348" s="20"/>
      <c r="C348" s="20"/>
      <c r="D348" s="20"/>
      <c r="E348" s="20"/>
      <c r="F348" s="20"/>
      <c r="G348" s="27"/>
      <c r="H348" s="20"/>
      <c r="I348" s="36"/>
      <c r="J348" s="33"/>
      <c r="K348" s="20"/>
      <c r="L348" s="20"/>
    </row>
    <row r="349" spans="2:12" x14ac:dyDescent="0.25">
      <c r="B349" s="20"/>
      <c r="C349" s="20"/>
      <c r="D349" s="20"/>
      <c r="E349" s="20"/>
      <c r="F349" s="20"/>
      <c r="G349" s="27"/>
      <c r="H349" s="20"/>
      <c r="I349" s="36"/>
      <c r="J349" s="33"/>
      <c r="K349" s="20"/>
      <c r="L349" s="20"/>
    </row>
    <row r="350" spans="2:12" x14ac:dyDescent="0.25">
      <c r="B350" s="20"/>
      <c r="C350" s="20"/>
      <c r="D350" s="20"/>
      <c r="E350" s="20"/>
      <c r="F350" s="20"/>
      <c r="G350" s="27"/>
      <c r="H350" s="20"/>
      <c r="I350" s="36"/>
      <c r="J350" s="33"/>
      <c r="K350" s="20"/>
      <c r="L350" s="20"/>
    </row>
    <row r="351" spans="2:12" x14ac:dyDescent="0.25">
      <c r="B351" s="20"/>
      <c r="C351" s="20"/>
      <c r="D351" s="20"/>
      <c r="E351" s="20"/>
      <c r="F351" s="20"/>
      <c r="G351" s="27"/>
      <c r="H351" s="20"/>
      <c r="I351" s="36"/>
      <c r="J351" s="33"/>
      <c r="K351" s="20"/>
      <c r="L351" s="20"/>
    </row>
    <row r="352" spans="2:12" x14ac:dyDescent="0.25">
      <c r="B352" s="20"/>
      <c r="C352" s="20"/>
      <c r="D352" s="20"/>
      <c r="E352" s="20"/>
      <c r="F352" s="20"/>
      <c r="G352" s="27"/>
      <c r="H352" s="20"/>
      <c r="I352" s="36"/>
      <c r="J352" s="33"/>
      <c r="K352" s="20"/>
      <c r="L352" s="20"/>
    </row>
    <row r="353" spans="2:12" x14ac:dyDescent="0.25">
      <c r="B353" s="20"/>
      <c r="C353" s="20"/>
      <c r="D353" s="20"/>
      <c r="E353" s="20"/>
      <c r="F353" s="20"/>
      <c r="G353" s="27"/>
      <c r="H353" s="20"/>
      <c r="I353" s="36"/>
      <c r="J353" s="33"/>
      <c r="K353" s="20"/>
      <c r="L353" s="20"/>
    </row>
    <row r="354" spans="2:12" x14ac:dyDescent="0.25">
      <c r="B354" s="20"/>
      <c r="C354" s="20"/>
      <c r="D354" s="20"/>
      <c r="E354" s="20"/>
      <c r="F354" s="20"/>
      <c r="G354" s="27"/>
      <c r="H354" s="20"/>
      <c r="I354" s="36"/>
      <c r="J354" s="33"/>
      <c r="K354" s="20"/>
      <c r="L354" s="20"/>
    </row>
    <row r="355" spans="2:12" x14ac:dyDescent="0.25">
      <c r="B355" s="20"/>
      <c r="C355" s="20"/>
      <c r="D355" s="20"/>
      <c r="E355" s="20"/>
      <c r="F355" s="20"/>
      <c r="G355" s="27"/>
      <c r="H355" s="20"/>
      <c r="I355" s="36"/>
      <c r="J355" s="33"/>
      <c r="K355" s="20"/>
      <c r="L355" s="20"/>
    </row>
    <row r="356" spans="2:12" x14ac:dyDescent="0.25">
      <c r="B356" s="20"/>
      <c r="C356" s="20"/>
      <c r="D356" s="20"/>
      <c r="E356" s="20"/>
      <c r="F356" s="20"/>
      <c r="G356" s="27"/>
      <c r="H356" s="20"/>
      <c r="I356" s="36"/>
      <c r="J356" s="33"/>
      <c r="K356" s="20"/>
      <c r="L356" s="20"/>
    </row>
    <row r="357" spans="2:12" x14ac:dyDescent="0.25">
      <c r="B357" s="20"/>
      <c r="C357" s="20"/>
      <c r="D357" s="20"/>
      <c r="E357" s="20"/>
      <c r="F357" s="20"/>
      <c r="G357" s="27"/>
      <c r="H357" s="20"/>
      <c r="I357" s="36"/>
      <c r="J357" s="33"/>
      <c r="K357" s="20"/>
      <c r="L357" s="20"/>
    </row>
    <row r="358" spans="2:12" x14ac:dyDescent="0.25">
      <c r="B358" s="20"/>
      <c r="C358" s="20"/>
      <c r="D358" s="20"/>
      <c r="E358" s="20"/>
      <c r="F358" s="20"/>
      <c r="G358" s="27"/>
      <c r="H358" s="20"/>
      <c r="I358" s="36"/>
      <c r="J358" s="33"/>
      <c r="K358" s="20"/>
      <c r="L358" s="20"/>
    </row>
    <row r="359" spans="2:12" x14ac:dyDescent="0.25">
      <c r="B359" s="20"/>
      <c r="C359" s="20"/>
      <c r="D359" s="20"/>
      <c r="E359" s="20"/>
      <c r="F359" s="20"/>
      <c r="G359" s="27"/>
      <c r="H359" s="20"/>
      <c r="I359" s="36"/>
      <c r="J359" s="33"/>
      <c r="K359" s="20"/>
      <c r="L359" s="20"/>
    </row>
    <row r="360" spans="2:12" x14ac:dyDescent="0.25">
      <c r="B360" s="20"/>
      <c r="C360" s="20"/>
      <c r="D360" s="20"/>
      <c r="E360" s="20"/>
      <c r="F360" s="20"/>
      <c r="G360" s="27"/>
      <c r="H360" s="20"/>
      <c r="I360" s="36"/>
      <c r="J360" s="33"/>
      <c r="K360" s="20"/>
      <c r="L360" s="20"/>
    </row>
    <row r="361" spans="2:12" x14ac:dyDescent="0.25">
      <c r="B361" s="20"/>
      <c r="C361" s="20"/>
      <c r="D361" s="20"/>
      <c r="E361" s="20"/>
      <c r="F361" s="20"/>
      <c r="G361" s="27"/>
      <c r="H361" s="20"/>
      <c r="I361" s="36"/>
      <c r="J361" s="33"/>
      <c r="K361" s="20"/>
      <c r="L361" s="20"/>
    </row>
    <row r="362" spans="2:12" x14ac:dyDescent="0.25">
      <c r="B362" s="20"/>
      <c r="C362" s="20"/>
      <c r="D362" s="20"/>
      <c r="E362" s="20"/>
      <c r="F362" s="20"/>
      <c r="G362" s="27"/>
      <c r="H362" s="20"/>
      <c r="I362" s="36"/>
      <c r="J362" s="33"/>
      <c r="K362" s="20"/>
      <c r="L362" s="20"/>
    </row>
    <row r="363" spans="2:12" x14ac:dyDescent="0.25">
      <c r="B363" s="20"/>
      <c r="C363" s="20"/>
      <c r="D363" s="20"/>
      <c r="E363" s="20"/>
      <c r="F363" s="20"/>
      <c r="G363" s="27"/>
      <c r="H363" s="20"/>
      <c r="I363" s="36"/>
      <c r="J363" s="33"/>
      <c r="K363" s="20"/>
      <c r="L363" s="20"/>
    </row>
    <row r="364" spans="2:12" x14ac:dyDescent="0.25">
      <c r="B364" s="20"/>
      <c r="C364" s="20"/>
      <c r="D364" s="20"/>
      <c r="E364" s="20"/>
      <c r="F364" s="20"/>
      <c r="G364" s="27"/>
      <c r="H364" s="20"/>
      <c r="I364" s="36"/>
      <c r="J364" s="33"/>
      <c r="K364" s="20"/>
      <c r="L364" s="20"/>
    </row>
    <row r="365" spans="2:12" x14ac:dyDescent="0.25">
      <c r="C365" s="20"/>
      <c r="D365" s="20"/>
      <c r="E365" s="20"/>
      <c r="F365" s="20"/>
      <c r="G365" s="27"/>
      <c r="H365" s="20"/>
      <c r="I365" s="36"/>
      <c r="J365" s="33"/>
      <c r="K365" s="20"/>
      <c r="L365" s="20"/>
    </row>
    <row r="366" spans="2:12" x14ac:dyDescent="0.25">
      <c r="C366" s="20"/>
      <c r="D366" s="20"/>
      <c r="E366" s="20"/>
      <c r="F366" s="20"/>
      <c r="G366" s="27"/>
      <c r="H366" s="20"/>
      <c r="I366" s="36"/>
      <c r="J366" s="33"/>
      <c r="K366" s="20"/>
      <c r="L366" s="20"/>
    </row>
    <row r="367" spans="2:12" x14ac:dyDescent="0.25">
      <c r="C367" s="20"/>
      <c r="D367" s="20"/>
      <c r="E367" s="20"/>
      <c r="F367" s="20"/>
      <c r="G367" s="27"/>
      <c r="H367" s="20"/>
      <c r="I367" s="36"/>
      <c r="J367" s="33"/>
      <c r="K367" s="20"/>
      <c r="L367" s="20"/>
    </row>
  </sheetData>
  <mergeCells count="110">
    <mergeCell ref="B74:K74"/>
    <mergeCell ref="C70:F70"/>
    <mergeCell ref="C71:F71"/>
    <mergeCell ref="C72:F72"/>
    <mergeCell ref="B104:K104"/>
    <mergeCell ref="C99:L99"/>
    <mergeCell ref="C97:F97"/>
    <mergeCell ref="C93:L93"/>
    <mergeCell ref="B98:K98"/>
    <mergeCell ref="C76:F76"/>
    <mergeCell ref="C77:F77"/>
    <mergeCell ref="C78:F78"/>
    <mergeCell ref="C79:F79"/>
    <mergeCell ref="B80:K80"/>
    <mergeCell ref="C82:F82"/>
    <mergeCell ref="C85:F85"/>
    <mergeCell ref="C100:F100"/>
    <mergeCell ref="C101:F101"/>
    <mergeCell ref="C102:F102"/>
    <mergeCell ref="C103:F103"/>
    <mergeCell ref="C75:L75"/>
    <mergeCell ref="B86:K86"/>
    <mergeCell ref="C95:F95"/>
    <mergeCell ref="C96:F96"/>
    <mergeCell ref="C91:F91"/>
    <mergeCell ref="C87:L87"/>
    <mergeCell ref="C88:F88"/>
    <mergeCell ref="C89:F89"/>
    <mergeCell ref="C90:F90"/>
    <mergeCell ref="B92:K92"/>
    <mergeCell ref="C94:F94"/>
    <mergeCell ref="B57:K57"/>
    <mergeCell ref="C65:F65"/>
    <mergeCell ref="C69:F69"/>
    <mergeCell ref="C59:F59"/>
    <mergeCell ref="C62:F62"/>
    <mergeCell ref="C58:L58"/>
    <mergeCell ref="B60:K60"/>
    <mergeCell ref="C61:L61"/>
    <mergeCell ref="B63:K63"/>
    <mergeCell ref="C64:L64"/>
    <mergeCell ref="B66:K66"/>
    <mergeCell ref="C67:L67"/>
    <mergeCell ref="C68:F68"/>
    <mergeCell ref="C73:F73"/>
    <mergeCell ref="C81:L81"/>
    <mergeCell ref="C83:F83"/>
    <mergeCell ref="C84:F84"/>
    <mergeCell ref="C48:F48"/>
    <mergeCell ref="C49:F49"/>
    <mergeCell ref="C50:F50"/>
    <mergeCell ref="C51:F51"/>
    <mergeCell ref="C41:F41"/>
    <mergeCell ref="C42:F42"/>
    <mergeCell ref="C45:L45"/>
    <mergeCell ref="C34:F34"/>
    <mergeCell ref="C35:F35"/>
    <mergeCell ref="C36:F36"/>
    <mergeCell ref="C37:F37"/>
    <mergeCell ref="C38:F38"/>
    <mergeCell ref="C39:F39"/>
    <mergeCell ref="C43:F43"/>
    <mergeCell ref="B44:K44"/>
    <mergeCell ref="B1:C5"/>
    <mergeCell ref="D2:L2"/>
    <mergeCell ref="E3:F3"/>
    <mergeCell ref="K3:L3"/>
    <mergeCell ref="E4:F4"/>
    <mergeCell ref="K4:L4"/>
    <mergeCell ref="E5:F5"/>
    <mergeCell ref="K5:L5"/>
    <mergeCell ref="D1:L1"/>
    <mergeCell ref="B106:F106"/>
    <mergeCell ref="G115:L115"/>
    <mergeCell ref="C11:F11"/>
    <mergeCell ref="C12:F12"/>
    <mergeCell ref="B18:K18"/>
    <mergeCell ref="C19:L19"/>
    <mergeCell ref="C24:F24"/>
    <mergeCell ref="C26:F26"/>
    <mergeCell ref="C27:F27"/>
    <mergeCell ref="C28:F28"/>
    <mergeCell ref="C29:F29"/>
    <mergeCell ref="C25:F25"/>
    <mergeCell ref="C30:F30"/>
    <mergeCell ref="B31:K31"/>
    <mergeCell ref="C40:F40"/>
    <mergeCell ref="C33:F33"/>
    <mergeCell ref="C32:L32"/>
    <mergeCell ref="C52:F52"/>
    <mergeCell ref="C53:F53"/>
    <mergeCell ref="C54:F54"/>
    <mergeCell ref="C55:F55"/>
    <mergeCell ref="C56:F56"/>
    <mergeCell ref="C46:F46"/>
    <mergeCell ref="C47:F47"/>
    <mergeCell ref="B6:L6"/>
    <mergeCell ref="C7:F7"/>
    <mergeCell ref="C8:L8"/>
    <mergeCell ref="C9:F9"/>
    <mergeCell ref="C10:F10"/>
    <mergeCell ref="C20:F20"/>
    <mergeCell ref="C21:F21"/>
    <mergeCell ref="C22:F22"/>
    <mergeCell ref="C23:F23"/>
    <mergeCell ref="C13:F13"/>
    <mergeCell ref="C14:F14"/>
    <mergeCell ref="C15:F15"/>
    <mergeCell ref="C16:F16"/>
    <mergeCell ref="C17:F17"/>
  </mergeCells>
  <printOptions horizontalCentered="1"/>
  <pageMargins left="0.27559055118110237" right="0.23622047244094491" top="0.39370078740157483" bottom="0.55118110236220474" header="0.31496062992125984" footer="0.31496062992125984"/>
  <pageSetup paperSize="9" scale="60" fitToHeight="0" orientation="landscape" horizontalDpi="0" verticalDpi="0" r:id="rId1"/>
  <headerFooter>
    <oddFooter>&amp;CTR CONSTRUTORA E ENGENHARIA LTDA - PLANILHA DE COMPOSIÇÕES, COMLEXO ESCOLA ESPECIAL - BLOCO 01 - 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4F9C7CD32174A950E6F1C9200EDDE" ma:contentTypeVersion="4" ma:contentTypeDescription="Crie um novo documento." ma:contentTypeScope="" ma:versionID="b8c24572bb12478bf26b6e47dcc99950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300afedde18d721b9627b9d1969cd098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B8378A-7B50-4410-9DA0-2E12041C55B1}"/>
</file>

<file path=customXml/itemProps2.xml><?xml version="1.0" encoding="utf-8"?>
<ds:datastoreItem xmlns:ds="http://schemas.openxmlformats.org/officeDocument/2006/customXml" ds:itemID="{3ABFE5E8-686A-4C40-A449-E7D87878A5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Orçamento</vt:lpstr>
      <vt:lpstr>Cronograma</vt:lpstr>
      <vt:lpstr>COMPOSIÇÕES </vt:lpstr>
      <vt:lpstr>'COMPOSIÇÕES '!Area_de_impressao</vt:lpstr>
      <vt:lpstr>Cronograma!Area_de_impressao</vt:lpstr>
      <vt:lpstr>Orçamento!Area_de_impressao</vt:lpstr>
      <vt:lpstr>'COMPOSIÇÕES '!Titulos_de_impressao</vt:lpstr>
      <vt:lpstr>Cronograma!Titulos_de_impressao</vt:lpstr>
      <vt:lpstr>Orçamento!Titulos_de_impressao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</dc:creator>
  <cp:lastModifiedBy>User</cp:lastModifiedBy>
  <cp:lastPrinted>2024-03-12T22:30:23Z</cp:lastPrinted>
  <dcterms:created xsi:type="dcterms:W3CDTF">2008-12-13T22:55:29Z</dcterms:created>
  <dcterms:modified xsi:type="dcterms:W3CDTF">2024-03-12T22:30:26Z</dcterms:modified>
</cp:coreProperties>
</file>