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Q:\2021\_CONCORRÊNCIA\CONCORRENCIA 01_ 2021 - PROJETO 58 - PAVIMENTAÇÃO ESTRADA KO-002 LIGAÇÃO PONTE ALTA - CAMPINA DOS CRESPINS\MODELOS\"/>
    </mc:Choice>
  </mc:AlternateContent>
  <xr:revisionPtr revIDLastSave="0" documentId="8_{00F1C70B-746F-4080-8DFC-833E6C5C72A6}" xr6:coauthVersionLast="45" xr6:coauthVersionMax="45" xr10:uidLastSave="{00000000-0000-0000-0000-000000000000}"/>
  <bookViews>
    <workbookView xWindow="-120" yWindow="-120" windowWidth="24240" windowHeight="13140" tabRatio="844" activeTab="3" xr2:uid="{00000000-000D-0000-FFFF-FFFF00000000}"/>
  </bookViews>
  <sheets>
    <sheet name="LIGANTES" sheetId="15" r:id="rId1"/>
    <sheet name="Prazos e Áreas" sheetId="10" r:id="rId2"/>
    <sheet name="Cronograma PAM" sheetId="11" state="hidden" r:id="rId3"/>
    <sheet name="Cronograma SFM" sheetId="12" r:id="rId4"/>
    <sheet name="BDI" sheetId="14" r:id="rId5"/>
    <sheet name="Grandes Itens" sheetId="16" r:id="rId6"/>
    <sheet name="ENSAIOS DE ORÇAMENTO" sheetId="2" state="hidden" r:id="rId7"/>
    <sheet name="orc DER JAN 2021" sheetId="1" r:id="rId8"/>
    <sheet name="viab-pav" sheetId="8" r:id="rId9"/>
    <sheet name="viab-praça" sheetId="9" state="hidden" r:id="rId10"/>
    <sheet name="Novos Traços" sheetId="13" r:id="rId11"/>
  </sheets>
  <externalReferences>
    <externalReference r:id="rId12"/>
    <externalReference r:id="rId13"/>
  </externalReferences>
  <definedNames>
    <definedName name="_xlnm._FilterDatabase" localSheetId="5" hidden="1">'Grandes Itens'!$A$4:$F$20</definedName>
    <definedName name="_xlnm._FilterDatabase" localSheetId="7" hidden="1">'orc DER JAN 2021'!$A$17:$AI$2673</definedName>
    <definedName name="_xlnm.Print_Area" localSheetId="4">BDI!$A$1:$C$20</definedName>
    <definedName name="_xlnm.Print_Area" localSheetId="2">'Cronograma PAM'!$B$1:$T$55</definedName>
    <definedName name="_xlnm.Print_Area" localSheetId="3">'Cronograma SFM'!$B$1:$T$55</definedName>
    <definedName name="_xlnm.Print_Area" localSheetId="6">'ENSAIOS DE ORÇAMENTO'!#REF!</definedName>
    <definedName name="_xlnm.Print_Area" localSheetId="5">'Grandes Itens'!$A$2:$F$31</definedName>
    <definedName name="_xlnm.Print_Area" localSheetId="7">'orc DER JAN 2021'!$B$12:$V$2685</definedName>
    <definedName name="d" localSheetId="5">[1]proposta!#REF!</definedName>
    <definedName name="d">[1]proposta!#REF!</definedName>
    <definedName name="j" localSheetId="5">#REF!</definedName>
    <definedName name="j" localSheetId="8">[2]PROPOSTA!#REF!</definedName>
    <definedName name="j" localSheetId="9">[2]PROPOSTA!#REF!</definedName>
    <definedName name="j">'orc DER JAN 2021'!$B$1</definedName>
    <definedName name="_xlnm.Print_Titles" localSheetId="6">'ENSAIOS DE ORÇAMENTO'!#REF!</definedName>
    <definedName name="_xlnm.Print_Titles" localSheetId="5">'Grandes Itens'!$4:$4</definedName>
    <definedName name="_xlnm.Print_Titles" localSheetId="7">'orc DER JAN 2021'!$16:$17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80" i="1" l="1"/>
  <c r="O2667" i="1" l="1"/>
  <c r="T2667" i="1" l="1"/>
  <c r="T2673" i="1" s="1"/>
  <c r="C4" i="12"/>
  <c r="C4" i="11"/>
  <c r="H2598" i="1"/>
  <c r="H2597" i="1"/>
  <c r="H2596" i="1"/>
  <c r="I2583" i="1"/>
  <c r="J2583" i="1" s="1"/>
  <c r="H2580" i="1"/>
  <c r="J2580" i="1" s="1"/>
  <c r="H612" i="1"/>
  <c r="J231" i="1"/>
  <c r="J229" i="1"/>
  <c r="J227" i="1"/>
  <c r="J225" i="1"/>
  <c r="J224" i="1"/>
  <c r="H2595" i="1" l="1"/>
  <c r="J2595" i="1" s="1"/>
  <c r="H654" i="1"/>
  <c r="G653" i="1"/>
  <c r="H653" i="1" s="1"/>
  <c r="H652" i="1"/>
  <c r="H651" i="1"/>
  <c r="H650" i="1"/>
  <c r="H648" i="1"/>
  <c r="G647" i="1"/>
  <c r="H647" i="1" s="1"/>
  <c r="H646" i="1"/>
  <c r="H645" i="1"/>
  <c r="H644" i="1"/>
  <c r="J638" i="1"/>
  <c r="J632" i="1"/>
  <c r="H642" i="1"/>
  <c r="G641" i="1"/>
  <c r="H641" i="1" s="1"/>
  <c r="H640" i="1"/>
  <c r="H639" i="1"/>
  <c r="H638" i="1"/>
  <c r="H636" i="1"/>
  <c r="H635" i="1"/>
  <c r="H634" i="1"/>
  <c r="H633" i="1"/>
  <c r="H632" i="1"/>
  <c r="H630" i="1"/>
  <c r="G629" i="1"/>
  <c r="H629" i="1" s="1"/>
  <c r="H628" i="1"/>
  <c r="H627" i="1"/>
  <c r="H626" i="1"/>
  <c r="J621" i="1"/>
  <c r="J615" i="1"/>
  <c r="J609" i="1"/>
  <c r="H624" i="1"/>
  <c r="G623" i="1"/>
  <c r="H623" i="1" s="1"/>
  <c r="H622" i="1"/>
  <c r="H621" i="1"/>
  <c r="H620" i="1"/>
  <c r="H618" i="1"/>
  <c r="G617" i="1"/>
  <c r="H617" i="1" s="1"/>
  <c r="H616" i="1"/>
  <c r="H615" i="1"/>
  <c r="H614" i="1"/>
  <c r="G611" i="1"/>
  <c r="H611" i="1" s="1"/>
  <c r="H610" i="1"/>
  <c r="H609" i="1"/>
  <c r="H608" i="1"/>
  <c r="J603" i="1"/>
  <c r="J597" i="1"/>
  <c r="J596" i="1"/>
  <c r="J591" i="1"/>
  <c r="J590" i="1"/>
  <c r="J585" i="1"/>
  <c r="J584" i="1"/>
  <c r="H606" i="1"/>
  <c r="G605" i="1"/>
  <c r="H605" i="1" s="1"/>
  <c r="H604" i="1"/>
  <c r="H603" i="1"/>
  <c r="H602" i="1"/>
  <c r="H600" i="1"/>
  <c r="G599" i="1"/>
  <c r="H599" i="1" s="1"/>
  <c r="H598" i="1"/>
  <c r="H597" i="1"/>
  <c r="H596" i="1"/>
  <c r="H594" i="1"/>
  <c r="G593" i="1"/>
  <c r="H593" i="1" s="1"/>
  <c r="H592" i="1"/>
  <c r="H591" i="1"/>
  <c r="H590" i="1"/>
  <c r="H588" i="1"/>
  <c r="G587" i="1"/>
  <c r="H587" i="1" s="1"/>
  <c r="H586" i="1"/>
  <c r="H585" i="1"/>
  <c r="H584" i="1"/>
  <c r="H582" i="1"/>
  <c r="H581" i="1"/>
  <c r="H580" i="1" s="1"/>
  <c r="J580" i="1" s="1"/>
  <c r="J578" i="1"/>
  <c r="J576" i="1"/>
  <c r="J574" i="1"/>
  <c r="J572" i="1"/>
  <c r="H579" i="1"/>
  <c r="H577" i="1"/>
  <c r="H575" i="1"/>
  <c r="H573" i="1"/>
  <c r="M372" i="1"/>
  <c r="H300" i="1"/>
  <c r="H273" i="1"/>
  <c r="H589" i="1" l="1"/>
  <c r="J589" i="1" s="1"/>
  <c r="H625" i="1"/>
  <c r="J625" i="1" s="1"/>
  <c r="H637" i="1"/>
  <c r="J637" i="1" s="1"/>
  <c r="H601" i="1"/>
  <c r="J601" i="1" s="1"/>
  <c r="H619" i="1"/>
  <c r="J619" i="1" s="1"/>
  <c r="H643" i="1"/>
  <c r="J643" i="1" s="1"/>
  <c r="H607" i="1"/>
  <c r="J607" i="1" s="1"/>
  <c r="H649" i="1"/>
  <c r="J649" i="1" s="1"/>
  <c r="H631" i="1"/>
  <c r="J631" i="1" s="1"/>
  <c r="H613" i="1"/>
  <c r="J613" i="1" s="1"/>
  <c r="H583" i="1"/>
  <c r="J583" i="1" s="1"/>
  <c r="H595" i="1"/>
  <c r="J595" i="1" s="1"/>
  <c r="J381" i="1" l="1"/>
  <c r="J375" i="1"/>
  <c r="J356" i="1"/>
  <c r="J350" i="1"/>
  <c r="J339" i="1"/>
  <c r="J333" i="1"/>
  <c r="J321" i="1"/>
  <c r="J315" i="1"/>
  <c r="J314" i="1"/>
  <c r="J309" i="1"/>
  <c r="J308" i="1"/>
  <c r="J303" i="1"/>
  <c r="J302" i="1"/>
  <c r="H438" i="1"/>
  <c r="G437" i="1"/>
  <c r="H437" i="1" s="1"/>
  <c r="H436" i="1"/>
  <c r="H435" i="1"/>
  <c r="H434" i="1"/>
  <c r="H432" i="1"/>
  <c r="G431" i="1"/>
  <c r="H431" i="1" s="1"/>
  <c r="H430" i="1"/>
  <c r="H429" i="1"/>
  <c r="H428" i="1"/>
  <c r="H426" i="1"/>
  <c r="G425" i="1"/>
  <c r="H425" i="1" s="1"/>
  <c r="H424" i="1"/>
  <c r="H423" i="1"/>
  <c r="H422" i="1"/>
  <c r="H420" i="1"/>
  <c r="G419" i="1"/>
  <c r="H419" i="1" s="1"/>
  <c r="H418" i="1"/>
  <c r="H417" i="1"/>
  <c r="H416" i="1"/>
  <c r="H414" i="1"/>
  <c r="G413" i="1"/>
  <c r="H413" i="1" s="1"/>
  <c r="H412" i="1"/>
  <c r="H411" i="1"/>
  <c r="H410" i="1"/>
  <c r="H408" i="1"/>
  <c r="G407" i="1"/>
  <c r="H407" i="1" s="1"/>
  <c r="H406" i="1"/>
  <c r="H405" i="1"/>
  <c r="H404" i="1"/>
  <c r="H402" i="1"/>
  <c r="G401" i="1"/>
  <c r="H401" i="1" s="1"/>
  <c r="H400" i="1"/>
  <c r="H399" i="1"/>
  <c r="H398" i="1"/>
  <c r="H396" i="1"/>
  <c r="G395" i="1"/>
  <c r="H395" i="1" s="1"/>
  <c r="H394" i="1"/>
  <c r="H393" i="1"/>
  <c r="H392" i="1"/>
  <c r="H390" i="1"/>
  <c r="G389" i="1"/>
  <c r="H389" i="1" s="1"/>
  <c r="H388" i="1"/>
  <c r="H387" i="1"/>
  <c r="H386" i="1"/>
  <c r="H384" i="1"/>
  <c r="G383" i="1"/>
  <c r="H383" i="1" s="1"/>
  <c r="H382" i="1"/>
  <c r="H381" i="1"/>
  <c r="H380" i="1"/>
  <c r="H378" i="1"/>
  <c r="G377" i="1"/>
  <c r="H377" i="1" s="1"/>
  <c r="H376" i="1"/>
  <c r="H375" i="1"/>
  <c r="H374" i="1"/>
  <c r="H372" i="1"/>
  <c r="G371" i="1"/>
  <c r="H371" i="1" s="1"/>
  <c r="H370" i="1"/>
  <c r="H369" i="1"/>
  <c r="H368" i="1"/>
  <c r="H366" i="1"/>
  <c r="G365" i="1"/>
  <c r="H365" i="1" s="1"/>
  <c r="H364" i="1"/>
  <c r="H363" i="1"/>
  <c r="H362" i="1"/>
  <c r="H360" i="1"/>
  <c r="G359" i="1"/>
  <c r="H359" i="1" s="1"/>
  <c r="H358" i="1"/>
  <c r="H357" i="1"/>
  <c r="H356" i="1"/>
  <c r="H354" i="1"/>
  <c r="H353" i="1"/>
  <c r="H352" i="1"/>
  <c r="H351" i="1"/>
  <c r="H350" i="1"/>
  <c r="H348" i="1"/>
  <c r="G347" i="1"/>
  <c r="H347" i="1" s="1"/>
  <c r="H346" i="1"/>
  <c r="H345" i="1"/>
  <c r="H344" i="1"/>
  <c r="H342" i="1"/>
  <c r="G341" i="1"/>
  <c r="H341" i="1" s="1"/>
  <c r="H340" i="1"/>
  <c r="H339" i="1"/>
  <c r="H338" i="1"/>
  <c r="H336" i="1"/>
  <c r="G335" i="1"/>
  <c r="H335" i="1" s="1"/>
  <c r="H334" i="1"/>
  <c r="H333" i="1"/>
  <c r="H332" i="1"/>
  <c r="H330" i="1"/>
  <c r="G329" i="1"/>
  <c r="H329" i="1" s="1"/>
  <c r="H328" i="1"/>
  <c r="H327" i="1"/>
  <c r="H326" i="1"/>
  <c r="H324" i="1"/>
  <c r="G323" i="1"/>
  <c r="H323" i="1" s="1"/>
  <c r="H322" i="1"/>
  <c r="H321" i="1"/>
  <c r="H320" i="1"/>
  <c r="H318" i="1"/>
  <c r="G317" i="1"/>
  <c r="H317" i="1" s="1"/>
  <c r="H316" i="1"/>
  <c r="H315" i="1"/>
  <c r="H314" i="1"/>
  <c r="H312" i="1"/>
  <c r="G311" i="1"/>
  <c r="H311" i="1" s="1"/>
  <c r="H310" i="1"/>
  <c r="H309" i="1"/>
  <c r="H308" i="1"/>
  <c r="H306" i="1"/>
  <c r="G305" i="1"/>
  <c r="H305" i="1" s="1"/>
  <c r="H304" i="1"/>
  <c r="H303" i="1"/>
  <c r="H302" i="1"/>
  <c r="H299" i="1"/>
  <c r="H298" i="1" s="1"/>
  <c r="J298" i="1" s="1"/>
  <c r="H297" i="1"/>
  <c r="H296" i="1"/>
  <c r="H295" i="1" s="1"/>
  <c r="J295" i="1" s="1"/>
  <c r="H294" i="1"/>
  <c r="H293" i="1"/>
  <c r="H292" i="1" s="1"/>
  <c r="J292" i="1" s="1"/>
  <c r="H291" i="1"/>
  <c r="H290" i="1"/>
  <c r="H289" i="1" s="1"/>
  <c r="J289" i="1" s="1"/>
  <c r="H288" i="1"/>
  <c r="H287" i="1"/>
  <c r="H286" i="1" s="1"/>
  <c r="J286" i="1" s="1"/>
  <c r="H285" i="1"/>
  <c r="H284" i="1"/>
  <c r="H283" i="1" s="1"/>
  <c r="J283" i="1" s="1"/>
  <c r="H282" i="1"/>
  <c r="H281" i="1"/>
  <c r="H280" i="1" s="1"/>
  <c r="J280" i="1" s="1"/>
  <c r="H279" i="1"/>
  <c r="H278" i="1"/>
  <c r="H277" i="1" s="1"/>
  <c r="J277" i="1" s="1"/>
  <c r="H276" i="1"/>
  <c r="H275" i="1"/>
  <c r="H274" i="1" s="1"/>
  <c r="J274" i="1" s="1"/>
  <c r="H272" i="1"/>
  <c r="H271" i="1" s="1"/>
  <c r="J271" i="1" s="1"/>
  <c r="H270" i="1"/>
  <c r="H269" i="1"/>
  <c r="H268" i="1"/>
  <c r="H267" i="1"/>
  <c r="H265" i="1"/>
  <c r="H264" i="1"/>
  <c r="H263" i="1"/>
  <c r="H262" i="1"/>
  <c r="H260" i="1"/>
  <c r="H259" i="1"/>
  <c r="H258" i="1"/>
  <c r="H257" i="1"/>
  <c r="H255" i="1"/>
  <c r="H254" i="1"/>
  <c r="H253" i="1"/>
  <c r="H252" i="1"/>
  <c r="H232" i="1"/>
  <c r="H230" i="1"/>
  <c r="H228" i="1"/>
  <c r="H226" i="1"/>
  <c r="S624" i="1"/>
  <c r="P624" i="1"/>
  <c r="M624" i="1"/>
  <c r="P623" i="1"/>
  <c r="O623" i="1"/>
  <c r="P622" i="1"/>
  <c r="O622" i="1"/>
  <c r="P621" i="1"/>
  <c r="O621" i="1"/>
  <c r="P620" i="1"/>
  <c r="O620" i="1"/>
  <c r="S619" i="1"/>
  <c r="R619" i="1"/>
  <c r="R624" i="1" s="1"/>
  <c r="P619" i="1"/>
  <c r="S654" i="1"/>
  <c r="P654" i="1"/>
  <c r="M654" i="1"/>
  <c r="P653" i="1"/>
  <c r="O653" i="1"/>
  <c r="P652" i="1"/>
  <c r="O652" i="1"/>
  <c r="P651" i="1"/>
  <c r="O651" i="1"/>
  <c r="P650" i="1"/>
  <c r="O650" i="1"/>
  <c r="S649" i="1"/>
  <c r="R649" i="1"/>
  <c r="R654" i="1" s="1"/>
  <c r="P649" i="1"/>
  <c r="S648" i="1"/>
  <c r="P648" i="1"/>
  <c r="M648" i="1"/>
  <c r="P647" i="1"/>
  <c r="O647" i="1"/>
  <c r="P646" i="1"/>
  <c r="O646" i="1"/>
  <c r="P645" i="1"/>
  <c r="O645" i="1"/>
  <c r="P644" i="1"/>
  <c r="O644" i="1"/>
  <c r="S643" i="1"/>
  <c r="R643" i="1"/>
  <c r="R648" i="1" s="1"/>
  <c r="P643" i="1"/>
  <c r="S642" i="1"/>
  <c r="P642" i="1"/>
  <c r="M642" i="1"/>
  <c r="P641" i="1"/>
  <c r="O641" i="1"/>
  <c r="P640" i="1"/>
  <c r="O640" i="1"/>
  <c r="P639" i="1"/>
  <c r="O639" i="1"/>
  <c r="P638" i="1"/>
  <c r="O638" i="1"/>
  <c r="S637" i="1"/>
  <c r="R637" i="1"/>
  <c r="R642" i="1" s="1"/>
  <c r="P637" i="1"/>
  <c r="S636" i="1"/>
  <c r="P636" i="1"/>
  <c r="M636" i="1"/>
  <c r="P635" i="1"/>
  <c r="O635" i="1"/>
  <c r="P634" i="1"/>
  <c r="O634" i="1"/>
  <c r="P633" i="1"/>
  <c r="O633" i="1"/>
  <c r="P632" i="1"/>
  <c r="O632" i="1"/>
  <c r="S631" i="1"/>
  <c r="R631" i="1"/>
  <c r="R636" i="1" s="1"/>
  <c r="P631" i="1"/>
  <c r="S630" i="1"/>
  <c r="P630" i="1"/>
  <c r="M630" i="1"/>
  <c r="P629" i="1"/>
  <c r="O629" i="1"/>
  <c r="P628" i="1"/>
  <c r="O628" i="1"/>
  <c r="P627" i="1"/>
  <c r="O627" i="1"/>
  <c r="P626" i="1"/>
  <c r="O626" i="1"/>
  <c r="S625" i="1"/>
  <c r="R625" i="1"/>
  <c r="R630" i="1" s="1"/>
  <c r="P625" i="1"/>
  <c r="S618" i="1"/>
  <c r="P618" i="1"/>
  <c r="M618" i="1"/>
  <c r="P617" i="1"/>
  <c r="O617" i="1"/>
  <c r="P616" i="1"/>
  <c r="O616" i="1"/>
  <c r="P615" i="1"/>
  <c r="O615" i="1"/>
  <c r="P614" i="1"/>
  <c r="O614" i="1"/>
  <c r="S613" i="1"/>
  <c r="R613" i="1"/>
  <c r="R618" i="1" s="1"/>
  <c r="P613" i="1"/>
  <c r="S612" i="1"/>
  <c r="P612" i="1"/>
  <c r="M612" i="1"/>
  <c r="P611" i="1"/>
  <c r="O611" i="1"/>
  <c r="P610" i="1"/>
  <c r="O610" i="1"/>
  <c r="P609" i="1"/>
  <c r="O609" i="1"/>
  <c r="P608" i="1"/>
  <c r="O608" i="1"/>
  <c r="S607" i="1"/>
  <c r="R607" i="1"/>
  <c r="R612" i="1" s="1"/>
  <c r="P607" i="1"/>
  <c r="S606" i="1"/>
  <c r="P606" i="1"/>
  <c r="M606" i="1"/>
  <c r="P605" i="1"/>
  <c r="O605" i="1"/>
  <c r="P604" i="1"/>
  <c r="O604" i="1"/>
  <c r="P603" i="1"/>
  <c r="O603" i="1"/>
  <c r="P602" i="1"/>
  <c r="O602" i="1"/>
  <c r="S601" i="1"/>
  <c r="R601" i="1"/>
  <c r="R606" i="1" s="1"/>
  <c r="P601" i="1"/>
  <c r="S600" i="1"/>
  <c r="P600" i="1"/>
  <c r="M600" i="1"/>
  <c r="P599" i="1"/>
  <c r="O599" i="1"/>
  <c r="P598" i="1"/>
  <c r="O598" i="1"/>
  <c r="P597" i="1"/>
  <c r="O597" i="1"/>
  <c r="P596" i="1"/>
  <c r="O596" i="1"/>
  <c r="S595" i="1"/>
  <c r="R595" i="1"/>
  <c r="R600" i="1" s="1"/>
  <c r="P595" i="1"/>
  <c r="O595" i="1"/>
  <c r="S594" i="1"/>
  <c r="P594" i="1"/>
  <c r="M594" i="1"/>
  <c r="P593" i="1"/>
  <c r="O593" i="1"/>
  <c r="P592" i="1"/>
  <c r="O592" i="1"/>
  <c r="P591" i="1"/>
  <c r="O591" i="1"/>
  <c r="P590" i="1"/>
  <c r="O590" i="1"/>
  <c r="S589" i="1"/>
  <c r="R589" i="1"/>
  <c r="R594" i="1" s="1"/>
  <c r="P589" i="1"/>
  <c r="O589" i="1"/>
  <c r="S588" i="1"/>
  <c r="P588" i="1"/>
  <c r="M588" i="1"/>
  <c r="P587" i="1"/>
  <c r="O587" i="1"/>
  <c r="P586" i="1"/>
  <c r="O586" i="1"/>
  <c r="P585" i="1"/>
  <c r="O585" i="1"/>
  <c r="P584" i="1"/>
  <c r="O584" i="1"/>
  <c r="S583" i="1"/>
  <c r="R583" i="1"/>
  <c r="R588" i="1" s="1"/>
  <c r="P583" i="1"/>
  <c r="O583" i="1"/>
  <c r="S582" i="1"/>
  <c r="P582" i="1"/>
  <c r="M582" i="1"/>
  <c r="P581" i="1"/>
  <c r="O581" i="1"/>
  <c r="S580" i="1"/>
  <c r="R580" i="1"/>
  <c r="R582" i="1" s="1"/>
  <c r="P580" i="1"/>
  <c r="O580" i="1"/>
  <c r="S277" i="1"/>
  <c r="S579" i="1"/>
  <c r="P579" i="1"/>
  <c r="M579" i="1"/>
  <c r="S578" i="1"/>
  <c r="R578" i="1"/>
  <c r="R579" i="1" s="1"/>
  <c r="P578" i="1"/>
  <c r="S577" i="1"/>
  <c r="P577" i="1"/>
  <c r="M577" i="1"/>
  <c r="S576" i="1"/>
  <c r="R576" i="1"/>
  <c r="R577" i="1" s="1"/>
  <c r="P576" i="1"/>
  <c r="S575" i="1"/>
  <c r="P575" i="1"/>
  <c r="M575" i="1"/>
  <c r="S574" i="1"/>
  <c r="R574" i="1"/>
  <c r="R575" i="1" s="1"/>
  <c r="P574" i="1"/>
  <c r="S573" i="1"/>
  <c r="P573" i="1"/>
  <c r="M573" i="1"/>
  <c r="S572" i="1"/>
  <c r="R572" i="1"/>
  <c r="R573" i="1" s="1"/>
  <c r="P572" i="1"/>
  <c r="S440" i="1"/>
  <c r="R440" i="1"/>
  <c r="P440" i="1"/>
  <c r="O440" i="1"/>
  <c r="S439" i="1"/>
  <c r="R439" i="1"/>
  <c r="P439" i="1"/>
  <c r="O439" i="1"/>
  <c r="S438" i="1"/>
  <c r="P438" i="1"/>
  <c r="M438" i="1"/>
  <c r="P437" i="1"/>
  <c r="O437" i="1"/>
  <c r="P436" i="1"/>
  <c r="O436" i="1"/>
  <c r="P435" i="1"/>
  <c r="O435" i="1"/>
  <c r="P434" i="1"/>
  <c r="O434" i="1"/>
  <c r="S433" i="1"/>
  <c r="R433" i="1"/>
  <c r="R438" i="1" s="1"/>
  <c r="P433" i="1"/>
  <c r="S432" i="1"/>
  <c r="P432" i="1"/>
  <c r="M432" i="1"/>
  <c r="P431" i="1"/>
  <c r="O431" i="1"/>
  <c r="P430" i="1"/>
  <c r="O430" i="1"/>
  <c r="P429" i="1"/>
  <c r="O429" i="1"/>
  <c r="P428" i="1"/>
  <c r="O428" i="1"/>
  <c r="S427" i="1"/>
  <c r="R427" i="1"/>
  <c r="R432" i="1" s="1"/>
  <c r="P427" i="1"/>
  <c r="S426" i="1"/>
  <c r="P426" i="1"/>
  <c r="M426" i="1"/>
  <c r="P425" i="1"/>
  <c r="O425" i="1"/>
  <c r="P424" i="1"/>
  <c r="O424" i="1"/>
  <c r="P423" i="1"/>
  <c r="O423" i="1"/>
  <c r="P422" i="1"/>
  <c r="O422" i="1"/>
  <c r="S421" i="1"/>
  <c r="R421" i="1"/>
  <c r="R426" i="1" s="1"/>
  <c r="P421" i="1"/>
  <c r="S420" i="1"/>
  <c r="P420" i="1"/>
  <c r="M420" i="1"/>
  <c r="P419" i="1"/>
  <c r="O419" i="1"/>
  <c r="P418" i="1"/>
  <c r="O418" i="1"/>
  <c r="P417" i="1"/>
  <c r="O417" i="1"/>
  <c r="P416" i="1"/>
  <c r="O416" i="1"/>
  <c r="S415" i="1"/>
  <c r="R415" i="1"/>
  <c r="R420" i="1" s="1"/>
  <c r="P415" i="1"/>
  <c r="S414" i="1"/>
  <c r="P414" i="1"/>
  <c r="M414" i="1"/>
  <c r="P413" i="1"/>
  <c r="O413" i="1"/>
  <c r="P412" i="1"/>
  <c r="O412" i="1"/>
  <c r="P411" i="1"/>
  <c r="O411" i="1"/>
  <c r="P410" i="1"/>
  <c r="O410" i="1"/>
  <c r="S409" i="1"/>
  <c r="R409" i="1"/>
  <c r="R414" i="1" s="1"/>
  <c r="P409" i="1"/>
  <c r="S408" i="1"/>
  <c r="P408" i="1"/>
  <c r="M408" i="1"/>
  <c r="P407" i="1"/>
  <c r="O407" i="1"/>
  <c r="P406" i="1"/>
  <c r="O406" i="1"/>
  <c r="P405" i="1"/>
  <c r="O405" i="1"/>
  <c r="P404" i="1"/>
  <c r="O404" i="1"/>
  <c r="S403" i="1"/>
  <c r="R403" i="1"/>
  <c r="R408" i="1" s="1"/>
  <c r="P403" i="1"/>
  <c r="S402" i="1"/>
  <c r="P402" i="1"/>
  <c r="M402" i="1"/>
  <c r="P401" i="1"/>
  <c r="O401" i="1"/>
  <c r="P400" i="1"/>
  <c r="O400" i="1"/>
  <c r="P399" i="1"/>
  <c r="O399" i="1"/>
  <c r="P398" i="1"/>
  <c r="O398" i="1"/>
  <c r="S397" i="1"/>
  <c r="R397" i="1"/>
  <c r="R402" i="1" s="1"/>
  <c r="P397" i="1"/>
  <c r="M396" i="1"/>
  <c r="P396" i="1" s="1"/>
  <c r="P395" i="1"/>
  <c r="O395" i="1"/>
  <c r="P394" i="1"/>
  <c r="O394" i="1"/>
  <c r="P393" i="1"/>
  <c r="O393" i="1"/>
  <c r="P392" i="1"/>
  <c r="O392" i="1"/>
  <c r="R391" i="1"/>
  <c r="P391" i="1"/>
  <c r="S390" i="1"/>
  <c r="P390" i="1"/>
  <c r="M390" i="1"/>
  <c r="P389" i="1"/>
  <c r="O389" i="1"/>
  <c r="P388" i="1"/>
  <c r="O388" i="1"/>
  <c r="P387" i="1"/>
  <c r="O387" i="1"/>
  <c r="P386" i="1"/>
  <c r="O386" i="1"/>
  <c r="S385" i="1"/>
  <c r="R385" i="1"/>
  <c r="R390" i="1" s="1"/>
  <c r="P385" i="1"/>
  <c r="S384" i="1"/>
  <c r="P384" i="1"/>
  <c r="M384" i="1"/>
  <c r="P383" i="1"/>
  <c r="O383" i="1"/>
  <c r="P382" i="1"/>
  <c r="O382" i="1"/>
  <c r="P381" i="1"/>
  <c r="O381" i="1"/>
  <c r="P380" i="1"/>
  <c r="O380" i="1"/>
  <c r="S379" i="1"/>
  <c r="R379" i="1"/>
  <c r="R384" i="1" s="1"/>
  <c r="P379" i="1"/>
  <c r="S378" i="1"/>
  <c r="P378" i="1"/>
  <c r="M378" i="1"/>
  <c r="P377" i="1"/>
  <c r="O377" i="1"/>
  <c r="P376" i="1"/>
  <c r="O376" i="1"/>
  <c r="P375" i="1"/>
  <c r="O375" i="1"/>
  <c r="P374" i="1"/>
  <c r="O374" i="1"/>
  <c r="S373" i="1"/>
  <c r="R373" i="1"/>
  <c r="R378" i="1" s="1"/>
  <c r="P373" i="1"/>
  <c r="S372" i="1"/>
  <c r="P372" i="1"/>
  <c r="P371" i="1"/>
  <c r="O371" i="1"/>
  <c r="P370" i="1"/>
  <c r="O370" i="1"/>
  <c r="P369" i="1"/>
  <c r="O369" i="1"/>
  <c r="P368" i="1"/>
  <c r="O368" i="1"/>
  <c r="S367" i="1"/>
  <c r="R367" i="1"/>
  <c r="R372" i="1" s="1"/>
  <c r="P367" i="1"/>
  <c r="S366" i="1"/>
  <c r="P366" i="1"/>
  <c r="M366" i="1"/>
  <c r="P365" i="1"/>
  <c r="O365" i="1"/>
  <c r="P364" i="1"/>
  <c r="O364" i="1"/>
  <c r="P363" i="1"/>
  <c r="O363" i="1"/>
  <c r="P362" i="1"/>
  <c r="O362" i="1"/>
  <c r="S361" i="1"/>
  <c r="R361" i="1"/>
  <c r="R366" i="1" s="1"/>
  <c r="P361" i="1"/>
  <c r="S360" i="1"/>
  <c r="P360" i="1"/>
  <c r="M360" i="1"/>
  <c r="P359" i="1"/>
  <c r="O359" i="1"/>
  <c r="P358" i="1"/>
  <c r="O358" i="1"/>
  <c r="P357" i="1"/>
  <c r="O357" i="1"/>
  <c r="P356" i="1"/>
  <c r="O356" i="1"/>
  <c r="S355" i="1"/>
  <c r="R355" i="1"/>
  <c r="R360" i="1" s="1"/>
  <c r="P355" i="1"/>
  <c r="S354" i="1"/>
  <c r="P354" i="1"/>
  <c r="M354" i="1"/>
  <c r="P353" i="1"/>
  <c r="O353" i="1"/>
  <c r="P352" i="1"/>
  <c r="O352" i="1"/>
  <c r="P351" i="1"/>
  <c r="O351" i="1"/>
  <c r="P350" i="1"/>
  <c r="O350" i="1"/>
  <c r="S349" i="1"/>
  <c r="R349" i="1"/>
  <c r="R354" i="1" s="1"/>
  <c r="P349" i="1"/>
  <c r="S348" i="1"/>
  <c r="P348" i="1"/>
  <c r="M348" i="1"/>
  <c r="P347" i="1"/>
  <c r="O347" i="1"/>
  <c r="P346" i="1"/>
  <c r="O346" i="1"/>
  <c r="P345" i="1"/>
  <c r="O345" i="1"/>
  <c r="P344" i="1"/>
  <c r="O344" i="1"/>
  <c r="S343" i="1"/>
  <c r="R343" i="1"/>
  <c r="R348" i="1" s="1"/>
  <c r="P343" i="1"/>
  <c r="S342" i="1"/>
  <c r="P342" i="1"/>
  <c r="M342" i="1"/>
  <c r="P341" i="1"/>
  <c r="O341" i="1"/>
  <c r="P340" i="1"/>
  <c r="O340" i="1"/>
  <c r="P339" i="1"/>
  <c r="O339" i="1"/>
  <c r="P338" i="1"/>
  <c r="O338" i="1"/>
  <c r="S337" i="1"/>
  <c r="R337" i="1"/>
  <c r="R342" i="1" s="1"/>
  <c r="P337" i="1"/>
  <c r="S336" i="1"/>
  <c r="P336" i="1"/>
  <c r="M336" i="1"/>
  <c r="P335" i="1"/>
  <c r="O335" i="1"/>
  <c r="P334" i="1"/>
  <c r="O334" i="1"/>
  <c r="P333" i="1"/>
  <c r="O333" i="1"/>
  <c r="P332" i="1"/>
  <c r="O332" i="1"/>
  <c r="S331" i="1"/>
  <c r="R331" i="1"/>
  <c r="R336" i="1" s="1"/>
  <c r="P331" i="1"/>
  <c r="S330" i="1"/>
  <c r="P330" i="1"/>
  <c r="M330" i="1"/>
  <c r="P329" i="1"/>
  <c r="O329" i="1"/>
  <c r="P328" i="1"/>
  <c r="O328" i="1"/>
  <c r="P327" i="1"/>
  <c r="O327" i="1"/>
  <c r="P326" i="1"/>
  <c r="O326" i="1"/>
  <c r="S325" i="1"/>
  <c r="R325" i="1"/>
  <c r="R330" i="1" s="1"/>
  <c r="P325" i="1"/>
  <c r="S324" i="1"/>
  <c r="P324" i="1"/>
  <c r="M324" i="1"/>
  <c r="P323" i="1"/>
  <c r="O323" i="1"/>
  <c r="P322" i="1"/>
  <c r="O322" i="1"/>
  <c r="P321" i="1"/>
  <c r="O321" i="1"/>
  <c r="P320" i="1"/>
  <c r="O320" i="1"/>
  <c r="S319" i="1"/>
  <c r="R319" i="1"/>
  <c r="R324" i="1" s="1"/>
  <c r="P319" i="1"/>
  <c r="S318" i="1"/>
  <c r="P318" i="1"/>
  <c r="M318" i="1"/>
  <c r="P317" i="1"/>
  <c r="O317" i="1"/>
  <c r="P316" i="1"/>
  <c r="O316" i="1"/>
  <c r="P315" i="1"/>
  <c r="O315" i="1"/>
  <c r="P314" i="1"/>
  <c r="O314" i="1"/>
  <c r="S313" i="1"/>
  <c r="R313" i="1"/>
  <c r="R318" i="1" s="1"/>
  <c r="P313" i="1"/>
  <c r="S312" i="1"/>
  <c r="P312" i="1"/>
  <c r="M312" i="1"/>
  <c r="P311" i="1"/>
  <c r="O311" i="1"/>
  <c r="P310" i="1"/>
  <c r="O310" i="1"/>
  <c r="P309" i="1"/>
  <c r="O309" i="1"/>
  <c r="P308" i="1"/>
  <c r="O308" i="1"/>
  <c r="S307" i="1"/>
  <c r="R307" i="1"/>
  <c r="R312" i="1" s="1"/>
  <c r="P307" i="1"/>
  <c r="S306" i="1"/>
  <c r="P306" i="1"/>
  <c r="M306" i="1"/>
  <c r="P305" i="1"/>
  <c r="O305" i="1"/>
  <c r="P304" i="1"/>
  <c r="O304" i="1"/>
  <c r="P303" i="1"/>
  <c r="O303" i="1"/>
  <c r="P302" i="1"/>
  <c r="O302" i="1"/>
  <c r="S301" i="1"/>
  <c r="R301" i="1"/>
  <c r="R306" i="1" s="1"/>
  <c r="P301" i="1"/>
  <c r="S300" i="1"/>
  <c r="P300" i="1"/>
  <c r="M300" i="1"/>
  <c r="P299" i="1"/>
  <c r="O299" i="1"/>
  <c r="S298" i="1"/>
  <c r="R298" i="1"/>
  <c r="R300" i="1" s="1"/>
  <c r="P298" i="1"/>
  <c r="S297" i="1"/>
  <c r="P297" i="1"/>
  <c r="M297" i="1"/>
  <c r="P296" i="1"/>
  <c r="O296" i="1"/>
  <c r="S295" i="1"/>
  <c r="R295" i="1"/>
  <c r="R297" i="1" s="1"/>
  <c r="P295" i="1"/>
  <c r="S294" i="1"/>
  <c r="P294" i="1"/>
  <c r="M294" i="1"/>
  <c r="P293" i="1"/>
  <c r="O293" i="1"/>
  <c r="S292" i="1"/>
  <c r="R292" i="1"/>
  <c r="R294" i="1" s="1"/>
  <c r="P292" i="1"/>
  <c r="S291" i="1"/>
  <c r="P291" i="1"/>
  <c r="M291" i="1"/>
  <c r="P290" i="1"/>
  <c r="O290" i="1"/>
  <c r="S289" i="1"/>
  <c r="R289" i="1"/>
  <c r="R291" i="1" s="1"/>
  <c r="P289" i="1"/>
  <c r="S288" i="1"/>
  <c r="P288" i="1"/>
  <c r="M288" i="1"/>
  <c r="P287" i="1"/>
  <c r="O287" i="1"/>
  <c r="S286" i="1"/>
  <c r="R286" i="1"/>
  <c r="R288" i="1" s="1"/>
  <c r="P286" i="1"/>
  <c r="S285" i="1"/>
  <c r="P285" i="1"/>
  <c r="M285" i="1"/>
  <c r="P284" i="1"/>
  <c r="O284" i="1"/>
  <c r="S283" i="1"/>
  <c r="R283" i="1"/>
  <c r="R285" i="1" s="1"/>
  <c r="P283" i="1"/>
  <c r="S282" i="1"/>
  <c r="P282" i="1"/>
  <c r="M282" i="1"/>
  <c r="P281" i="1"/>
  <c r="O281" i="1"/>
  <c r="S280" i="1"/>
  <c r="R280" i="1"/>
  <c r="R282" i="1" s="1"/>
  <c r="P280" i="1"/>
  <c r="S279" i="1"/>
  <c r="P279" i="1"/>
  <c r="M279" i="1"/>
  <c r="P278" i="1"/>
  <c r="O278" i="1"/>
  <c r="R277" i="1"/>
  <c r="R279" i="1" s="1"/>
  <c r="P277" i="1"/>
  <c r="S276" i="1"/>
  <c r="P276" i="1"/>
  <c r="M276" i="1"/>
  <c r="P275" i="1"/>
  <c r="O275" i="1"/>
  <c r="S274" i="1"/>
  <c r="R274" i="1"/>
  <c r="R276" i="1" s="1"/>
  <c r="P274" i="1"/>
  <c r="S273" i="1"/>
  <c r="P273" i="1"/>
  <c r="M273" i="1"/>
  <c r="P272" i="1"/>
  <c r="O272" i="1"/>
  <c r="S271" i="1"/>
  <c r="R271" i="1"/>
  <c r="R273" i="1" s="1"/>
  <c r="P271" i="1"/>
  <c r="S270" i="1"/>
  <c r="P270" i="1"/>
  <c r="M270" i="1"/>
  <c r="P269" i="1"/>
  <c r="O269" i="1"/>
  <c r="P268" i="1"/>
  <c r="O268" i="1"/>
  <c r="P267" i="1"/>
  <c r="O267" i="1"/>
  <c r="S266" i="1"/>
  <c r="R266" i="1"/>
  <c r="R270" i="1" s="1"/>
  <c r="P266" i="1"/>
  <c r="S265" i="1"/>
  <c r="P265" i="1"/>
  <c r="M265" i="1"/>
  <c r="P264" i="1"/>
  <c r="O264" i="1"/>
  <c r="O263" i="1"/>
  <c r="P262" i="1"/>
  <c r="O262" i="1"/>
  <c r="S261" i="1"/>
  <c r="R261" i="1"/>
  <c r="R265" i="1" s="1"/>
  <c r="P261" i="1"/>
  <c r="S260" i="1"/>
  <c r="P260" i="1"/>
  <c r="M260" i="1"/>
  <c r="P259" i="1"/>
  <c r="O259" i="1"/>
  <c r="P258" i="1"/>
  <c r="O258" i="1"/>
  <c r="P257" i="1"/>
  <c r="O257" i="1"/>
  <c r="S256" i="1"/>
  <c r="R256" i="1"/>
  <c r="R260" i="1" s="1"/>
  <c r="P256" i="1"/>
  <c r="S255" i="1"/>
  <c r="P255" i="1"/>
  <c r="M255" i="1"/>
  <c r="P254" i="1"/>
  <c r="O254" i="1"/>
  <c r="P253" i="1"/>
  <c r="O253" i="1"/>
  <c r="P252" i="1"/>
  <c r="O252" i="1"/>
  <c r="S251" i="1"/>
  <c r="R251" i="1"/>
  <c r="R255" i="1" s="1"/>
  <c r="P251" i="1"/>
  <c r="M232" i="1"/>
  <c r="P232" i="1" s="1"/>
  <c r="R231" i="1"/>
  <c r="R232" i="1" s="1"/>
  <c r="P231" i="1"/>
  <c r="S230" i="1"/>
  <c r="P230" i="1"/>
  <c r="M230" i="1"/>
  <c r="S229" i="1"/>
  <c r="R229" i="1"/>
  <c r="R230" i="1" s="1"/>
  <c r="P229" i="1"/>
  <c r="M228" i="1"/>
  <c r="P228" i="1" s="1"/>
  <c r="R227" i="1"/>
  <c r="R228" i="1" s="1"/>
  <c r="P227" i="1"/>
  <c r="S226" i="1"/>
  <c r="P226" i="1"/>
  <c r="M226" i="1"/>
  <c r="S225" i="1"/>
  <c r="R225" i="1"/>
  <c r="R226" i="1" s="1"/>
  <c r="P225" i="1"/>
  <c r="S224" i="1"/>
  <c r="R224" i="1"/>
  <c r="P224" i="1"/>
  <c r="O224" i="1"/>
  <c r="R396" i="1" l="1"/>
  <c r="D19" i="16"/>
  <c r="H266" i="1"/>
  <c r="J266" i="1" s="1"/>
  <c r="H373" i="1"/>
  <c r="J373" i="1" s="1"/>
  <c r="H391" i="1"/>
  <c r="J391" i="1" s="1"/>
  <c r="H261" i="1"/>
  <c r="J261" i="1" s="1"/>
  <c r="H301" i="1"/>
  <c r="J301" i="1" s="1"/>
  <c r="H349" i="1"/>
  <c r="J349" i="1" s="1"/>
  <c r="H397" i="1"/>
  <c r="J397" i="1" s="1"/>
  <c r="H251" i="1"/>
  <c r="J251" i="1" s="1"/>
  <c r="H385" i="1"/>
  <c r="J385" i="1" s="1"/>
  <c r="H379" i="1"/>
  <c r="J379" i="1" s="1"/>
  <c r="H343" i="1"/>
  <c r="J343" i="1" s="1"/>
  <c r="H319" i="1"/>
  <c r="J319" i="1" s="1"/>
  <c r="H331" i="1"/>
  <c r="J331" i="1" s="1"/>
  <c r="H337" i="1"/>
  <c r="J337" i="1" s="1"/>
  <c r="H433" i="1"/>
  <c r="J433" i="1" s="1"/>
  <c r="H256" i="1"/>
  <c r="J256" i="1" s="1"/>
  <c r="H427" i="1"/>
  <c r="J427" i="1" s="1"/>
  <c r="H325" i="1"/>
  <c r="J325" i="1" s="1"/>
  <c r="H403" i="1"/>
  <c r="J403" i="1" s="1"/>
  <c r="H421" i="1"/>
  <c r="J421" i="1" s="1"/>
  <c r="H307" i="1"/>
  <c r="J307" i="1" s="1"/>
  <c r="H415" i="1"/>
  <c r="J415" i="1" s="1"/>
  <c r="H361" i="1"/>
  <c r="J361" i="1" s="1"/>
  <c r="H355" i="1"/>
  <c r="J355" i="1" s="1"/>
  <c r="H313" i="1"/>
  <c r="J313" i="1" s="1"/>
  <c r="H367" i="1"/>
  <c r="J367" i="1" s="1"/>
  <c r="H409" i="1"/>
  <c r="J409" i="1" s="1"/>
  <c r="R20" i="1"/>
  <c r="S20" i="1"/>
  <c r="G25" i="1"/>
  <c r="G26" i="1"/>
  <c r="G27" i="1"/>
  <c r="G28" i="1"/>
  <c r="G114" i="1"/>
  <c r="G115" i="1"/>
  <c r="H115" i="1" s="1"/>
  <c r="J115" i="1" s="1"/>
  <c r="G126" i="1"/>
  <c r="G238" i="1"/>
  <c r="G239" i="1"/>
  <c r="G240" i="1"/>
  <c r="G241" i="1"/>
  <c r="G242" i="1"/>
  <c r="G243" i="1"/>
  <c r="G472" i="1"/>
  <c r="G473" i="1"/>
  <c r="G474" i="1"/>
  <c r="H474" i="1" s="1"/>
  <c r="G475" i="1"/>
  <c r="G477" i="1"/>
  <c r="G478" i="1"/>
  <c r="G479" i="1"/>
  <c r="G482" i="1"/>
  <c r="G483" i="1"/>
  <c r="G484" i="1"/>
  <c r="G487" i="1"/>
  <c r="H487" i="1" s="1"/>
  <c r="G488" i="1"/>
  <c r="G489" i="1"/>
  <c r="G492" i="1"/>
  <c r="G493" i="1"/>
  <c r="G494" i="1"/>
  <c r="G523" i="1"/>
  <c r="G524" i="1"/>
  <c r="G525" i="1"/>
  <c r="H525" i="1" s="1"/>
  <c r="J525" i="1" s="1"/>
  <c r="G526" i="1"/>
  <c r="G538" i="1"/>
  <c r="G545" i="1"/>
  <c r="G546" i="1"/>
  <c r="G547" i="1"/>
  <c r="G549" i="1"/>
  <c r="G550" i="1"/>
  <c r="G551" i="1"/>
  <c r="H551" i="1" s="1"/>
  <c r="G553" i="1"/>
  <c r="G554" i="1"/>
  <c r="G555" i="1"/>
  <c r="G557" i="1"/>
  <c r="G558" i="1"/>
  <c r="G559" i="1"/>
  <c r="G562" i="1"/>
  <c r="G563" i="1"/>
  <c r="H563" i="1" s="1"/>
  <c r="J563" i="1" s="1"/>
  <c r="G660" i="1"/>
  <c r="G661" i="1"/>
  <c r="G662" i="1"/>
  <c r="G663" i="1"/>
  <c r="G664" i="1"/>
  <c r="H664" i="1" s="1"/>
  <c r="J664" i="1" s="1"/>
  <c r="G665" i="1"/>
  <c r="G1644" i="1"/>
  <c r="G1645" i="1"/>
  <c r="G1654" i="1"/>
  <c r="G2147" i="1"/>
  <c r="G2153" i="1"/>
  <c r="G2159" i="1"/>
  <c r="H23" i="1"/>
  <c r="J23" i="1" s="1"/>
  <c r="H24" i="1"/>
  <c r="H25" i="1"/>
  <c r="J25" i="1" s="1"/>
  <c r="H26" i="1"/>
  <c r="J26" i="1" s="1"/>
  <c r="H27" i="1"/>
  <c r="J27" i="1" s="1"/>
  <c r="H28" i="1"/>
  <c r="J28" i="1" s="1"/>
  <c r="H69" i="1"/>
  <c r="J69" i="1" s="1"/>
  <c r="H76" i="1"/>
  <c r="J76" i="1" s="1"/>
  <c r="H82" i="1"/>
  <c r="H83" i="1"/>
  <c r="H84" i="1"/>
  <c r="J84" i="1" s="1"/>
  <c r="H85" i="1"/>
  <c r="J85" i="1" s="1"/>
  <c r="H86" i="1"/>
  <c r="J86" i="1" s="1"/>
  <c r="H114" i="1"/>
  <c r="J114" i="1" s="1"/>
  <c r="H116" i="1"/>
  <c r="J116" i="1" s="1"/>
  <c r="H117" i="1"/>
  <c r="H118" i="1"/>
  <c r="H119" i="1"/>
  <c r="H121" i="1"/>
  <c r="H122" i="1"/>
  <c r="H123" i="1"/>
  <c r="H124" i="1"/>
  <c r="J124" i="1" s="1"/>
  <c r="H125" i="1"/>
  <c r="J125" i="1" s="1"/>
  <c r="H126" i="1"/>
  <c r="H127" i="1"/>
  <c r="J127" i="1" s="1"/>
  <c r="H129" i="1"/>
  <c r="H130" i="1"/>
  <c r="J130" i="1" s="1"/>
  <c r="H135" i="1"/>
  <c r="J135" i="1" s="1"/>
  <c r="H136" i="1"/>
  <c r="J136" i="1" s="1"/>
  <c r="H137" i="1"/>
  <c r="J137" i="1" s="1"/>
  <c r="H139" i="1"/>
  <c r="H140" i="1"/>
  <c r="H142" i="1"/>
  <c r="H143" i="1"/>
  <c r="H145" i="1"/>
  <c r="H146" i="1"/>
  <c r="H148" i="1"/>
  <c r="H149" i="1"/>
  <c r="H151" i="1"/>
  <c r="H152" i="1"/>
  <c r="H154" i="1"/>
  <c r="H155" i="1"/>
  <c r="H157" i="1"/>
  <c r="H158" i="1"/>
  <c r="H159" i="1"/>
  <c r="H161" i="1"/>
  <c r="H162" i="1"/>
  <c r="H163" i="1"/>
  <c r="H165" i="1"/>
  <c r="H166" i="1"/>
  <c r="H167" i="1"/>
  <c r="H169" i="1"/>
  <c r="H170" i="1"/>
  <c r="H171" i="1"/>
  <c r="H173" i="1"/>
  <c r="H174" i="1"/>
  <c r="H175" i="1"/>
  <c r="H177" i="1"/>
  <c r="H178" i="1"/>
  <c r="H179" i="1"/>
  <c r="H180" i="1"/>
  <c r="J180" i="1" s="1"/>
  <c r="H181" i="1"/>
  <c r="J181" i="1" s="1"/>
  <c r="H182" i="1"/>
  <c r="J182" i="1" s="1"/>
  <c r="H183" i="1"/>
  <c r="H184" i="1"/>
  <c r="H185" i="1"/>
  <c r="J185" i="1" s="1"/>
  <c r="H187" i="1"/>
  <c r="H188" i="1"/>
  <c r="J188" i="1" s="1"/>
  <c r="H189" i="1"/>
  <c r="H191" i="1"/>
  <c r="H192" i="1"/>
  <c r="H194" i="1"/>
  <c r="H195" i="1"/>
  <c r="H196" i="1"/>
  <c r="J196" i="1" s="1"/>
  <c r="H233" i="1"/>
  <c r="J233" i="1" s="1"/>
  <c r="H234" i="1"/>
  <c r="J234" i="1" s="1"/>
  <c r="H237" i="1"/>
  <c r="J237" i="1" s="1"/>
  <c r="H238" i="1"/>
  <c r="J238" i="1" s="1"/>
  <c r="H239" i="1"/>
  <c r="J239" i="1" s="1"/>
  <c r="H240" i="1"/>
  <c r="H241" i="1"/>
  <c r="J241" i="1" s="1"/>
  <c r="H242" i="1"/>
  <c r="J242" i="1" s="1"/>
  <c r="H243" i="1"/>
  <c r="J243" i="1" s="1"/>
  <c r="H244" i="1"/>
  <c r="J244" i="1" s="1"/>
  <c r="H245" i="1"/>
  <c r="J245" i="1" s="1"/>
  <c r="H246" i="1"/>
  <c r="J246" i="1" s="1"/>
  <c r="H247" i="1"/>
  <c r="J247" i="1" s="1"/>
  <c r="H248" i="1"/>
  <c r="H249" i="1"/>
  <c r="J249" i="1" s="1"/>
  <c r="H250" i="1"/>
  <c r="J250" i="1" s="1"/>
  <c r="H439" i="1"/>
  <c r="J439" i="1" s="1"/>
  <c r="H440" i="1"/>
  <c r="J440" i="1" s="1"/>
  <c r="H470" i="1"/>
  <c r="J470" i="1" s="1"/>
  <c r="H472" i="1"/>
  <c r="H473" i="1"/>
  <c r="H475" i="1"/>
  <c r="H477" i="1"/>
  <c r="H478" i="1"/>
  <c r="H479" i="1"/>
  <c r="H480" i="1"/>
  <c r="J480" i="1" s="1"/>
  <c r="H482" i="1"/>
  <c r="H483" i="1"/>
  <c r="H484" i="1"/>
  <c r="H485" i="1"/>
  <c r="H488" i="1"/>
  <c r="H489" i="1"/>
  <c r="H490" i="1"/>
  <c r="J490" i="1" s="1"/>
  <c r="H492" i="1"/>
  <c r="H493" i="1"/>
  <c r="H494" i="1"/>
  <c r="H495" i="1"/>
  <c r="H523" i="1"/>
  <c r="H524" i="1"/>
  <c r="J524" i="1" s="1"/>
  <c r="H526" i="1"/>
  <c r="J526" i="1" s="1"/>
  <c r="H530" i="1"/>
  <c r="J530" i="1" s="1"/>
  <c r="H531" i="1"/>
  <c r="J531" i="1" s="1"/>
  <c r="H533" i="1"/>
  <c r="H534" i="1"/>
  <c r="H535" i="1"/>
  <c r="H536" i="1"/>
  <c r="H537" i="1"/>
  <c r="J537" i="1" s="1"/>
  <c r="H538" i="1"/>
  <c r="J538" i="1" s="1"/>
  <c r="H539" i="1"/>
  <c r="J539" i="1" s="1"/>
  <c r="H540" i="1"/>
  <c r="J540" i="1" s="1"/>
  <c r="H541" i="1"/>
  <c r="J541" i="1" s="1"/>
  <c r="H542" i="1"/>
  <c r="J542" i="1" s="1"/>
  <c r="H543" i="1"/>
  <c r="J543" i="1" s="1"/>
  <c r="H545" i="1"/>
  <c r="H546" i="1"/>
  <c r="H547" i="1"/>
  <c r="H549" i="1"/>
  <c r="H550" i="1"/>
  <c r="H553" i="1"/>
  <c r="H554" i="1"/>
  <c r="H555" i="1"/>
  <c r="H557" i="1"/>
  <c r="H558" i="1"/>
  <c r="H559" i="1"/>
  <c r="H562" i="1"/>
  <c r="J562" i="1" s="1"/>
  <c r="H564" i="1"/>
  <c r="J564" i="1" s="1"/>
  <c r="H565" i="1"/>
  <c r="J565" i="1" s="1"/>
  <c r="H566" i="1"/>
  <c r="J566" i="1" s="1"/>
  <c r="H567" i="1"/>
  <c r="H568" i="1"/>
  <c r="H569" i="1"/>
  <c r="J569" i="1" s="1"/>
  <c r="H570" i="1"/>
  <c r="J570" i="1" s="1"/>
  <c r="H571" i="1"/>
  <c r="H655" i="1"/>
  <c r="J655" i="1" s="1"/>
  <c r="H656" i="1"/>
  <c r="J656" i="1" s="1"/>
  <c r="H659" i="1"/>
  <c r="J659" i="1" s="1"/>
  <c r="H660" i="1"/>
  <c r="J660" i="1" s="1"/>
  <c r="H661" i="1"/>
  <c r="H662" i="1"/>
  <c r="J662" i="1" s="1"/>
  <c r="H663" i="1"/>
  <c r="J663" i="1" s="1"/>
  <c r="H665" i="1"/>
  <c r="J665" i="1" s="1"/>
  <c r="H666" i="1"/>
  <c r="J666" i="1" s="1"/>
  <c r="H667" i="1"/>
  <c r="J667" i="1" s="1"/>
  <c r="H668" i="1"/>
  <c r="J668" i="1" s="1"/>
  <c r="H669" i="1"/>
  <c r="J669" i="1" s="1"/>
  <c r="H670" i="1"/>
  <c r="H671" i="1"/>
  <c r="J671" i="1" s="1"/>
  <c r="H672" i="1"/>
  <c r="J672" i="1" s="1"/>
  <c r="H721" i="1"/>
  <c r="H722" i="1"/>
  <c r="H723" i="1"/>
  <c r="H725" i="1"/>
  <c r="H726" i="1"/>
  <c r="H727" i="1"/>
  <c r="H1640" i="1"/>
  <c r="J1640" i="1" s="1"/>
  <c r="H1641" i="1"/>
  <c r="J1641" i="1" s="1"/>
  <c r="H1642" i="1"/>
  <c r="J1642" i="1" s="1"/>
  <c r="H1644" i="1"/>
  <c r="J1644" i="1" s="1"/>
  <c r="H1645" i="1"/>
  <c r="J1645" i="1" s="1"/>
  <c r="H1646" i="1"/>
  <c r="J1646" i="1" s="1"/>
  <c r="H1647" i="1"/>
  <c r="J1647" i="1" s="1"/>
  <c r="H1649" i="1"/>
  <c r="H1650" i="1"/>
  <c r="H1651" i="1"/>
  <c r="H1652" i="1"/>
  <c r="J1652" i="1" s="1"/>
  <c r="H1653" i="1"/>
  <c r="J1653" i="1" s="1"/>
  <c r="H1654" i="1"/>
  <c r="J1654" i="1" s="1"/>
  <c r="H1655" i="1"/>
  <c r="J1655" i="1" s="1"/>
  <c r="H1657" i="1"/>
  <c r="H1658" i="1"/>
  <c r="H1659" i="1"/>
  <c r="H1661" i="1"/>
  <c r="H1662" i="1"/>
  <c r="H1663" i="1"/>
  <c r="H1665" i="1"/>
  <c r="H1666" i="1"/>
  <c r="H1667" i="1"/>
  <c r="H1669" i="1"/>
  <c r="H1670" i="1"/>
  <c r="H1671" i="1"/>
  <c r="H1673" i="1"/>
  <c r="H1674" i="1"/>
  <c r="H1675" i="1"/>
  <c r="H1686" i="1"/>
  <c r="H1687" i="1"/>
  <c r="J1687" i="1" s="1"/>
  <c r="H1689" i="1"/>
  <c r="H1697" i="1"/>
  <c r="J1697" i="1" s="1"/>
  <c r="H1752" i="1"/>
  <c r="H1753" i="1"/>
  <c r="H1755" i="1"/>
  <c r="H1756" i="1"/>
  <c r="H1758" i="1"/>
  <c r="H1759" i="1"/>
  <c r="H1761" i="1"/>
  <c r="H1762" i="1"/>
  <c r="H1764" i="1"/>
  <c r="H1765" i="1"/>
  <c r="H1767" i="1"/>
  <c r="H1768" i="1"/>
  <c r="H1770" i="1"/>
  <c r="H1771" i="1"/>
  <c r="H1777" i="1"/>
  <c r="H1778" i="1"/>
  <c r="J1778" i="1" s="1"/>
  <c r="H1779" i="1"/>
  <c r="J1779" i="1" s="1"/>
  <c r="H1780" i="1"/>
  <c r="J1780" i="1" s="1"/>
  <c r="H1781" i="1"/>
  <c r="J1781" i="1" s="1"/>
  <c r="H1783" i="1"/>
  <c r="H1784" i="1"/>
  <c r="H1785" i="1"/>
  <c r="H1786" i="1"/>
  <c r="H1787" i="1"/>
  <c r="J1787" i="1" s="1"/>
  <c r="H1788" i="1"/>
  <c r="J1788" i="1" s="1"/>
  <c r="H1789" i="1"/>
  <c r="J1789" i="1" s="1"/>
  <c r="H1791" i="1"/>
  <c r="H1792" i="1"/>
  <c r="H1793" i="1"/>
  <c r="H1794" i="1"/>
  <c r="J1794" i="1" s="1"/>
  <c r="H1795" i="1"/>
  <c r="H1797" i="1"/>
  <c r="H1798" i="1"/>
  <c r="H1800" i="1"/>
  <c r="H1801" i="1"/>
  <c r="H1803" i="1"/>
  <c r="H1804" i="1"/>
  <c r="H1806" i="1"/>
  <c r="H1807" i="1"/>
  <c r="H1808" i="1"/>
  <c r="H1810" i="1"/>
  <c r="H1811" i="1"/>
  <c r="H1812" i="1"/>
  <c r="H1814" i="1"/>
  <c r="H1815" i="1"/>
  <c r="H1816" i="1"/>
  <c r="H1818" i="1"/>
  <c r="H1819" i="1"/>
  <c r="H1820" i="1"/>
  <c r="H1822" i="1"/>
  <c r="H1823" i="1"/>
  <c r="H1824" i="1"/>
  <c r="H1826" i="1"/>
  <c r="H1827" i="1"/>
  <c r="H1828" i="1"/>
  <c r="H1830" i="1"/>
  <c r="H1831" i="1"/>
  <c r="H1832" i="1"/>
  <c r="H1834" i="1"/>
  <c r="H1835" i="1"/>
  <c r="H1836" i="1"/>
  <c r="H1838" i="1"/>
  <c r="H1839" i="1"/>
  <c r="H1840" i="1"/>
  <c r="H1842" i="1"/>
  <c r="H1843" i="1"/>
  <c r="H1844" i="1"/>
  <c r="H1846" i="1"/>
  <c r="H1847" i="1"/>
  <c r="H1848" i="1"/>
  <c r="H1850" i="1"/>
  <c r="H1851" i="1"/>
  <c r="H1852" i="1"/>
  <c r="H1854" i="1"/>
  <c r="H1855" i="1"/>
  <c r="H1856" i="1"/>
  <c r="H1857" i="1"/>
  <c r="H1859" i="1"/>
  <c r="H1860" i="1"/>
  <c r="H1861" i="1"/>
  <c r="H1863" i="1"/>
  <c r="H1864" i="1"/>
  <c r="H1865" i="1"/>
  <c r="H1867" i="1"/>
  <c r="H1868" i="1"/>
  <c r="H1869" i="1"/>
  <c r="H1871" i="1"/>
  <c r="H1872" i="1"/>
  <c r="H1873" i="1"/>
  <c r="H1875" i="1"/>
  <c r="H1876" i="1"/>
  <c r="H1877" i="1"/>
  <c r="H1879" i="1"/>
  <c r="H1880" i="1"/>
  <c r="H1881" i="1"/>
  <c r="H1883" i="1"/>
  <c r="H1884" i="1"/>
  <c r="H1885" i="1"/>
  <c r="H1887" i="1"/>
  <c r="H1888" i="1"/>
  <c r="H1889" i="1"/>
  <c r="H1891" i="1"/>
  <c r="H1892" i="1"/>
  <c r="H1893" i="1"/>
  <c r="H1895" i="1"/>
  <c r="H1896" i="1"/>
  <c r="H1897" i="1"/>
  <c r="H1899" i="1"/>
  <c r="H1900" i="1"/>
  <c r="H1901" i="1"/>
  <c r="H1903" i="1"/>
  <c r="H1904" i="1"/>
  <c r="H1905" i="1"/>
  <c r="H1907" i="1"/>
  <c r="H1908" i="1"/>
  <c r="H1909" i="1"/>
  <c r="H1911" i="1"/>
  <c r="H1912" i="1"/>
  <c r="H1913" i="1"/>
  <c r="H1915" i="1"/>
  <c r="H1916" i="1"/>
  <c r="H1917" i="1"/>
  <c r="H1919" i="1"/>
  <c r="H1920" i="1"/>
  <c r="H1921" i="1"/>
  <c r="H1923" i="1"/>
  <c r="H1924" i="1"/>
  <c r="H1925" i="1"/>
  <c r="H1927" i="1"/>
  <c r="H1928" i="1"/>
  <c r="H1929" i="1"/>
  <c r="H1931" i="1"/>
  <c r="H1932" i="1"/>
  <c r="H1933" i="1"/>
  <c r="H1935" i="1"/>
  <c r="H1936" i="1"/>
  <c r="H1937" i="1"/>
  <c r="H1939" i="1"/>
  <c r="H1940" i="1"/>
  <c r="H1941" i="1"/>
  <c r="H1943" i="1"/>
  <c r="H1944" i="1"/>
  <c r="H1945" i="1"/>
  <c r="H1947" i="1"/>
  <c r="H1948" i="1"/>
  <c r="H1949" i="1"/>
  <c r="H1951" i="1"/>
  <c r="H1952" i="1"/>
  <c r="H1953" i="1"/>
  <c r="H1955" i="1"/>
  <c r="H1956" i="1"/>
  <c r="H1957" i="1"/>
  <c r="H1959" i="1"/>
  <c r="H1960" i="1"/>
  <c r="H1961" i="1"/>
  <c r="H1963" i="1"/>
  <c r="H1964" i="1"/>
  <c r="H1965" i="1"/>
  <c r="H1967" i="1"/>
  <c r="H1968" i="1"/>
  <c r="H1969" i="1"/>
  <c r="H1971" i="1"/>
  <c r="H1972" i="1"/>
  <c r="H1973" i="1"/>
  <c r="H1975" i="1"/>
  <c r="H1976" i="1"/>
  <c r="H1977" i="1"/>
  <c r="H1979" i="1"/>
  <c r="H1980" i="1"/>
  <c r="H1981" i="1"/>
  <c r="H1983" i="1"/>
  <c r="H1984" i="1"/>
  <c r="H1985" i="1"/>
  <c r="H1987" i="1"/>
  <c r="H1988" i="1"/>
  <c r="H1989" i="1"/>
  <c r="H1991" i="1"/>
  <c r="H1992" i="1"/>
  <c r="H1993" i="1"/>
  <c r="H1995" i="1"/>
  <c r="H1996" i="1"/>
  <c r="H1997" i="1"/>
  <c r="H1999" i="1"/>
  <c r="H2000" i="1"/>
  <c r="H2001" i="1"/>
  <c r="H2003" i="1"/>
  <c r="H2004" i="1"/>
  <c r="H2005" i="1"/>
  <c r="H2007" i="1"/>
  <c r="H2008" i="1"/>
  <c r="H2009" i="1"/>
  <c r="H2011" i="1"/>
  <c r="H2012" i="1"/>
  <c r="H2013" i="1"/>
  <c r="H2015" i="1"/>
  <c r="H2016" i="1"/>
  <c r="H2017" i="1"/>
  <c r="H2019" i="1"/>
  <c r="H2020" i="1"/>
  <c r="H2021" i="1"/>
  <c r="H2023" i="1"/>
  <c r="H2024" i="1"/>
  <c r="H2025" i="1"/>
  <c r="H2027" i="1"/>
  <c r="H2028" i="1"/>
  <c r="H2029" i="1"/>
  <c r="H2031" i="1"/>
  <c r="H2032" i="1"/>
  <c r="H2033" i="1"/>
  <c r="H2035" i="1"/>
  <c r="H2036" i="1"/>
  <c r="H2037" i="1"/>
  <c r="H2039" i="1"/>
  <c r="H2040" i="1"/>
  <c r="H2041" i="1"/>
  <c r="H2043" i="1"/>
  <c r="H2044" i="1"/>
  <c r="H2045" i="1"/>
  <c r="H2047" i="1"/>
  <c r="H2048" i="1"/>
  <c r="H2049" i="1"/>
  <c r="H2051" i="1"/>
  <c r="H2052" i="1"/>
  <c r="H2053" i="1"/>
  <c r="H2055" i="1"/>
  <c r="H2056" i="1"/>
  <c r="H2057" i="1"/>
  <c r="H2059" i="1"/>
  <c r="H2060" i="1"/>
  <c r="H2061" i="1"/>
  <c r="H2063" i="1"/>
  <c r="H2064" i="1"/>
  <c r="H2065" i="1"/>
  <c r="H2066" i="1"/>
  <c r="H2068" i="1"/>
  <c r="H2069" i="1"/>
  <c r="H2070" i="1"/>
  <c r="H2071" i="1"/>
  <c r="H2073" i="1"/>
  <c r="H2074" i="1"/>
  <c r="H2075" i="1"/>
  <c r="H2076" i="1"/>
  <c r="H2078" i="1"/>
  <c r="H2079" i="1"/>
  <c r="H2080" i="1"/>
  <c r="H2081" i="1"/>
  <c r="H2083" i="1"/>
  <c r="H2084" i="1"/>
  <c r="H2085" i="1"/>
  <c r="H2086" i="1"/>
  <c r="H2088" i="1"/>
  <c r="H2089" i="1"/>
  <c r="H2090" i="1"/>
  <c r="H2091" i="1"/>
  <c r="H2093" i="1"/>
  <c r="H2094" i="1"/>
  <c r="H2095" i="1"/>
  <c r="H2096" i="1"/>
  <c r="H2098" i="1"/>
  <c r="H2099" i="1"/>
  <c r="H2100" i="1"/>
  <c r="H2101" i="1"/>
  <c r="H2103" i="1"/>
  <c r="H2104" i="1"/>
  <c r="H2105" i="1"/>
  <c r="H2106" i="1"/>
  <c r="H2108" i="1"/>
  <c r="H2109" i="1"/>
  <c r="H2110" i="1"/>
  <c r="H2111" i="1"/>
  <c r="H2113" i="1"/>
  <c r="H2114" i="1"/>
  <c r="H2115" i="1"/>
  <c r="H2116" i="1"/>
  <c r="J19" i="1"/>
  <c r="J20" i="1"/>
  <c r="J21" i="1"/>
  <c r="J22" i="1"/>
  <c r="J24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70" i="1"/>
  <c r="J71" i="1"/>
  <c r="J72" i="1"/>
  <c r="J73" i="1"/>
  <c r="J74" i="1"/>
  <c r="J75" i="1"/>
  <c r="J77" i="1"/>
  <c r="J78" i="1"/>
  <c r="J79" i="1"/>
  <c r="J80" i="1"/>
  <c r="J81" i="1"/>
  <c r="J82" i="1"/>
  <c r="J83" i="1"/>
  <c r="J117" i="1"/>
  <c r="J118" i="1"/>
  <c r="J119" i="1"/>
  <c r="J126" i="1"/>
  <c r="J128" i="1"/>
  <c r="J129" i="1"/>
  <c r="J131" i="1"/>
  <c r="J132" i="1"/>
  <c r="J133" i="1"/>
  <c r="J134" i="1"/>
  <c r="J183" i="1"/>
  <c r="J184" i="1"/>
  <c r="J235" i="1"/>
  <c r="J236" i="1"/>
  <c r="J240" i="1"/>
  <c r="J248" i="1"/>
  <c r="J468" i="1"/>
  <c r="J469" i="1"/>
  <c r="J475" i="1"/>
  <c r="J485" i="1"/>
  <c r="J495" i="1"/>
  <c r="J523" i="1"/>
  <c r="J527" i="1"/>
  <c r="J528" i="1"/>
  <c r="J529" i="1"/>
  <c r="J536" i="1"/>
  <c r="J545" i="1"/>
  <c r="J546" i="1"/>
  <c r="J547" i="1"/>
  <c r="J549" i="1"/>
  <c r="J550" i="1"/>
  <c r="J551" i="1"/>
  <c r="J553" i="1"/>
  <c r="J554" i="1"/>
  <c r="J555" i="1"/>
  <c r="J560" i="1"/>
  <c r="J561" i="1"/>
  <c r="J568" i="1"/>
  <c r="J657" i="1"/>
  <c r="J658" i="1"/>
  <c r="J661" i="1"/>
  <c r="J670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43" i="1"/>
  <c r="J1676" i="1"/>
  <c r="J1677" i="1"/>
  <c r="J1678" i="1"/>
  <c r="J1679" i="1"/>
  <c r="J1680" i="1"/>
  <c r="J1681" i="1"/>
  <c r="J1682" i="1"/>
  <c r="J1683" i="1"/>
  <c r="J1684" i="1"/>
  <c r="J1685" i="1"/>
  <c r="J1688" i="1"/>
  <c r="J1689" i="1"/>
  <c r="J1690" i="1"/>
  <c r="J1691" i="1"/>
  <c r="J1692" i="1"/>
  <c r="J1693" i="1"/>
  <c r="J1694" i="1"/>
  <c r="J1695" i="1"/>
  <c r="J1696" i="1"/>
  <c r="J1698" i="1"/>
  <c r="J1699" i="1"/>
  <c r="J1700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72" i="1"/>
  <c r="J1773" i="1"/>
  <c r="J1774" i="1"/>
  <c r="J1775" i="1"/>
  <c r="J1776" i="1"/>
  <c r="J1777" i="1"/>
  <c r="J1786" i="1"/>
  <c r="J1795" i="1"/>
  <c r="J2051" i="1"/>
  <c r="J2052" i="1"/>
  <c r="J2053" i="1"/>
  <c r="J2520" i="1"/>
  <c r="J2521" i="1"/>
  <c r="J2522" i="1"/>
  <c r="J2523" i="1"/>
  <c r="J2524" i="1"/>
  <c r="J2526" i="1"/>
  <c r="J2527" i="1"/>
  <c r="J2528" i="1"/>
  <c r="J2529" i="1"/>
  <c r="J2530" i="1"/>
  <c r="J2532" i="1"/>
  <c r="J2533" i="1"/>
  <c r="J2534" i="1"/>
  <c r="J2535" i="1"/>
  <c r="J2536" i="1"/>
  <c r="J2538" i="1"/>
  <c r="J2539" i="1"/>
  <c r="J2540" i="1"/>
  <c r="J2541" i="1"/>
  <c r="J2542" i="1"/>
  <c r="J2544" i="1"/>
  <c r="J2545" i="1"/>
  <c r="J2546" i="1"/>
  <c r="J2547" i="1"/>
  <c r="J2548" i="1"/>
  <c r="J2550" i="1"/>
  <c r="J2551" i="1"/>
  <c r="J2552" i="1"/>
  <c r="J2553" i="1"/>
  <c r="J2554" i="1"/>
  <c r="J2556" i="1"/>
  <c r="J2557" i="1"/>
  <c r="J2558" i="1"/>
  <c r="J2559" i="1"/>
  <c r="J2560" i="1"/>
  <c r="J2562" i="1"/>
  <c r="J2563" i="1"/>
  <c r="J2564" i="1"/>
  <c r="J2565" i="1"/>
  <c r="J2566" i="1"/>
  <c r="J2568" i="1"/>
  <c r="J2569" i="1"/>
  <c r="J2570" i="1"/>
  <c r="J2571" i="1"/>
  <c r="J2572" i="1"/>
  <c r="J2574" i="1"/>
  <c r="J2575" i="1"/>
  <c r="J2576" i="1"/>
  <c r="J2577" i="1"/>
  <c r="J2578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59" i="1"/>
  <c r="J2661" i="1"/>
  <c r="J2662" i="1"/>
  <c r="J2663" i="1"/>
  <c r="J2664" i="1"/>
  <c r="J2665" i="1"/>
  <c r="J2666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52" i="1"/>
  <c r="K253" i="1"/>
  <c r="K254" i="1"/>
  <c r="K257" i="1"/>
  <c r="K258" i="1"/>
  <c r="K259" i="1"/>
  <c r="K262" i="1"/>
  <c r="K263" i="1"/>
  <c r="K264" i="1"/>
  <c r="K267" i="1"/>
  <c r="K268" i="1"/>
  <c r="K269" i="1"/>
  <c r="K272" i="1"/>
  <c r="K275" i="1"/>
  <c r="K278" i="1"/>
  <c r="K281" i="1"/>
  <c r="K284" i="1"/>
  <c r="K287" i="1"/>
  <c r="K290" i="1"/>
  <c r="K293" i="1"/>
  <c r="K296" i="1"/>
  <c r="K299" i="1"/>
  <c r="K302" i="1"/>
  <c r="K303" i="1"/>
  <c r="K304" i="1"/>
  <c r="K305" i="1"/>
  <c r="K308" i="1"/>
  <c r="K309" i="1"/>
  <c r="K310" i="1"/>
  <c r="K311" i="1"/>
  <c r="K314" i="1"/>
  <c r="K315" i="1"/>
  <c r="K316" i="1"/>
  <c r="K317" i="1"/>
  <c r="K320" i="1"/>
  <c r="K321" i="1"/>
  <c r="K322" i="1"/>
  <c r="K323" i="1"/>
  <c r="K326" i="1"/>
  <c r="K327" i="1"/>
  <c r="K328" i="1"/>
  <c r="K329" i="1"/>
  <c r="K332" i="1"/>
  <c r="K333" i="1"/>
  <c r="K334" i="1"/>
  <c r="K335" i="1"/>
  <c r="K338" i="1"/>
  <c r="K339" i="1"/>
  <c r="K340" i="1"/>
  <c r="K341" i="1"/>
  <c r="K344" i="1"/>
  <c r="K345" i="1"/>
  <c r="K346" i="1"/>
  <c r="K347" i="1"/>
  <c r="K350" i="1"/>
  <c r="K351" i="1"/>
  <c r="K352" i="1"/>
  <c r="K353" i="1"/>
  <c r="K356" i="1"/>
  <c r="K357" i="1"/>
  <c r="K358" i="1"/>
  <c r="K359" i="1"/>
  <c r="K362" i="1"/>
  <c r="K363" i="1"/>
  <c r="K364" i="1"/>
  <c r="K365" i="1"/>
  <c r="K368" i="1"/>
  <c r="K369" i="1"/>
  <c r="K370" i="1"/>
  <c r="K371" i="1"/>
  <c r="K374" i="1"/>
  <c r="K375" i="1"/>
  <c r="K376" i="1"/>
  <c r="K377" i="1"/>
  <c r="K380" i="1"/>
  <c r="K381" i="1"/>
  <c r="K382" i="1"/>
  <c r="K383" i="1"/>
  <c r="K386" i="1"/>
  <c r="K387" i="1"/>
  <c r="K388" i="1"/>
  <c r="K389" i="1"/>
  <c r="K392" i="1"/>
  <c r="K393" i="1"/>
  <c r="K394" i="1"/>
  <c r="K395" i="1"/>
  <c r="K398" i="1"/>
  <c r="K399" i="1"/>
  <c r="K400" i="1"/>
  <c r="K401" i="1"/>
  <c r="K404" i="1"/>
  <c r="K405" i="1"/>
  <c r="K406" i="1"/>
  <c r="K407" i="1"/>
  <c r="K410" i="1"/>
  <c r="K411" i="1"/>
  <c r="K412" i="1"/>
  <c r="K413" i="1"/>
  <c r="K416" i="1"/>
  <c r="K417" i="1"/>
  <c r="K418" i="1"/>
  <c r="K419" i="1"/>
  <c r="K422" i="1"/>
  <c r="K423" i="1"/>
  <c r="K424" i="1"/>
  <c r="K425" i="1"/>
  <c r="K428" i="1"/>
  <c r="K429" i="1"/>
  <c r="K430" i="1"/>
  <c r="K431" i="1"/>
  <c r="K434" i="1"/>
  <c r="K435" i="1"/>
  <c r="K436" i="1"/>
  <c r="K437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45" i="1"/>
  <c r="K546" i="1"/>
  <c r="K547" i="1"/>
  <c r="K549" i="1"/>
  <c r="K550" i="1"/>
  <c r="K551" i="1"/>
  <c r="K553" i="1"/>
  <c r="K554" i="1"/>
  <c r="K555" i="1"/>
  <c r="K581" i="1"/>
  <c r="K584" i="1"/>
  <c r="K585" i="1"/>
  <c r="K586" i="1"/>
  <c r="K587" i="1"/>
  <c r="K590" i="1"/>
  <c r="K591" i="1"/>
  <c r="K592" i="1"/>
  <c r="K593" i="1"/>
  <c r="K596" i="1"/>
  <c r="K597" i="1"/>
  <c r="K598" i="1"/>
  <c r="K599" i="1"/>
  <c r="K602" i="1"/>
  <c r="K603" i="1"/>
  <c r="K604" i="1"/>
  <c r="K605" i="1"/>
  <c r="K608" i="1"/>
  <c r="K609" i="1"/>
  <c r="K610" i="1"/>
  <c r="K611" i="1"/>
  <c r="K614" i="1"/>
  <c r="K615" i="1"/>
  <c r="K616" i="1"/>
  <c r="K617" i="1"/>
  <c r="K620" i="1"/>
  <c r="K621" i="1"/>
  <c r="K622" i="1"/>
  <c r="K623" i="1"/>
  <c r="K626" i="1"/>
  <c r="K627" i="1"/>
  <c r="K628" i="1"/>
  <c r="K629" i="1"/>
  <c r="K632" i="1"/>
  <c r="K633" i="1"/>
  <c r="K634" i="1"/>
  <c r="K635" i="1"/>
  <c r="K638" i="1"/>
  <c r="K639" i="1"/>
  <c r="K640" i="1"/>
  <c r="K641" i="1"/>
  <c r="K644" i="1"/>
  <c r="K645" i="1"/>
  <c r="K646" i="1"/>
  <c r="K647" i="1"/>
  <c r="K650" i="1"/>
  <c r="K651" i="1"/>
  <c r="K652" i="1"/>
  <c r="K653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21" i="1"/>
  <c r="K722" i="1"/>
  <c r="K723" i="1"/>
  <c r="K725" i="1"/>
  <c r="K726" i="1"/>
  <c r="K727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52" i="1"/>
  <c r="K1753" i="1"/>
  <c r="K1755" i="1"/>
  <c r="K1756" i="1"/>
  <c r="K1758" i="1"/>
  <c r="K1759" i="1"/>
  <c r="K1761" i="1"/>
  <c r="K1762" i="1"/>
  <c r="K1764" i="1"/>
  <c r="K1765" i="1"/>
  <c r="K1767" i="1"/>
  <c r="K1768" i="1"/>
  <c r="K1770" i="1"/>
  <c r="K1771" i="1"/>
  <c r="K1783" i="1"/>
  <c r="K1784" i="1"/>
  <c r="K1785" i="1"/>
  <c r="K1797" i="1"/>
  <c r="K1798" i="1"/>
  <c r="K1800" i="1"/>
  <c r="K1801" i="1"/>
  <c r="K1803" i="1"/>
  <c r="K1804" i="1"/>
  <c r="K1806" i="1"/>
  <c r="K1807" i="1"/>
  <c r="K1808" i="1"/>
  <c r="K1810" i="1"/>
  <c r="K1811" i="1"/>
  <c r="K1812" i="1"/>
  <c r="K1814" i="1"/>
  <c r="K1815" i="1"/>
  <c r="K1816" i="1"/>
  <c r="K1818" i="1"/>
  <c r="K1819" i="1"/>
  <c r="K1820" i="1"/>
  <c r="K1822" i="1"/>
  <c r="K1823" i="1"/>
  <c r="K1824" i="1"/>
  <c r="K1943" i="1"/>
  <c r="K1944" i="1"/>
  <c r="K1945" i="1"/>
  <c r="K1947" i="1"/>
  <c r="K1948" i="1"/>
  <c r="K1949" i="1"/>
  <c r="K1951" i="1"/>
  <c r="K1952" i="1"/>
  <c r="K1953" i="1"/>
  <c r="K1955" i="1"/>
  <c r="K1956" i="1"/>
  <c r="K1957" i="1"/>
  <c r="K1959" i="1"/>
  <c r="K1960" i="1"/>
  <c r="K1961" i="1"/>
  <c r="K1963" i="1"/>
  <c r="K1964" i="1"/>
  <c r="K1965" i="1"/>
  <c r="K1967" i="1"/>
  <c r="K1968" i="1"/>
  <c r="K1969" i="1"/>
  <c r="K1971" i="1"/>
  <c r="K1972" i="1"/>
  <c r="K1973" i="1"/>
  <c r="K1975" i="1"/>
  <c r="K1976" i="1"/>
  <c r="K1977" i="1"/>
  <c r="K1979" i="1"/>
  <c r="K1980" i="1"/>
  <c r="K1981" i="1"/>
  <c r="K1983" i="1"/>
  <c r="K1984" i="1"/>
  <c r="K1985" i="1"/>
  <c r="K1987" i="1"/>
  <c r="K1988" i="1"/>
  <c r="K1989" i="1"/>
  <c r="K1991" i="1"/>
  <c r="K1992" i="1"/>
  <c r="K1993" i="1"/>
  <c r="K1995" i="1"/>
  <c r="K1996" i="1"/>
  <c r="K1997" i="1"/>
  <c r="K1999" i="1"/>
  <c r="K2000" i="1"/>
  <c r="K2001" i="1"/>
  <c r="K2003" i="1"/>
  <c r="K2004" i="1"/>
  <c r="K2005" i="1"/>
  <c r="K2007" i="1"/>
  <c r="K2008" i="1"/>
  <c r="K2009" i="1"/>
  <c r="K2011" i="1"/>
  <c r="K2012" i="1"/>
  <c r="K2013" i="1"/>
  <c r="K2015" i="1"/>
  <c r="K2016" i="1"/>
  <c r="K2017" i="1"/>
  <c r="K2019" i="1"/>
  <c r="K2020" i="1"/>
  <c r="K2021" i="1"/>
  <c r="K2023" i="1"/>
  <c r="K2024" i="1"/>
  <c r="K2025" i="1"/>
  <c r="K2027" i="1"/>
  <c r="K2028" i="1"/>
  <c r="K2029" i="1"/>
  <c r="K2031" i="1"/>
  <c r="K2032" i="1"/>
  <c r="K2033" i="1"/>
  <c r="K2035" i="1"/>
  <c r="K2036" i="1"/>
  <c r="K2037" i="1"/>
  <c r="K2039" i="1"/>
  <c r="K2040" i="1"/>
  <c r="K2041" i="1"/>
  <c r="K2043" i="1"/>
  <c r="K2044" i="1"/>
  <c r="K2045" i="1"/>
  <c r="K2047" i="1"/>
  <c r="K2048" i="1"/>
  <c r="K2049" i="1"/>
  <c r="K2051" i="1"/>
  <c r="K2052" i="1"/>
  <c r="K2053" i="1"/>
  <c r="K2055" i="1"/>
  <c r="K2056" i="1"/>
  <c r="K2057" i="1"/>
  <c r="K2059" i="1"/>
  <c r="K2060" i="1"/>
  <c r="K2061" i="1"/>
  <c r="K2063" i="1"/>
  <c r="K2064" i="1"/>
  <c r="K2065" i="1"/>
  <c r="K2066" i="1"/>
  <c r="K2068" i="1"/>
  <c r="K2069" i="1"/>
  <c r="K2070" i="1"/>
  <c r="K2071" i="1"/>
  <c r="K2073" i="1"/>
  <c r="K2074" i="1"/>
  <c r="K2075" i="1"/>
  <c r="K2076" i="1"/>
  <c r="K2078" i="1"/>
  <c r="K2079" i="1"/>
  <c r="K2080" i="1"/>
  <c r="K2081" i="1"/>
  <c r="K2083" i="1"/>
  <c r="K2084" i="1"/>
  <c r="K2085" i="1"/>
  <c r="K2086" i="1"/>
  <c r="K2088" i="1"/>
  <c r="K2089" i="1"/>
  <c r="K2090" i="1"/>
  <c r="K2091" i="1"/>
  <c r="K2093" i="1"/>
  <c r="K2094" i="1"/>
  <c r="K2095" i="1"/>
  <c r="K2096" i="1"/>
  <c r="K2098" i="1"/>
  <c r="K2099" i="1"/>
  <c r="K2100" i="1"/>
  <c r="K2101" i="1"/>
  <c r="K2103" i="1"/>
  <c r="K2104" i="1"/>
  <c r="K2105" i="1"/>
  <c r="K2106" i="1"/>
  <c r="K2108" i="1"/>
  <c r="K2109" i="1"/>
  <c r="K2110" i="1"/>
  <c r="K2111" i="1"/>
  <c r="K2113" i="1"/>
  <c r="K2114" i="1"/>
  <c r="K2115" i="1"/>
  <c r="K2116" i="1"/>
  <c r="K2118" i="1"/>
  <c r="K2119" i="1"/>
  <c r="K2120" i="1"/>
  <c r="K2121" i="1"/>
  <c r="K2122" i="1"/>
  <c r="K2124" i="1"/>
  <c r="K2125" i="1"/>
  <c r="K2126" i="1"/>
  <c r="K2127" i="1"/>
  <c r="K2128" i="1"/>
  <c r="K2130" i="1"/>
  <c r="K2131" i="1"/>
  <c r="K2132" i="1"/>
  <c r="K2133" i="1"/>
  <c r="K2134" i="1"/>
  <c r="K2136" i="1"/>
  <c r="K2137" i="1"/>
  <c r="K2138" i="1"/>
  <c r="K2139" i="1"/>
  <c r="K2140" i="1"/>
  <c r="K2142" i="1"/>
  <c r="K2143" i="1"/>
  <c r="K2144" i="1"/>
  <c r="K2145" i="1"/>
  <c r="K2146" i="1"/>
  <c r="K2148" i="1"/>
  <c r="K2149" i="1"/>
  <c r="K2150" i="1"/>
  <c r="K2151" i="1"/>
  <c r="K2152" i="1"/>
  <c r="K2154" i="1"/>
  <c r="K2155" i="1"/>
  <c r="K2156" i="1"/>
  <c r="K2157" i="1"/>
  <c r="K2158" i="1"/>
  <c r="K2160" i="1"/>
  <c r="K2161" i="1"/>
  <c r="K2162" i="1"/>
  <c r="K2163" i="1"/>
  <c r="K2164" i="1"/>
  <c r="K2166" i="1"/>
  <c r="K2167" i="1"/>
  <c r="K2168" i="1"/>
  <c r="K2169" i="1"/>
  <c r="K2170" i="1"/>
  <c r="K2172" i="1"/>
  <c r="K2173" i="1"/>
  <c r="K2174" i="1"/>
  <c r="K2175" i="1"/>
  <c r="K2176" i="1"/>
  <c r="K2178" i="1"/>
  <c r="K2179" i="1"/>
  <c r="K2180" i="1"/>
  <c r="K2181" i="1"/>
  <c r="K2182" i="1"/>
  <c r="K2184" i="1"/>
  <c r="K2185" i="1"/>
  <c r="K2186" i="1"/>
  <c r="K2187" i="1"/>
  <c r="K2188" i="1"/>
  <c r="K2190" i="1"/>
  <c r="K2191" i="1"/>
  <c r="K2192" i="1"/>
  <c r="K2193" i="1"/>
  <c r="K2194" i="1"/>
  <c r="K2196" i="1"/>
  <c r="K2197" i="1"/>
  <c r="K2198" i="1"/>
  <c r="K2199" i="1"/>
  <c r="K2200" i="1"/>
  <c r="K2202" i="1"/>
  <c r="K2203" i="1"/>
  <c r="K2204" i="1"/>
  <c r="K2205" i="1"/>
  <c r="K2206" i="1"/>
  <c r="K2208" i="1"/>
  <c r="K2209" i="1"/>
  <c r="K2210" i="1"/>
  <c r="K2211" i="1"/>
  <c r="K2212" i="1"/>
  <c r="K2214" i="1"/>
  <c r="K2215" i="1"/>
  <c r="K2216" i="1"/>
  <c r="K2217" i="1"/>
  <c r="K2218" i="1"/>
  <c r="K2220" i="1"/>
  <c r="K2221" i="1"/>
  <c r="K2222" i="1"/>
  <c r="K2223" i="1"/>
  <c r="K2224" i="1"/>
  <c r="K2226" i="1"/>
  <c r="K2227" i="1"/>
  <c r="K2228" i="1"/>
  <c r="K2229" i="1"/>
  <c r="K2230" i="1"/>
  <c r="K2232" i="1"/>
  <c r="K2233" i="1"/>
  <c r="K2234" i="1"/>
  <c r="K2235" i="1"/>
  <c r="K2236" i="1"/>
  <c r="K2238" i="1"/>
  <c r="K2239" i="1"/>
  <c r="K2240" i="1"/>
  <c r="K2241" i="1"/>
  <c r="K2242" i="1"/>
  <c r="K2244" i="1"/>
  <c r="K2245" i="1"/>
  <c r="K2246" i="1"/>
  <c r="K2247" i="1"/>
  <c r="K2248" i="1"/>
  <c r="K2250" i="1"/>
  <c r="K2251" i="1"/>
  <c r="K2252" i="1"/>
  <c r="K2253" i="1"/>
  <c r="K2254" i="1"/>
  <c r="K2256" i="1"/>
  <c r="K2257" i="1"/>
  <c r="K2258" i="1"/>
  <c r="K2259" i="1"/>
  <c r="K2260" i="1"/>
  <c r="K2262" i="1"/>
  <c r="K2263" i="1"/>
  <c r="K2264" i="1"/>
  <c r="K2265" i="1"/>
  <c r="K2266" i="1"/>
  <c r="K2268" i="1"/>
  <c r="K2269" i="1"/>
  <c r="K2270" i="1"/>
  <c r="K2271" i="1"/>
  <c r="K2272" i="1"/>
  <c r="K2274" i="1"/>
  <c r="K2275" i="1"/>
  <c r="K2276" i="1"/>
  <c r="K2277" i="1"/>
  <c r="K2278" i="1"/>
  <c r="K2280" i="1"/>
  <c r="K2281" i="1"/>
  <c r="K2282" i="1"/>
  <c r="K2283" i="1"/>
  <c r="K2284" i="1"/>
  <c r="K2286" i="1"/>
  <c r="K2287" i="1"/>
  <c r="K2288" i="1"/>
  <c r="K2289" i="1"/>
  <c r="K2290" i="1"/>
  <c r="K2292" i="1"/>
  <c r="K2293" i="1"/>
  <c r="K2294" i="1"/>
  <c r="K2295" i="1"/>
  <c r="K2296" i="1"/>
  <c r="K2298" i="1"/>
  <c r="K2299" i="1"/>
  <c r="K2300" i="1"/>
  <c r="K2301" i="1"/>
  <c r="K2302" i="1"/>
  <c r="K2304" i="1"/>
  <c r="K2305" i="1"/>
  <c r="K2306" i="1"/>
  <c r="K2307" i="1"/>
  <c r="K2308" i="1"/>
  <c r="K2310" i="1"/>
  <c r="K2311" i="1"/>
  <c r="K2312" i="1"/>
  <c r="K2313" i="1"/>
  <c r="K2314" i="1"/>
  <c r="K2316" i="1"/>
  <c r="K2317" i="1"/>
  <c r="K2318" i="1"/>
  <c r="K2319" i="1"/>
  <c r="K2320" i="1"/>
  <c r="K2322" i="1"/>
  <c r="K2323" i="1"/>
  <c r="K2324" i="1"/>
  <c r="K2325" i="1"/>
  <c r="K2326" i="1"/>
  <c r="K2328" i="1"/>
  <c r="K2329" i="1"/>
  <c r="K2330" i="1"/>
  <c r="K2331" i="1"/>
  <c r="K2332" i="1"/>
  <c r="K2334" i="1"/>
  <c r="K2335" i="1"/>
  <c r="K2336" i="1"/>
  <c r="K2337" i="1"/>
  <c r="K2338" i="1"/>
  <c r="K2340" i="1"/>
  <c r="K2341" i="1"/>
  <c r="K2342" i="1"/>
  <c r="K2343" i="1"/>
  <c r="K2344" i="1"/>
  <c r="K2346" i="1"/>
  <c r="K2347" i="1"/>
  <c r="K2348" i="1"/>
  <c r="K2349" i="1"/>
  <c r="K2350" i="1"/>
  <c r="K2352" i="1"/>
  <c r="K2353" i="1"/>
  <c r="K2354" i="1"/>
  <c r="K2355" i="1"/>
  <c r="K2356" i="1"/>
  <c r="K2358" i="1"/>
  <c r="K2359" i="1"/>
  <c r="K2360" i="1"/>
  <c r="K2361" i="1"/>
  <c r="K2362" i="1"/>
  <c r="K2364" i="1"/>
  <c r="K2365" i="1"/>
  <c r="K2366" i="1"/>
  <c r="K2367" i="1"/>
  <c r="K2368" i="1"/>
  <c r="K2370" i="1"/>
  <c r="K2371" i="1"/>
  <c r="K2372" i="1"/>
  <c r="K2373" i="1"/>
  <c r="K2374" i="1"/>
  <c r="K2376" i="1"/>
  <c r="K2377" i="1"/>
  <c r="K2378" i="1"/>
  <c r="K2379" i="1"/>
  <c r="K2380" i="1"/>
  <c r="K2382" i="1"/>
  <c r="K2383" i="1"/>
  <c r="K2384" i="1"/>
  <c r="K2385" i="1"/>
  <c r="K2386" i="1"/>
  <c r="K2388" i="1"/>
  <c r="K2389" i="1"/>
  <c r="K2390" i="1"/>
  <c r="K2391" i="1"/>
  <c r="K2392" i="1"/>
  <c r="K2394" i="1"/>
  <c r="K2395" i="1"/>
  <c r="K2396" i="1"/>
  <c r="K2397" i="1"/>
  <c r="K2398" i="1"/>
  <c r="K2400" i="1"/>
  <c r="K2401" i="1"/>
  <c r="K2402" i="1"/>
  <c r="K2403" i="1"/>
  <c r="K2404" i="1"/>
  <c r="K2406" i="1"/>
  <c r="K2407" i="1"/>
  <c r="K2408" i="1"/>
  <c r="K2409" i="1"/>
  <c r="K2410" i="1"/>
  <c r="K2412" i="1"/>
  <c r="K2413" i="1"/>
  <c r="K2414" i="1"/>
  <c r="K2415" i="1"/>
  <c r="K2416" i="1"/>
  <c r="K2418" i="1"/>
  <c r="K2419" i="1"/>
  <c r="K2420" i="1"/>
  <c r="K2421" i="1"/>
  <c r="K2422" i="1"/>
  <c r="K2424" i="1"/>
  <c r="K2425" i="1"/>
  <c r="K2426" i="1"/>
  <c r="K2427" i="1"/>
  <c r="K2428" i="1"/>
  <c r="K2430" i="1"/>
  <c r="K2431" i="1"/>
  <c r="K2432" i="1"/>
  <c r="K2433" i="1"/>
  <c r="K2434" i="1"/>
  <c r="K2436" i="1"/>
  <c r="K2437" i="1"/>
  <c r="K2438" i="1"/>
  <c r="K2439" i="1"/>
  <c r="K2440" i="1"/>
  <c r="K2442" i="1"/>
  <c r="K2443" i="1"/>
  <c r="K2444" i="1"/>
  <c r="K2445" i="1"/>
  <c r="K2446" i="1"/>
  <c r="K2448" i="1"/>
  <c r="K2449" i="1"/>
  <c r="K2450" i="1"/>
  <c r="K2451" i="1"/>
  <c r="K2452" i="1"/>
  <c r="K2454" i="1"/>
  <c r="K2455" i="1"/>
  <c r="K2456" i="1"/>
  <c r="K2457" i="1"/>
  <c r="K2458" i="1"/>
  <c r="K2460" i="1"/>
  <c r="K2461" i="1"/>
  <c r="K2462" i="1"/>
  <c r="K2463" i="1"/>
  <c r="K2464" i="1"/>
  <c r="K2466" i="1"/>
  <c r="K2467" i="1"/>
  <c r="K2468" i="1"/>
  <c r="K2469" i="1"/>
  <c r="K2470" i="1"/>
  <c r="K2472" i="1"/>
  <c r="K2473" i="1"/>
  <c r="K2474" i="1"/>
  <c r="K2475" i="1"/>
  <c r="K2476" i="1"/>
  <c r="K2478" i="1"/>
  <c r="K2479" i="1"/>
  <c r="K2480" i="1"/>
  <c r="K2481" i="1"/>
  <c r="K2482" i="1"/>
  <c r="K2484" i="1"/>
  <c r="K2485" i="1"/>
  <c r="K2486" i="1"/>
  <c r="K2487" i="1"/>
  <c r="K2488" i="1"/>
  <c r="K2490" i="1"/>
  <c r="K2491" i="1"/>
  <c r="K2492" i="1"/>
  <c r="K2493" i="1"/>
  <c r="K2494" i="1"/>
  <c r="K2496" i="1"/>
  <c r="K2497" i="1"/>
  <c r="K2498" i="1"/>
  <c r="K2499" i="1"/>
  <c r="K2500" i="1"/>
  <c r="K2502" i="1"/>
  <c r="K2503" i="1"/>
  <c r="K2504" i="1"/>
  <c r="K2505" i="1"/>
  <c r="K2506" i="1"/>
  <c r="K2508" i="1"/>
  <c r="K2509" i="1"/>
  <c r="K2510" i="1"/>
  <c r="K2511" i="1"/>
  <c r="K2512" i="1"/>
  <c r="K2514" i="1"/>
  <c r="K2515" i="1"/>
  <c r="K2516" i="1"/>
  <c r="K2517" i="1"/>
  <c r="K2518" i="1"/>
  <c r="K2520" i="1"/>
  <c r="K2521" i="1"/>
  <c r="K2522" i="1"/>
  <c r="K2523" i="1"/>
  <c r="K2524" i="1"/>
  <c r="K2526" i="1"/>
  <c r="K2527" i="1"/>
  <c r="K2528" i="1"/>
  <c r="K2529" i="1"/>
  <c r="K2530" i="1"/>
  <c r="K2532" i="1"/>
  <c r="K2533" i="1"/>
  <c r="K2534" i="1"/>
  <c r="K2535" i="1"/>
  <c r="K2536" i="1"/>
  <c r="K2538" i="1"/>
  <c r="K2539" i="1"/>
  <c r="K2540" i="1"/>
  <c r="K2541" i="1"/>
  <c r="K2542" i="1"/>
  <c r="K2544" i="1"/>
  <c r="K2545" i="1"/>
  <c r="K2546" i="1"/>
  <c r="K2547" i="1"/>
  <c r="K2548" i="1"/>
  <c r="K2550" i="1"/>
  <c r="K2551" i="1"/>
  <c r="K2552" i="1"/>
  <c r="K2553" i="1"/>
  <c r="K2554" i="1"/>
  <c r="K2556" i="1"/>
  <c r="K2557" i="1"/>
  <c r="K2558" i="1"/>
  <c r="K2559" i="1"/>
  <c r="K2560" i="1"/>
  <c r="K2562" i="1"/>
  <c r="K2563" i="1"/>
  <c r="K2564" i="1"/>
  <c r="K2565" i="1"/>
  <c r="K2566" i="1"/>
  <c r="K2568" i="1"/>
  <c r="K2569" i="1"/>
  <c r="K2570" i="1"/>
  <c r="K2571" i="1"/>
  <c r="K2572" i="1"/>
  <c r="K2574" i="1"/>
  <c r="K2575" i="1"/>
  <c r="K2576" i="1"/>
  <c r="K2577" i="1"/>
  <c r="K2578" i="1"/>
  <c r="K2584" i="1"/>
  <c r="K2585" i="1"/>
  <c r="K2586" i="1"/>
  <c r="K2587" i="1"/>
  <c r="K2588" i="1"/>
  <c r="K2591" i="1"/>
  <c r="K2592" i="1"/>
  <c r="K2593" i="1"/>
  <c r="K2594" i="1"/>
  <c r="K2596" i="1"/>
  <c r="K2597" i="1"/>
  <c r="K2598" i="1"/>
  <c r="K2603" i="1"/>
  <c r="K2604" i="1"/>
  <c r="K2605" i="1"/>
  <c r="K2606" i="1"/>
  <c r="K2607" i="1"/>
  <c r="K2608" i="1"/>
  <c r="K2609" i="1"/>
  <c r="K2610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O19" i="1"/>
  <c r="P19" i="1"/>
  <c r="P20" i="1"/>
  <c r="O21" i="1"/>
  <c r="P21" i="1"/>
  <c r="P22" i="1"/>
  <c r="O23" i="1"/>
  <c r="P23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P34" i="1"/>
  <c r="O35" i="1"/>
  <c r="P35" i="1"/>
  <c r="O36" i="1"/>
  <c r="P36" i="1"/>
  <c r="P37" i="1"/>
  <c r="O38" i="1"/>
  <c r="P38" i="1"/>
  <c r="O39" i="1"/>
  <c r="P39" i="1"/>
  <c r="O40" i="1"/>
  <c r="P40" i="1"/>
  <c r="O41" i="1"/>
  <c r="P41" i="1"/>
  <c r="O43" i="1"/>
  <c r="P43" i="1"/>
  <c r="O44" i="1"/>
  <c r="P44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9" i="1"/>
  <c r="P69" i="1"/>
  <c r="O70" i="1"/>
  <c r="P70" i="1"/>
  <c r="P71" i="1"/>
  <c r="O72" i="1"/>
  <c r="P72" i="1"/>
  <c r="O73" i="1"/>
  <c r="P73" i="1"/>
  <c r="O74" i="1"/>
  <c r="P74" i="1"/>
  <c r="O75" i="1"/>
  <c r="P75" i="1"/>
  <c r="O76" i="1"/>
  <c r="P76" i="1"/>
  <c r="P77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8" i="1"/>
  <c r="P88" i="1"/>
  <c r="O89" i="1"/>
  <c r="P89" i="1"/>
  <c r="O90" i="1"/>
  <c r="P90" i="1"/>
  <c r="O91" i="1"/>
  <c r="P91" i="1"/>
  <c r="O92" i="1"/>
  <c r="P92" i="1"/>
  <c r="O93" i="1"/>
  <c r="P93" i="1"/>
  <c r="O94" i="1"/>
  <c r="P94" i="1"/>
  <c r="O95" i="1"/>
  <c r="P95" i="1"/>
  <c r="O96" i="1"/>
  <c r="P96" i="1"/>
  <c r="O97" i="1"/>
  <c r="P97" i="1"/>
  <c r="O98" i="1"/>
  <c r="P98" i="1"/>
  <c r="O99" i="1"/>
  <c r="P99" i="1"/>
  <c r="O100" i="1"/>
  <c r="P100" i="1"/>
  <c r="O101" i="1"/>
  <c r="P101" i="1"/>
  <c r="O102" i="1"/>
  <c r="P102" i="1"/>
  <c r="O103" i="1"/>
  <c r="P103" i="1"/>
  <c r="O104" i="1"/>
  <c r="P104" i="1"/>
  <c r="O105" i="1"/>
  <c r="P105" i="1"/>
  <c r="O106" i="1"/>
  <c r="P106" i="1"/>
  <c r="O107" i="1"/>
  <c r="P107" i="1"/>
  <c r="O108" i="1"/>
  <c r="P108" i="1"/>
  <c r="O109" i="1"/>
  <c r="P109" i="1"/>
  <c r="O110" i="1"/>
  <c r="P110" i="1"/>
  <c r="O111" i="1"/>
  <c r="P111" i="1"/>
  <c r="O112" i="1"/>
  <c r="P112" i="1"/>
  <c r="O114" i="1"/>
  <c r="P114" i="1"/>
  <c r="O115" i="1"/>
  <c r="P115" i="1"/>
  <c r="O116" i="1"/>
  <c r="P116" i="1"/>
  <c r="O117" i="1"/>
  <c r="P117" i="1"/>
  <c r="O118" i="1"/>
  <c r="P118" i="1"/>
  <c r="O119" i="1"/>
  <c r="P119" i="1"/>
  <c r="O120" i="1"/>
  <c r="P120" i="1"/>
  <c r="O121" i="1"/>
  <c r="P121" i="1"/>
  <c r="O122" i="1"/>
  <c r="P122" i="1"/>
  <c r="O123" i="1"/>
  <c r="P123" i="1"/>
  <c r="O124" i="1"/>
  <c r="P124" i="1"/>
  <c r="O125" i="1"/>
  <c r="P125" i="1"/>
  <c r="O126" i="1"/>
  <c r="P126" i="1"/>
  <c r="O127" i="1"/>
  <c r="P127" i="1"/>
  <c r="O128" i="1"/>
  <c r="P128" i="1"/>
  <c r="O129" i="1"/>
  <c r="P129" i="1"/>
  <c r="O130" i="1"/>
  <c r="P130" i="1"/>
  <c r="P131" i="1"/>
  <c r="O132" i="1"/>
  <c r="P132" i="1"/>
  <c r="O133" i="1"/>
  <c r="P133" i="1"/>
  <c r="O134" i="1"/>
  <c r="P134" i="1"/>
  <c r="O135" i="1"/>
  <c r="P135" i="1"/>
  <c r="O136" i="1"/>
  <c r="P136" i="1"/>
  <c r="O137" i="1"/>
  <c r="P137" i="1"/>
  <c r="O138" i="1"/>
  <c r="P138" i="1"/>
  <c r="O139" i="1"/>
  <c r="P139" i="1"/>
  <c r="O140" i="1"/>
  <c r="P140" i="1"/>
  <c r="O141" i="1"/>
  <c r="P141" i="1"/>
  <c r="O142" i="1"/>
  <c r="P142" i="1"/>
  <c r="O143" i="1"/>
  <c r="P143" i="1"/>
  <c r="O144" i="1"/>
  <c r="P144" i="1"/>
  <c r="O145" i="1"/>
  <c r="P145" i="1"/>
  <c r="O146" i="1"/>
  <c r="P146" i="1"/>
  <c r="O147" i="1"/>
  <c r="P147" i="1"/>
  <c r="O148" i="1"/>
  <c r="P148" i="1"/>
  <c r="O149" i="1"/>
  <c r="P149" i="1"/>
  <c r="O150" i="1"/>
  <c r="P150" i="1"/>
  <c r="O151" i="1"/>
  <c r="P151" i="1"/>
  <c r="O152" i="1"/>
  <c r="P152" i="1"/>
  <c r="O153" i="1"/>
  <c r="P153" i="1"/>
  <c r="O154" i="1"/>
  <c r="P154" i="1"/>
  <c r="O155" i="1"/>
  <c r="P155" i="1"/>
  <c r="O156" i="1"/>
  <c r="P156" i="1"/>
  <c r="O157" i="1"/>
  <c r="P157" i="1"/>
  <c r="O158" i="1"/>
  <c r="P158" i="1"/>
  <c r="O159" i="1"/>
  <c r="P159" i="1"/>
  <c r="O160" i="1"/>
  <c r="P160" i="1"/>
  <c r="O161" i="1"/>
  <c r="P161" i="1"/>
  <c r="O162" i="1"/>
  <c r="P162" i="1"/>
  <c r="O163" i="1"/>
  <c r="P163" i="1"/>
  <c r="O164" i="1"/>
  <c r="P164" i="1"/>
  <c r="O165" i="1"/>
  <c r="P165" i="1"/>
  <c r="O166" i="1"/>
  <c r="P166" i="1"/>
  <c r="O167" i="1"/>
  <c r="P167" i="1"/>
  <c r="O168" i="1"/>
  <c r="P168" i="1"/>
  <c r="O169" i="1"/>
  <c r="P169" i="1"/>
  <c r="O170" i="1"/>
  <c r="P170" i="1"/>
  <c r="O171" i="1"/>
  <c r="P171" i="1"/>
  <c r="O172" i="1"/>
  <c r="P172" i="1"/>
  <c r="O173" i="1"/>
  <c r="P173" i="1"/>
  <c r="O174" i="1"/>
  <c r="P174" i="1"/>
  <c r="O175" i="1"/>
  <c r="P175" i="1"/>
  <c r="O176" i="1"/>
  <c r="P176" i="1"/>
  <c r="O177" i="1"/>
  <c r="P177" i="1"/>
  <c r="O178" i="1"/>
  <c r="P178" i="1"/>
  <c r="O179" i="1"/>
  <c r="P179" i="1"/>
  <c r="O180" i="1"/>
  <c r="P180" i="1"/>
  <c r="O181" i="1"/>
  <c r="P181" i="1"/>
  <c r="O182" i="1"/>
  <c r="P182" i="1"/>
  <c r="P183" i="1"/>
  <c r="O184" i="1"/>
  <c r="P184" i="1"/>
  <c r="P185" i="1"/>
  <c r="O186" i="1"/>
  <c r="P186" i="1"/>
  <c r="O187" i="1"/>
  <c r="P187" i="1"/>
  <c r="O188" i="1"/>
  <c r="P188" i="1"/>
  <c r="O189" i="1"/>
  <c r="P189" i="1"/>
  <c r="O190" i="1"/>
  <c r="P190" i="1"/>
  <c r="O191" i="1"/>
  <c r="P191" i="1"/>
  <c r="O192" i="1"/>
  <c r="P192" i="1"/>
  <c r="O193" i="1"/>
  <c r="P193" i="1"/>
  <c r="O194" i="1"/>
  <c r="P194" i="1"/>
  <c r="O195" i="1"/>
  <c r="P195" i="1"/>
  <c r="O196" i="1"/>
  <c r="P196" i="1"/>
  <c r="O198" i="1"/>
  <c r="P198" i="1"/>
  <c r="O199" i="1"/>
  <c r="P199" i="1"/>
  <c r="O200" i="1"/>
  <c r="P200" i="1"/>
  <c r="O201" i="1"/>
  <c r="P201" i="1"/>
  <c r="O202" i="1"/>
  <c r="P202" i="1"/>
  <c r="O203" i="1"/>
  <c r="P203" i="1"/>
  <c r="O204" i="1"/>
  <c r="P204" i="1"/>
  <c r="O205" i="1"/>
  <c r="P205" i="1"/>
  <c r="O206" i="1"/>
  <c r="P206" i="1"/>
  <c r="O207" i="1"/>
  <c r="P207" i="1"/>
  <c r="O208" i="1"/>
  <c r="P208" i="1"/>
  <c r="O209" i="1"/>
  <c r="P209" i="1"/>
  <c r="O210" i="1"/>
  <c r="P210" i="1"/>
  <c r="O211" i="1"/>
  <c r="P211" i="1"/>
  <c r="O212" i="1"/>
  <c r="P212" i="1"/>
  <c r="O213" i="1"/>
  <c r="P213" i="1"/>
  <c r="O214" i="1"/>
  <c r="P214" i="1"/>
  <c r="O215" i="1"/>
  <c r="P215" i="1"/>
  <c r="O216" i="1"/>
  <c r="P216" i="1"/>
  <c r="O217" i="1"/>
  <c r="P217" i="1"/>
  <c r="O218" i="1"/>
  <c r="P218" i="1"/>
  <c r="O219" i="1"/>
  <c r="P219" i="1"/>
  <c r="O220" i="1"/>
  <c r="P220" i="1"/>
  <c r="O221" i="1"/>
  <c r="P221" i="1"/>
  <c r="O222" i="1"/>
  <c r="P222" i="1"/>
  <c r="O233" i="1"/>
  <c r="P233" i="1"/>
  <c r="O234" i="1"/>
  <c r="P234" i="1"/>
  <c r="O235" i="1"/>
  <c r="P235" i="1"/>
  <c r="O236" i="1"/>
  <c r="P236" i="1"/>
  <c r="O237" i="1"/>
  <c r="P237" i="1"/>
  <c r="O238" i="1"/>
  <c r="P238" i="1"/>
  <c r="O239" i="1"/>
  <c r="P239" i="1"/>
  <c r="O240" i="1"/>
  <c r="P240" i="1"/>
  <c r="O241" i="1"/>
  <c r="P241" i="1"/>
  <c r="O242" i="1"/>
  <c r="P242" i="1"/>
  <c r="O243" i="1"/>
  <c r="P243" i="1"/>
  <c r="O244" i="1"/>
  <c r="P244" i="1"/>
  <c r="O245" i="1"/>
  <c r="P245" i="1"/>
  <c r="O246" i="1"/>
  <c r="P246" i="1"/>
  <c r="O247" i="1"/>
  <c r="P247" i="1"/>
  <c r="O248" i="1"/>
  <c r="P248" i="1"/>
  <c r="O249" i="1"/>
  <c r="P249" i="1"/>
  <c r="O250" i="1"/>
  <c r="P250" i="1"/>
  <c r="O442" i="1"/>
  <c r="P442" i="1"/>
  <c r="O443" i="1"/>
  <c r="P443" i="1"/>
  <c r="O444" i="1"/>
  <c r="P444" i="1"/>
  <c r="O445" i="1"/>
  <c r="P445" i="1"/>
  <c r="O446" i="1"/>
  <c r="P446" i="1"/>
  <c r="O447" i="1"/>
  <c r="P447" i="1"/>
  <c r="O448" i="1"/>
  <c r="P448" i="1"/>
  <c r="O449" i="1"/>
  <c r="P449" i="1"/>
  <c r="O450" i="1"/>
  <c r="P450" i="1"/>
  <c r="O451" i="1"/>
  <c r="P451" i="1"/>
  <c r="O452" i="1"/>
  <c r="P452" i="1"/>
  <c r="O453" i="1"/>
  <c r="P453" i="1"/>
  <c r="O454" i="1"/>
  <c r="P454" i="1"/>
  <c r="O455" i="1"/>
  <c r="P455" i="1"/>
  <c r="O456" i="1"/>
  <c r="P456" i="1"/>
  <c r="O457" i="1"/>
  <c r="P457" i="1"/>
  <c r="O458" i="1"/>
  <c r="P458" i="1"/>
  <c r="O459" i="1"/>
  <c r="P459" i="1"/>
  <c r="O460" i="1"/>
  <c r="P460" i="1"/>
  <c r="O461" i="1"/>
  <c r="P461" i="1"/>
  <c r="O462" i="1"/>
  <c r="P462" i="1"/>
  <c r="O463" i="1"/>
  <c r="P463" i="1"/>
  <c r="O464" i="1"/>
  <c r="P464" i="1"/>
  <c r="O465" i="1"/>
  <c r="P465" i="1"/>
  <c r="O466" i="1"/>
  <c r="P466" i="1"/>
  <c r="P468" i="1"/>
  <c r="O469" i="1"/>
  <c r="P469" i="1"/>
  <c r="O470" i="1"/>
  <c r="P470" i="1"/>
  <c r="O471" i="1"/>
  <c r="P471" i="1"/>
  <c r="O472" i="1"/>
  <c r="P472" i="1"/>
  <c r="O473" i="1"/>
  <c r="P473" i="1"/>
  <c r="O474" i="1"/>
  <c r="P474" i="1"/>
  <c r="O475" i="1"/>
  <c r="P475" i="1"/>
  <c r="O476" i="1"/>
  <c r="P476" i="1"/>
  <c r="O477" i="1"/>
  <c r="P477" i="1"/>
  <c r="O478" i="1"/>
  <c r="P478" i="1"/>
  <c r="O479" i="1"/>
  <c r="P479" i="1"/>
  <c r="P480" i="1"/>
  <c r="O481" i="1"/>
  <c r="P481" i="1"/>
  <c r="O482" i="1"/>
  <c r="P482" i="1"/>
  <c r="O483" i="1"/>
  <c r="P483" i="1"/>
  <c r="O484" i="1"/>
  <c r="P484" i="1"/>
  <c r="P485" i="1"/>
  <c r="O486" i="1"/>
  <c r="P486" i="1"/>
  <c r="O487" i="1"/>
  <c r="P487" i="1"/>
  <c r="O488" i="1"/>
  <c r="P488" i="1"/>
  <c r="O489" i="1"/>
  <c r="P489" i="1"/>
  <c r="P490" i="1"/>
  <c r="O491" i="1"/>
  <c r="P491" i="1"/>
  <c r="O492" i="1"/>
  <c r="P492" i="1"/>
  <c r="O493" i="1"/>
  <c r="P493" i="1"/>
  <c r="O494" i="1"/>
  <c r="P494" i="1"/>
  <c r="O495" i="1"/>
  <c r="P495" i="1"/>
  <c r="O497" i="1"/>
  <c r="P497" i="1"/>
  <c r="O498" i="1"/>
  <c r="P498" i="1"/>
  <c r="O499" i="1"/>
  <c r="P499" i="1"/>
  <c r="O500" i="1"/>
  <c r="P500" i="1"/>
  <c r="O501" i="1"/>
  <c r="P501" i="1"/>
  <c r="O502" i="1"/>
  <c r="P502" i="1"/>
  <c r="O503" i="1"/>
  <c r="P503" i="1"/>
  <c r="O504" i="1"/>
  <c r="P504" i="1"/>
  <c r="O505" i="1"/>
  <c r="P505" i="1"/>
  <c r="O506" i="1"/>
  <c r="P506" i="1"/>
  <c r="O507" i="1"/>
  <c r="P507" i="1"/>
  <c r="O508" i="1"/>
  <c r="P508" i="1"/>
  <c r="O509" i="1"/>
  <c r="P509" i="1"/>
  <c r="O510" i="1"/>
  <c r="P510" i="1"/>
  <c r="O511" i="1"/>
  <c r="P511" i="1"/>
  <c r="O512" i="1"/>
  <c r="P512" i="1"/>
  <c r="O513" i="1"/>
  <c r="P513" i="1"/>
  <c r="O514" i="1"/>
  <c r="P514" i="1"/>
  <c r="O515" i="1"/>
  <c r="P515" i="1"/>
  <c r="O516" i="1"/>
  <c r="P516" i="1"/>
  <c r="O517" i="1"/>
  <c r="P517" i="1"/>
  <c r="O518" i="1"/>
  <c r="P518" i="1"/>
  <c r="O519" i="1"/>
  <c r="P519" i="1"/>
  <c r="O520" i="1"/>
  <c r="P520" i="1"/>
  <c r="O521" i="1"/>
  <c r="P521" i="1"/>
  <c r="P523" i="1"/>
  <c r="O524" i="1"/>
  <c r="P524" i="1"/>
  <c r="O525" i="1"/>
  <c r="P525" i="1"/>
  <c r="O526" i="1"/>
  <c r="P526" i="1"/>
  <c r="O527" i="1"/>
  <c r="P527" i="1"/>
  <c r="O528" i="1"/>
  <c r="P528" i="1"/>
  <c r="O529" i="1"/>
  <c r="P529" i="1"/>
  <c r="O530" i="1"/>
  <c r="P530" i="1"/>
  <c r="O531" i="1"/>
  <c r="P531" i="1"/>
  <c r="O532" i="1"/>
  <c r="P532" i="1"/>
  <c r="O533" i="1"/>
  <c r="P533" i="1"/>
  <c r="O534" i="1"/>
  <c r="P534" i="1"/>
  <c r="O535" i="1"/>
  <c r="P535" i="1"/>
  <c r="O536" i="1"/>
  <c r="P536" i="1"/>
  <c r="O537" i="1"/>
  <c r="P537" i="1"/>
  <c r="O538" i="1"/>
  <c r="P538" i="1"/>
  <c r="O539" i="1"/>
  <c r="P539" i="1"/>
  <c r="O540" i="1"/>
  <c r="P540" i="1"/>
  <c r="O541" i="1"/>
  <c r="P541" i="1"/>
  <c r="O542" i="1"/>
  <c r="P542" i="1"/>
  <c r="O543" i="1"/>
  <c r="P543" i="1"/>
  <c r="O544" i="1"/>
  <c r="P544" i="1"/>
  <c r="O545" i="1"/>
  <c r="P545" i="1"/>
  <c r="O546" i="1"/>
  <c r="P546" i="1"/>
  <c r="O547" i="1"/>
  <c r="P547" i="1"/>
  <c r="O548" i="1"/>
  <c r="P548" i="1"/>
  <c r="O549" i="1"/>
  <c r="P549" i="1"/>
  <c r="O550" i="1"/>
  <c r="P550" i="1"/>
  <c r="O551" i="1"/>
  <c r="P551" i="1"/>
  <c r="O552" i="1"/>
  <c r="P552" i="1"/>
  <c r="O553" i="1"/>
  <c r="P553" i="1"/>
  <c r="O554" i="1"/>
  <c r="P554" i="1"/>
  <c r="O555" i="1"/>
  <c r="P555" i="1"/>
  <c r="O556" i="1"/>
  <c r="P556" i="1"/>
  <c r="O557" i="1"/>
  <c r="P557" i="1"/>
  <c r="O558" i="1"/>
  <c r="P558" i="1"/>
  <c r="O559" i="1"/>
  <c r="P559" i="1"/>
  <c r="O560" i="1"/>
  <c r="P560" i="1"/>
  <c r="P561" i="1"/>
  <c r="O562" i="1"/>
  <c r="P562" i="1"/>
  <c r="O563" i="1"/>
  <c r="P563" i="1"/>
  <c r="O564" i="1"/>
  <c r="P564" i="1"/>
  <c r="O565" i="1"/>
  <c r="P565" i="1"/>
  <c r="O566" i="1"/>
  <c r="P566" i="1"/>
  <c r="O567" i="1"/>
  <c r="P567" i="1"/>
  <c r="O568" i="1"/>
  <c r="P568" i="1"/>
  <c r="O569" i="1"/>
  <c r="P569" i="1"/>
  <c r="O570" i="1"/>
  <c r="P570" i="1"/>
  <c r="P571" i="1"/>
  <c r="O655" i="1"/>
  <c r="P655" i="1"/>
  <c r="O656" i="1"/>
  <c r="P656" i="1"/>
  <c r="O657" i="1"/>
  <c r="P657" i="1"/>
  <c r="O658" i="1"/>
  <c r="P658" i="1"/>
  <c r="O659" i="1"/>
  <c r="P659" i="1"/>
  <c r="O660" i="1"/>
  <c r="P660" i="1"/>
  <c r="O661" i="1"/>
  <c r="P661" i="1"/>
  <c r="O662" i="1"/>
  <c r="P662" i="1"/>
  <c r="O663" i="1"/>
  <c r="P663" i="1"/>
  <c r="O664" i="1"/>
  <c r="P664" i="1"/>
  <c r="O665" i="1"/>
  <c r="P665" i="1"/>
  <c r="O666" i="1"/>
  <c r="P666" i="1"/>
  <c r="O667" i="1"/>
  <c r="P667" i="1"/>
  <c r="O668" i="1"/>
  <c r="P668" i="1"/>
  <c r="O669" i="1"/>
  <c r="P669" i="1"/>
  <c r="O670" i="1"/>
  <c r="P670" i="1"/>
  <c r="O671" i="1"/>
  <c r="P671" i="1"/>
  <c r="O672" i="1"/>
  <c r="P672" i="1"/>
  <c r="O673" i="1"/>
  <c r="P673" i="1"/>
  <c r="O674" i="1"/>
  <c r="P674" i="1"/>
  <c r="O675" i="1"/>
  <c r="P675" i="1"/>
  <c r="O676" i="1"/>
  <c r="P676" i="1"/>
  <c r="P677" i="1"/>
  <c r="O678" i="1"/>
  <c r="P678" i="1"/>
  <c r="O679" i="1"/>
  <c r="P679" i="1"/>
  <c r="O680" i="1"/>
  <c r="P680" i="1"/>
  <c r="P681" i="1"/>
  <c r="O682" i="1"/>
  <c r="P682" i="1"/>
  <c r="O683" i="1"/>
  <c r="P683" i="1"/>
  <c r="O684" i="1"/>
  <c r="P684" i="1"/>
  <c r="O685" i="1"/>
  <c r="P685" i="1"/>
  <c r="P687" i="1"/>
  <c r="P688" i="1"/>
  <c r="P689" i="1"/>
  <c r="O690" i="1"/>
  <c r="P690" i="1"/>
  <c r="O691" i="1"/>
  <c r="P691" i="1"/>
  <c r="O692" i="1"/>
  <c r="P692" i="1"/>
  <c r="O693" i="1"/>
  <c r="P693" i="1"/>
  <c r="O694" i="1"/>
  <c r="P694" i="1"/>
  <c r="O695" i="1"/>
  <c r="P695" i="1"/>
  <c r="O696" i="1"/>
  <c r="P696" i="1"/>
  <c r="O697" i="1"/>
  <c r="P697" i="1"/>
  <c r="O698" i="1"/>
  <c r="P698" i="1"/>
  <c r="O699" i="1"/>
  <c r="P699" i="1"/>
  <c r="O700" i="1"/>
  <c r="P700" i="1"/>
  <c r="O701" i="1"/>
  <c r="P701" i="1"/>
  <c r="O702" i="1"/>
  <c r="P702" i="1"/>
  <c r="O703" i="1"/>
  <c r="P703" i="1"/>
  <c r="O704" i="1"/>
  <c r="P704" i="1"/>
  <c r="O705" i="1"/>
  <c r="P705" i="1"/>
  <c r="O706" i="1"/>
  <c r="P706" i="1"/>
  <c r="O707" i="1"/>
  <c r="P707" i="1"/>
  <c r="O708" i="1"/>
  <c r="P708" i="1"/>
  <c r="O709" i="1"/>
  <c r="P709" i="1"/>
  <c r="O710" i="1"/>
  <c r="P710" i="1"/>
  <c r="O711" i="1"/>
  <c r="P711" i="1"/>
  <c r="O712" i="1"/>
  <c r="P712" i="1"/>
  <c r="O713" i="1"/>
  <c r="P713" i="1"/>
  <c r="O714" i="1"/>
  <c r="P714" i="1"/>
  <c r="O715" i="1"/>
  <c r="P715" i="1"/>
  <c r="O716" i="1"/>
  <c r="P716" i="1"/>
  <c r="O717" i="1"/>
  <c r="P717" i="1"/>
  <c r="O718" i="1"/>
  <c r="P718" i="1"/>
  <c r="O720" i="1"/>
  <c r="P720" i="1"/>
  <c r="O721" i="1"/>
  <c r="P721" i="1"/>
  <c r="O722" i="1"/>
  <c r="P722" i="1"/>
  <c r="O723" i="1"/>
  <c r="P723" i="1"/>
  <c r="O724" i="1"/>
  <c r="P724" i="1"/>
  <c r="O725" i="1"/>
  <c r="P725" i="1"/>
  <c r="O726" i="1"/>
  <c r="P726" i="1"/>
  <c r="O727" i="1"/>
  <c r="P727" i="1"/>
  <c r="O728" i="1"/>
  <c r="P728" i="1"/>
  <c r="O729" i="1"/>
  <c r="P729" i="1"/>
  <c r="O730" i="1"/>
  <c r="P730" i="1"/>
  <c r="P731" i="1"/>
  <c r="O732" i="1"/>
  <c r="P732" i="1"/>
  <c r="P733" i="1"/>
  <c r="P734" i="1"/>
  <c r="O735" i="1"/>
  <c r="P735" i="1"/>
  <c r="P736" i="1"/>
  <c r="O737" i="1"/>
  <c r="P737" i="1"/>
  <c r="O738" i="1"/>
  <c r="P738" i="1"/>
  <c r="O739" i="1"/>
  <c r="P739" i="1"/>
  <c r="O740" i="1"/>
  <c r="P740" i="1"/>
  <c r="P741" i="1"/>
  <c r="O742" i="1"/>
  <c r="P742" i="1"/>
  <c r="P743" i="1"/>
  <c r="P744" i="1"/>
  <c r="O745" i="1"/>
  <c r="P745" i="1"/>
  <c r="O747" i="1"/>
  <c r="P747" i="1"/>
  <c r="O748" i="1"/>
  <c r="P748" i="1"/>
  <c r="O749" i="1"/>
  <c r="P749" i="1"/>
  <c r="O750" i="1"/>
  <c r="P750" i="1"/>
  <c r="O751" i="1"/>
  <c r="P751" i="1"/>
  <c r="O752" i="1"/>
  <c r="P752" i="1"/>
  <c r="O753" i="1"/>
  <c r="P753" i="1"/>
  <c r="O754" i="1"/>
  <c r="P754" i="1"/>
  <c r="O755" i="1"/>
  <c r="P755" i="1"/>
  <c r="O756" i="1"/>
  <c r="P756" i="1"/>
  <c r="O757" i="1"/>
  <c r="P757" i="1"/>
  <c r="O758" i="1"/>
  <c r="P758" i="1"/>
  <c r="O759" i="1"/>
  <c r="P759" i="1"/>
  <c r="O760" i="1"/>
  <c r="P760" i="1"/>
  <c r="O761" i="1"/>
  <c r="P761" i="1"/>
  <c r="O762" i="1"/>
  <c r="P762" i="1"/>
  <c r="O763" i="1"/>
  <c r="P763" i="1"/>
  <c r="O764" i="1"/>
  <c r="P764" i="1"/>
  <c r="O765" i="1"/>
  <c r="P765" i="1"/>
  <c r="O766" i="1"/>
  <c r="P766" i="1"/>
  <c r="O767" i="1"/>
  <c r="P767" i="1"/>
  <c r="O768" i="1"/>
  <c r="P768" i="1"/>
  <c r="O769" i="1"/>
  <c r="P769" i="1"/>
  <c r="O770" i="1"/>
  <c r="P770" i="1"/>
  <c r="O771" i="1"/>
  <c r="P771" i="1"/>
  <c r="O772" i="1"/>
  <c r="P772" i="1"/>
  <c r="O773" i="1"/>
  <c r="P773" i="1"/>
  <c r="O774" i="1"/>
  <c r="P774" i="1"/>
  <c r="O775" i="1"/>
  <c r="P775" i="1"/>
  <c r="O776" i="1"/>
  <c r="P776" i="1"/>
  <c r="O777" i="1"/>
  <c r="P777" i="1"/>
  <c r="O778" i="1"/>
  <c r="P778" i="1"/>
  <c r="O780" i="1"/>
  <c r="P780" i="1"/>
  <c r="O781" i="1"/>
  <c r="P781" i="1"/>
  <c r="O782" i="1"/>
  <c r="P782" i="1"/>
  <c r="O783" i="1"/>
  <c r="P783" i="1"/>
  <c r="O784" i="1"/>
  <c r="P784" i="1"/>
  <c r="O785" i="1"/>
  <c r="P785" i="1"/>
  <c r="O786" i="1"/>
  <c r="P786" i="1"/>
  <c r="O787" i="1"/>
  <c r="P787" i="1"/>
  <c r="O788" i="1"/>
  <c r="P788" i="1"/>
  <c r="O789" i="1"/>
  <c r="P789" i="1"/>
  <c r="O790" i="1"/>
  <c r="P790" i="1"/>
  <c r="O791" i="1"/>
  <c r="P791" i="1"/>
  <c r="O792" i="1"/>
  <c r="P792" i="1"/>
  <c r="O793" i="1"/>
  <c r="P793" i="1"/>
  <c r="O794" i="1"/>
  <c r="P794" i="1"/>
  <c r="O795" i="1"/>
  <c r="P795" i="1"/>
  <c r="O796" i="1"/>
  <c r="P796" i="1"/>
  <c r="O797" i="1"/>
  <c r="P797" i="1"/>
  <c r="O798" i="1"/>
  <c r="P798" i="1"/>
  <c r="O799" i="1"/>
  <c r="P799" i="1"/>
  <c r="O800" i="1"/>
  <c r="P800" i="1"/>
  <c r="O801" i="1"/>
  <c r="P801" i="1"/>
  <c r="O802" i="1"/>
  <c r="P802" i="1"/>
  <c r="O803" i="1"/>
  <c r="P803" i="1"/>
  <c r="O804" i="1"/>
  <c r="P804" i="1"/>
  <c r="O805" i="1"/>
  <c r="P805" i="1"/>
  <c r="O806" i="1"/>
  <c r="P806" i="1"/>
  <c r="O807" i="1"/>
  <c r="P807" i="1"/>
  <c r="O808" i="1"/>
  <c r="P808" i="1"/>
  <c r="O809" i="1"/>
  <c r="P809" i="1"/>
  <c r="O810" i="1"/>
  <c r="P810" i="1"/>
  <c r="O811" i="1"/>
  <c r="P811" i="1"/>
  <c r="O812" i="1"/>
  <c r="P812" i="1"/>
  <c r="O813" i="1"/>
  <c r="P813" i="1"/>
  <c r="O814" i="1"/>
  <c r="P814" i="1"/>
  <c r="O815" i="1"/>
  <c r="P815" i="1"/>
  <c r="O816" i="1"/>
  <c r="P816" i="1"/>
  <c r="O817" i="1"/>
  <c r="P817" i="1"/>
  <c r="O818" i="1"/>
  <c r="P818" i="1"/>
  <c r="O819" i="1"/>
  <c r="P819" i="1"/>
  <c r="O820" i="1"/>
  <c r="P820" i="1"/>
  <c r="O821" i="1"/>
  <c r="P821" i="1"/>
  <c r="O822" i="1"/>
  <c r="P822" i="1"/>
  <c r="O823" i="1"/>
  <c r="P823" i="1"/>
  <c r="O824" i="1"/>
  <c r="P824" i="1"/>
  <c r="O825" i="1"/>
  <c r="P825" i="1"/>
  <c r="O826" i="1"/>
  <c r="P826" i="1"/>
  <c r="O827" i="1"/>
  <c r="P827" i="1"/>
  <c r="O828" i="1"/>
  <c r="P828" i="1"/>
  <c r="O829" i="1"/>
  <c r="P829" i="1"/>
  <c r="O830" i="1"/>
  <c r="P830" i="1"/>
  <c r="O831" i="1"/>
  <c r="P831" i="1"/>
  <c r="O832" i="1"/>
  <c r="P832" i="1"/>
  <c r="O833" i="1"/>
  <c r="P833" i="1"/>
  <c r="O834" i="1"/>
  <c r="P834" i="1"/>
  <c r="O835" i="1"/>
  <c r="P835" i="1"/>
  <c r="O836" i="1"/>
  <c r="P836" i="1"/>
  <c r="O837" i="1"/>
  <c r="P837" i="1"/>
  <c r="O838" i="1"/>
  <c r="P838" i="1"/>
  <c r="O839" i="1"/>
  <c r="P839" i="1"/>
  <c r="O840" i="1"/>
  <c r="P840" i="1"/>
  <c r="O841" i="1"/>
  <c r="P841" i="1"/>
  <c r="O842" i="1"/>
  <c r="P842" i="1"/>
  <c r="O843" i="1"/>
  <c r="P843" i="1"/>
  <c r="O844" i="1"/>
  <c r="P844" i="1"/>
  <c r="O845" i="1"/>
  <c r="P845" i="1"/>
  <c r="O846" i="1"/>
  <c r="P846" i="1"/>
  <c r="O847" i="1"/>
  <c r="P847" i="1"/>
  <c r="O848" i="1"/>
  <c r="P848" i="1"/>
  <c r="O849" i="1"/>
  <c r="P849" i="1"/>
  <c r="O850" i="1"/>
  <c r="P850" i="1"/>
  <c r="O851" i="1"/>
  <c r="P851" i="1"/>
  <c r="O852" i="1"/>
  <c r="P852" i="1"/>
  <c r="O853" i="1"/>
  <c r="P853" i="1"/>
  <c r="O854" i="1"/>
  <c r="P854" i="1"/>
  <c r="O855" i="1"/>
  <c r="P855" i="1"/>
  <c r="O856" i="1"/>
  <c r="P856" i="1"/>
  <c r="O857" i="1"/>
  <c r="P857" i="1"/>
  <c r="O858" i="1"/>
  <c r="P858" i="1"/>
  <c r="O859" i="1"/>
  <c r="P859" i="1"/>
  <c r="O860" i="1"/>
  <c r="P860" i="1"/>
  <c r="O861" i="1"/>
  <c r="P861" i="1"/>
  <c r="O862" i="1"/>
  <c r="P862" i="1"/>
  <c r="O863" i="1"/>
  <c r="P863" i="1"/>
  <c r="O864" i="1"/>
  <c r="P864" i="1"/>
  <c r="O865" i="1"/>
  <c r="P865" i="1"/>
  <c r="O866" i="1"/>
  <c r="P866" i="1"/>
  <c r="O867" i="1"/>
  <c r="P867" i="1"/>
  <c r="O868" i="1"/>
  <c r="P868" i="1"/>
  <c r="O869" i="1"/>
  <c r="P869" i="1"/>
  <c r="O870" i="1"/>
  <c r="P870" i="1"/>
  <c r="O871" i="1"/>
  <c r="P871" i="1"/>
  <c r="O872" i="1"/>
  <c r="P872" i="1"/>
  <c r="O873" i="1"/>
  <c r="P873" i="1"/>
  <c r="O874" i="1"/>
  <c r="P874" i="1"/>
  <c r="O875" i="1"/>
  <c r="P875" i="1"/>
  <c r="O876" i="1"/>
  <c r="P876" i="1"/>
  <c r="O877" i="1"/>
  <c r="P877" i="1"/>
  <c r="O878" i="1"/>
  <c r="P878" i="1"/>
  <c r="O879" i="1"/>
  <c r="P879" i="1"/>
  <c r="O880" i="1"/>
  <c r="P880" i="1"/>
  <c r="O881" i="1"/>
  <c r="P881" i="1"/>
  <c r="O882" i="1"/>
  <c r="P882" i="1"/>
  <c r="O883" i="1"/>
  <c r="P883" i="1"/>
  <c r="O884" i="1"/>
  <c r="P884" i="1"/>
  <c r="O885" i="1"/>
  <c r="P885" i="1"/>
  <c r="O886" i="1"/>
  <c r="P886" i="1"/>
  <c r="O887" i="1"/>
  <c r="P887" i="1"/>
  <c r="O888" i="1"/>
  <c r="P888" i="1"/>
  <c r="O889" i="1"/>
  <c r="P889" i="1"/>
  <c r="O890" i="1"/>
  <c r="P890" i="1"/>
  <c r="O891" i="1"/>
  <c r="P891" i="1"/>
  <c r="O892" i="1"/>
  <c r="P892" i="1"/>
  <c r="O893" i="1"/>
  <c r="P893" i="1"/>
  <c r="O894" i="1"/>
  <c r="P894" i="1"/>
  <c r="O895" i="1"/>
  <c r="P895" i="1"/>
  <c r="O896" i="1"/>
  <c r="P896" i="1"/>
  <c r="O897" i="1"/>
  <c r="P897" i="1"/>
  <c r="O898" i="1"/>
  <c r="P898" i="1"/>
  <c r="O899" i="1"/>
  <c r="P899" i="1"/>
  <c r="O900" i="1"/>
  <c r="P900" i="1"/>
  <c r="O901" i="1"/>
  <c r="P901" i="1"/>
  <c r="O902" i="1"/>
  <c r="P902" i="1"/>
  <c r="O903" i="1"/>
  <c r="P903" i="1"/>
  <c r="O904" i="1"/>
  <c r="P904" i="1"/>
  <c r="O905" i="1"/>
  <c r="P905" i="1"/>
  <c r="O906" i="1"/>
  <c r="P906" i="1"/>
  <c r="O907" i="1"/>
  <c r="P907" i="1"/>
  <c r="O908" i="1"/>
  <c r="P908" i="1"/>
  <c r="O909" i="1"/>
  <c r="P909" i="1"/>
  <c r="O910" i="1"/>
  <c r="P910" i="1"/>
  <c r="O911" i="1"/>
  <c r="P911" i="1"/>
  <c r="O912" i="1"/>
  <c r="P912" i="1"/>
  <c r="O913" i="1"/>
  <c r="P913" i="1"/>
  <c r="O914" i="1"/>
  <c r="P914" i="1"/>
  <c r="O915" i="1"/>
  <c r="P915" i="1"/>
  <c r="O916" i="1"/>
  <c r="P916" i="1"/>
  <c r="O917" i="1"/>
  <c r="P917" i="1"/>
  <c r="O918" i="1"/>
  <c r="P918" i="1"/>
  <c r="O919" i="1"/>
  <c r="P919" i="1"/>
  <c r="O920" i="1"/>
  <c r="P920" i="1"/>
  <c r="O921" i="1"/>
  <c r="P921" i="1"/>
  <c r="O922" i="1"/>
  <c r="P922" i="1"/>
  <c r="O923" i="1"/>
  <c r="P923" i="1"/>
  <c r="O924" i="1"/>
  <c r="P924" i="1"/>
  <c r="O925" i="1"/>
  <c r="P925" i="1"/>
  <c r="O926" i="1"/>
  <c r="P926" i="1"/>
  <c r="O927" i="1"/>
  <c r="P927" i="1"/>
  <c r="O928" i="1"/>
  <c r="P928" i="1"/>
  <c r="O929" i="1"/>
  <c r="P929" i="1"/>
  <c r="O930" i="1"/>
  <c r="P930" i="1"/>
  <c r="O931" i="1"/>
  <c r="P931" i="1"/>
  <c r="O932" i="1"/>
  <c r="P932" i="1"/>
  <c r="O933" i="1"/>
  <c r="P933" i="1"/>
  <c r="O934" i="1"/>
  <c r="P934" i="1"/>
  <c r="O935" i="1"/>
  <c r="P935" i="1"/>
  <c r="O936" i="1"/>
  <c r="P936" i="1"/>
  <c r="O937" i="1"/>
  <c r="P937" i="1"/>
  <c r="O938" i="1"/>
  <c r="P938" i="1"/>
  <c r="O939" i="1"/>
  <c r="P939" i="1"/>
  <c r="O940" i="1"/>
  <c r="P940" i="1"/>
  <c r="O941" i="1"/>
  <c r="P941" i="1"/>
  <c r="O942" i="1"/>
  <c r="P942" i="1"/>
  <c r="O943" i="1"/>
  <c r="P943" i="1"/>
  <c r="O944" i="1"/>
  <c r="P944" i="1"/>
  <c r="O945" i="1"/>
  <c r="P945" i="1"/>
  <c r="O946" i="1"/>
  <c r="P946" i="1"/>
  <c r="O947" i="1"/>
  <c r="P947" i="1"/>
  <c r="O948" i="1"/>
  <c r="P948" i="1"/>
  <c r="O949" i="1"/>
  <c r="P949" i="1"/>
  <c r="O950" i="1"/>
  <c r="P950" i="1"/>
  <c r="O951" i="1"/>
  <c r="P951" i="1"/>
  <c r="O952" i="1"/>
  <c r="P952" i="1"/>
  <c r="O953" i="1"/>
  <c r="P953" i="1"/>
  <c r="O954" i="1"/>
  <c r="P954" i="1"/>
  <c r="O955" i="1"/>
  <c r="P955" i="1"/>
  <c r="O956" i="1"/>
  <c r="P956" i="1"/>
  <c r="O957" i="1"/>
  <c r="P957" i="1"/>
  <c r="O958" i="1"/>
  <c r="P958" i="1"/>
  <c r="O959" i="1"/>
  <c r="P959" i="1"/>
  <c r="O960" i="1"/>
  <c r="P960" i="1"/>
  <c r="O961" i="1"/>
  <c r="P961" i="1"/>
  <c r="O962" i="1"/>
  <c r="P962" i="1"/>
  <c r="O963" i="1"/>
  <c r="P963" i="1"/>
  <c r="O964" i="1"/>
  <c r="P964" i="1"/>
  <c r="O965" i="1"/>
  <c r="P965" i="1"/>
  <c r="O966" i="1"/>
  <c r="P966" i="1"/>
  <c r="O967" i="1"/>
  <c r="P967" i="1"/>
  <c r="O968" i="1"/>
  <c r="P968" i="1"/>
  <c r="O969" i="1"/>
  <c r="P969" i="1"/>
  <c r="O970" i="1"/>
  <c r="P970" i="1"/>
  <c r="O971" i="1"/>
  <c r="P971" i="1"/>
  <c r="O972" i="1"/>
  <c r="P972" i="1"/>
  <c r="O973" i="1"/>
  <c r="P973" i="1"/>
  <c r="O974" i="1"/>
  <c r="P974" i="1"/>
  <c r="O975" i="1"/>
  <c r="P975" i="1"/>
  <c r="O976" i="1"/>
  <c r="P976" i="1"/>
  <c r="O977" i="1"/>
  <c r="P977" i="1"/>
  <c r="O978" i="1"/>
  <c r="P978" i="1"/>
  <c r="O979" i="1"/>
  <c r="P979" i="1"/>
  <c r="O980" i="1"/>
  <c r="P980" i="1"/>
  <c r="O981" i="1"/>
  <c r="P981" i="1"/>
  <c r="O982" i="1"/>
  <c r="P982" i="1"/>
  <c r="O983" i="1"/>
  <c r="P983" i="1"/>
  <c r="O984" i="1"/>
  <c r="P984" i="1"/>
  <c r="O985" i="1"/>
  <c r="P985" i="1"/>
  <c r="O986" i="1"/>
  <c r="P986" i="1"/>
  <c r="O987" i="1"/>
  <c r="P987" i="1"/>
  <c r="O988" i="1"/>
  <c r="P988" i="1"/>
  <c r="O989" i="1"/>
  <c r="P989" i="1"/>
  <c r="O990" i="1"/>
  <c r="P990" i="1"/>
  <c r="O991" i="1"/>
  <c r="P991" i="1"/>
  <c r="O992" i="1"/>
  <c r="P992" i="1"/>
  <c r="O993" i="1"/>
  <c r="P993" i="1"/>
  <c r="O994" i="1"/>
  <c r="P994" i="1"/>
  <c r="O995" i="1"/>
  <c r="P995" i="1"/>
  <c r="O996" i="1"/>
  <c r="P996" i="1"/>
  <c r="O997" i="1"/>
  <c r="P997" i="1"/>
  <c r="O998" i="1"/>
  <c r="P998" i="1"/>
  <c r="O999" i="1"/>
  <c r="P999" i="1"/>
  <c r="O1000" i="1"/>
  <c r="P1000" i="1"/>
  <c r="O1001" i="1"/>
  <c r="P1001" i="1"/>
  <c r="O1002" i="1"/>
  <c r="P1002" i="1"/>
  <c r="O1003" i="1"/>
  <c r="P1003" i="1"/>
  <c r="O1004" i="1"/>
  <c r="P1004" i="1"/>
  <c r="O1005" i="1"/>
  <c r="P1005" i="1"/>
  <c r="O1006" i="1"/>
  <c r="P1006" i="1"/>
  <c r="O1007" i="1"/>
  <c r="P1007" i="1"/>
  <c r="O1008" i="1"/>
  <c r="P1008" i="1"/>
  <c r="O1009" i="1"/>
  <c r="P1009" i="1"/>
  <c r="O1010" i="1"/>
  <c r="P1010" i="1"/>
  <c r="O1011" i="1"/>
  <c r="P1011" i="1"/>
  <c r="O1012" i="1"/>
  <c r="P1012" i="1"/>
  <c r="O1013" i="1"/>
  <c r="P1013" i="1"/>
  <c r="O1014" i="1"/>
  <c r="P1014" i="1"/>
  <c r="O1015" i="1"/>
  <c r="P1015" i="1"/>
  <c r="O1016" i="1"/>
  <c r="P1016" i="1"/>
  <c r="O1017" i="1"/>
  <c r="P1017" i="1"/>
  <c r="O1018" i="1"/>
  <c r="P1018" i="1"/>
  <c r="O1019" i="1"/>
  <c r="P1019" i="1"/>
  <c r="O1020" i="1"/>
  <c r="P1020" i="1"/>
  <c r="O1021" i="1"/>
  <c r="P1021" i="1"/>
  <c r="O1022" i="1"/>
  <c r="P1022" i="1"/>
  <c r="O1023" i="1"/>
  <c r="P1023" i="1"/>
  <c r="O1024" i="1"/>
  <c r="P1024" i="1"/>
  <c r="O1025" i="1"/>
  <c r="P1025" i="1"/>
  <c r="O1026" i="1"/>
  <c r="P1026" i="1"/>
  <c r="O1027" i="1"/>
  <c r="P1027" i="1"/>
  <c r="O1028" i="1"/>
  <c r="P1028" i="1"/>
  <c r="O1029" i="1"/>
  <c r="P1029" i="1"/>
  <c r="O1030" i="1"/>
  <c r="P1030" i="1"/>
  <c r="O1031" i="1"/>
  <c r="P1031" i="1"/>
  <c r="O1032" i="1"/>
  <c r="P1032" i="1"/>
  <c r="O1033" i="1"/>
  <c r="P1033" i="1"/>
  <c r="O1034" i="1"/>
  <c r="P1034" i="1"/>
  <c r="O1035" i="1"/>
  <c r="P1035" i="1"/>
  <c r="O1036" i="1"/>
  <c r="P1036" i="1"/>
  <c r="O1037" i="1"/>
  <c r="P1037" i="1"/>
  <c r="O1038" i="1"/>
  <c r="P1038" i="1"/>
  <c r="O1039" i="1"/>
  <c r="P1039" i="1"/>
  <c r="O1040" i="1"/>
  <c r="P1040" i="1"/>
  <c r="O1041" i="1"/>
  <c r="P1041" i="1"/>
  <c r="O1042" i="1"/>
  <c r="P1042" i="1"/>
  <c r="O1043" i="1"/>
  <c r="P1043" i="1"/>
  <c r="O1044" i="1"/>
  <c r="P1044" i="1"/>
  <c r="O1045" i="1"/>
  <c r="P1045" i="1"/>
  <c r="O1046" i="1"/>
  <c r="P1046" i="1"/>
  <c r="O1047" i="1"/>
  <c r="P1047" i="1"/>
  <c r="O1048" i="1"/>
  <c r="P1048" i="1"/>
  <c r="O1049" i="1"/>
  <c r="P1049" i="1"/>
  <c r="O1050" i="1"/>
  <c r="P1050" i="1"/>
  <c r="O1051" i="1"/>
  <c r="P1051" i="1"/>
  <c r="O1052" i="1"/>
  <c r="P1052" i="1"/>
  <c r="O1053" i="1"/>
  <c r="P1053" i="1"/>
  <c r="O1054" i="1"/>
  <c r="P1054" i="1"/>
  <c r="O1055" i="1"/>
  <c r="P1055" i="1"/>
  <c r="O1056" i="1"/>
  <c r="P1056" i="1"/>
  <c r="O1057" i="1"/>
  <c r="P1057" i="1"/>
  <c r="O1058" i="1"/>
  <c r="P1058" i="1"/>
  <c r="O1059" i="1"/>
  <c r="P1059" i="1"/>
  <c r="O1060" i="1"/>
  <c r="P1060" i="1"/>
  <c r="O1061" i="1"/>
  <c r="P1061" i="1"/>
  <c r="O1062" i="1"/>
  <c r="P1062" i="1"/>
  <c r="O1063" i="1"/>
  <c r="P1063" i="1"/>
  <c r="O1064" i="1"/>
  <c r="P1064" i="1"/>
  <c r="O1065" i="1"/>
  <c r="P1065" i="1"/>
  <c r="O1066" i="1"/>
  <c r="P1066" i="1"/>
  <c r="O1067" i="1"/>
  <c r="P1067" i="1"/>
  <c r="O1068" i="1"/>
  <c r="P1068" i="1"/>
  <c r="O1069" i="1"/>
  <c r="P1069" i="1"/>
  <c r="O1070" i="1"/>
  <c r="P1070" i="1"/>
  <c r="O1071" i="1"/>
  <c r="P1071" i="1"/>
  <c r="O1072" i="1"/>
  <c r="P1072" i="1"/>
  <c r="O1073" i="1"/>
  <c r="P1073" i="1"/>
  <c r="O1074" i="1"/>
  <c r="P1074" i="1"/>
  <c r="O1075" i="1"/>
  <c r="P1075" i="1"/>
  <c r="O1076" i="1"/>
  <c r="P1076" i="1"/>
  <c r="O1077" i="1"/>
  <c r="P1077" i="1"/>
  <c r="O1078" i="1"/>
  <c r="P1078" i="1"/>
  <c r="O1079" i="1"/>
  <c r="P1079" i="1"/>
  <c r="O1080" i="1"/>
  <c r="P1080" i="1"/>
  <c r="O1081" i="1"/>
  <c r="P1081" i="1"/>
  <c r="O1082" i="1"/>
  <c r="P1082" i="1"/>
  <c r="O1083" i="1"/>
  <c r="P1083" i="1"/>
  <c r="O1084" i="1"/>
  <c r="P1084" i="1"/>
  <c r="O1085" i="1"/>
  <c r="P1085" i="1"/>
  <c r="O1086" i="1"/>
  <c r="P1086" i="1"/>
  <c r="O1087" i="1"/>
  <c r="P1087" i="1"/>
  <c r="O1088" i="1"/>
  <c r="P1088" i="1"/>
  <c r="O1089" i="1"/>
  <c r="P1089" i="1"/>
  <c r="O1090" i="1"/>
  <c r="P1090" i="1"/>
  <c r="O1091" i="1"/>
  <c r="P1091" i="1"/>
  <c r="O1092" i="1"/>
  <c r="P1092" i="1"/>
  <c r="O1093" i="1"/>
  <c r="P1093" i="1"/>
  <c r="O1094" i="1"/>
  <c r="P1094" i="1"/>
  <c r="O1095" i="1"/>
  <c r="P1095" i="1"/>
  <c r="O1096" i="1"/>
  <c r="P1096" i="1"/>
  <c r="O1097" i="1"/>
  <c r="P1097" i="1"/>
  <c r="O1098" i="1"/>
  <c r="P1098" i="1"/>
  <c r="O1099" i="1"/>
  <c r="P1099" i="1"/>
  <c r="O1100" i="1"/>
  <c r="P1100" i="1"/>
  <c r="O1101" i="1"/>
  <c r="P1101" i="1"/>
  <c r="O1102" i="1"/>
  <c r="P1102" i="1"/>
  <c r="O1103" i="1"/>
  <c r="P1103" i="1"/>
  <c r="O1104" i="1"/>
  <c r="P1104" i="1"/>
  <c r="O1105" i="1"/>
  <c r="P1105" i="1"/>
  <c r="O1106" i="1"/>
  <c r="P1106" i="1"/>
  <c r="O1107" i="1"/>
  <c r="P1107" i="1"/>
  <c r="O1108" i="1"/>
  <c r="P1108" i="1"/>
  <c r="O1109" i="1"/>
  <c r="P1109" i="1"/>
  <c r="O1110" i="1"/>
  <c r="P1110" i="1"/>
  <c r="O1111" i="1"/>
  <c r="P1111" i="1"/>
  <c r="O1112" i="1"/>
  <c r="P1112" i="1"/>
  <c r="O1113" i="1"/>
  <c r="P1113" i="1"/>
  <c r="O1114" i="1"/>
  <c r="P1114" i="1"/>
  <c r="O1115" i="1"/>
  <c r="P1115" i="1"/>
  <c r="O1116" i="1"/>
  <c r="P1116" i="1"/>
  <c r="O1117" i="1"/>
  <c r="P1117" i="1"/>
  <c r="O1118" i="1"/>
  <c r="P1118" i="1"/>
  <c r="O1119" i="1"/>
  <c r="P1119" i="1"/>
  <c r="O1120" i="1"/>
  <c r="P1120" i="1"/>
  <c r="O1121" i="1"/>
  <c r="P1121" i="1"/>
  <c r="O1122" i="1"/>
  <c r="P1122" i="1"/>
  <c r="O1123" i="1"/>
  <c r="P1123" i="1"/>
  <c r="O1124" i="1"/>
  <c r="P1124" i="1"/>
  <c r="O1125" i="1"/>
  <c r="P1125" i="1"/>
  <c r="O1126" i="1"/>
  <c r="P1126" i="1"/>
  <c r="O1127" i="1"/>
  <c r="P1127" i="1"/>
  <c r="O1128" i="1"/>
  <c r="P1128" i="1"/>
  <c r="O1129" i="1"/>
  <c r="P1129" i="1"/>
  <c r="O1130" i="1"/>
  <c r="P1130" i="1"/>
  <c r="O1131" i="1"/>
  <c r="P1131" i="1"/>
  <c r="O1132" i="1"/>
  <c r="P1132" i="1"/>
  <c r="O1133" i="1"/>
  <c r="P1133" i="1"/>
  <c r="O1134" i="1"/>
  <c r="P1134" i="1"/>
  <c r="O1135" i="1"/>
  <c r="P1135" i="1"/>
  <c r="O1136" i="1"/>
  <c r="P1136" i="1"/>
  <c r="O1137" i="1"/>
  <c r="P1137" i="1"/>
  <c r="O1138" i="1"/>
  <c r="P1138" i="1"/>
  <c r="O1139" i="1"/>
  <c r="P1139" i="1"/>
  <c r="O1140" i="1"/>
  <c r="P1140" i="1"/>
  <c r="O1141" i="1"/>
  <c r="P1141" i="1"/>
  <c r="O1142" i="1"/>
  <c r="P1142" i="1"/>
  <c r="O1143" i="1"/>
  <c r="P1143" i="1"/>
  <c r="O1144" i="1"/>
  <c r="P1144" i="1"/>
  <c r="O1145" i="1"/>
  <c r="P1145" i="1"/>
  <c r="O1146" i="1"/>
  <c r="P1146" i="1"/>
  <c r="O1147" i="1"/>
  <c r="P1147" i="1"/>
  <c r="O1148" i="1"/>
  <c r="P1148" i="1"/>
  <c r="O1149" i="1"/>
  <c r="P1149" i="1"/>
  <c r="O1150" i="1"/>
  <c r="P1150" i="1"/>
  <c r="O1151" i="1"/>
  <c r="P1151" i="1"/>
  <c r="O1152" i="1"/>
  <c r="P1152" i="1"/>
  <c r="O1153" i="1"/>
  <c r="P1153" i="1"/>
  <c r="O1154" i="1"/>
  <c r="P1154" i="1"/>
  <c r="O1155" i="1"/>
  <c r="P1155" i="1"/>
  <c r="O1156" i="1"/>
  <c r="P1156" i="1"/>
  <c r="O1157" i="1"/>
  <c r="P1157" i="1"/>
  <c r="O1158" i="1"/>
  <c r="P1158" i="1"/>
  <c r="O1159" i="1"/>
  <c r="P1159" i="1"/>
  <c r="O1160" i="1"/>
  <c r="P1160" i="1"/>
  <c r="O1161" i="1"/>
  <c r="P1161" i="1"/>
  <c r="O1162" i="1"/>
  <c r="P1162" i="1"/>
  <c r="O1163" i="1"/>
  <c r="P1163" i="1"/>
  <c r="O1164" i="1"/>
  <c r="P1164" i="1"/>
  <c r="O1165" i="1"/>
  <c r="P1165" i="1"/>
  <c r="O1166" i="1"/>
  <c r="P1166" i="1"/>
  <c r="O1167" i="1"/>
  <c r="P1167" i="1"/>
  <c r="O1168" i="1"/>
  <c r="P1168" i="1"/>
  <c r="O1169" i="1"/>
  <c r="P1169" i="1"/>
  <c r="O1170" i="1"/>
  <c r="P1170" i="1"/>
  <c r="O1171" i="1"/>
  <c r="P1171" i="1"/>
  <c r="O1172" i="1"/>
  <c r="P1172" i="1"/>
  <c r="O1173" i="1"/>
  <c r="P1173" i="1"/>
  <c r="O1174" i="1"/>
  <c r="P1174" i="1"/>
  <c r="O1175" i="1"/>
  <c r="P1175" i="1"/>
  <c r="O1176" i="1"/>
  <c r="P1176" i="1"/>
  <c r="O1177" i="1"/>
  <c r="P1177" i="1"/>
  <c r="O1178" i="1"/>
  <c r="P1178" i="1"/>
  <c r="O1179" i="1"/>
  <c r="P1179" i="1"/>
  <c r="O1180" i="1"/>
  <c r="P1180" i="1"/>
  <c r="O1181" i="1"/>
  <c r="P1181" i="1"/>
  <c r="O1182" i="1"/>
  <c r="P1182" i="1"/>
  <c r="O1183" i="1"/>
  <c r="P1183" i="1"/>
  <c r="O1184" i="1"/>
  <c r="P1184" i="1"/>
  <c r="O1185" i="1"/>
  <c r="P1185" i="1"/>
  <c r="O1186" i="1"/>
  <c r="P1186" i="1"/>
  <c r="O1187" i="1"/>
  <c r="P1187" i="1"/>
  <c r="O1188" i="1"/>
  <c r="P1188" i="1"/>
  <c r="O1189" i="1"/>
  <c r="P1189" i="1"/>
  <c r="O1190" i="1"/>
  <c r="P1190" i="1"/>
  <c r="O1191" i="1"/>
  <c r="P1191" i="1"/>
  <c r="O1192" i="1"/>
  <c r="P1192" i="1"/>
  <c r="O1193" i="1"/>
  <c r="P1193" i="1"/>
  <c r="O1194" i="1"/>
  <c r="P1194" i="1"/>
  <c r="O1195" i="1"/>
  <c r="P1195" i="1"/>
  <c r="O1196" i="1"/>
  <c r="P1196" i="1"/>
  <c r="O1197" i="1"/>
  <c r="P1197" i="1"/>
  <c r="O1198" i="1"/>
  <c r="P1198" i="1"/>
  <c r="O1199" i="1"/>
  <c r="P1199" i="1"/>
  <c r="O1200" i="1"/>
  <c r="P1200" i="1"/>
  <c r="O1201" i="1"/>
  <c r="P1201" i="1"/>
  <c r="O1202" i="1"/>
  <c r="P1202" i="1"/>
  <c r="O1203" i="1"/>
  <c r="P1203" i="1"/>
  <c r="O1204" i="1"/>
  <c r="P1204" i="1"/>
  <c r="O1205" i="1"/>
  <c r="P1205" i="1"/>
  <c r="O1206" i="1"/>
  <c r="P1206" i="1"/>
  <c r="O1207" i="1"/>
  <c r="P1207" i="1"/>
  <c r="O1208" i="1"/>
  <c r="P1208" i="1"/>
  <c r="O1209" i="1"/>
  <c r="P1209" i="1"/>
  <c r="O1210" i="1"/>
  <c r="P1210" i="1"/>
  <c r="O1211" i="1"/>
  <c r="P1211" i="1"/>
  <c r="O1212" i="1"/>
  <c r="P1212" i="1"/>
  <c r="O1213" i="1"/>
  <c r="P1213" i="1"/>
  <c r="O1214" i="1"/>
  <c r="P1214" i="1"/>
  <c r="O1215" i="1"/>
  <c r="P1215" i="1"/>
  <c r="O1216" i="1"/>
  <c r="P1216" i="1"/>
  <c r="O1217" i="1"/>
  <c r="P1217" i="1"/>
  <c r="O1218" i="1"/>
  <c r="P1218" i="1"/>
  <c r="O1219" i="1"/>
  <c r="P1219" i="1"/>
  <c r="O1220" i="1"/>
  <c r="P1220" i="1"/>
  <c r="O1221" i="1"/>
  <c r="P1221" i="1"/>
  <c r="O1222" i="1"/>
  <c r="P1222" i="1"/>
  <c r="O1223" i="1"/>
  <c r="P1223" i="1"/>
  <c r="O1224" i="1"/>
  <c r="P1224" i="1"/>
  <c r="O1225" i="1"/>
  <c r="P1225" i="1"/>
  <c r="O1226" i="1"/>
  <c r="P1226" i="1"/>
  <c r="O1227" i="1"/>
  <c r="P1227" i="1"/>
  <c r="O1228" i="1"/>
  <c r="P1228" i="1"/>
  <c r="O1229" i="1"/>
  <c r="P1229" i="1"/>
  <c r="O1230" i="1"/>
  <c r="P1230" i="1"/>
  <c r="O1231" i="1"/>
  <c r="P1231" i="1"/>
  <c r="O1232" i="1"/>
  <c r="P1232" i="1"/>
  <c r="O1233" i="1"/>
  <c r="P1233" i="1"/>
  <c r="O1234" i="1"/>
  <c r="P1234" i="1"/>
  <c r="O1235" i="1"/>
  <c r="P1235" i="1"/>
  <c r="O1236" i="1"/>
  <c r="P1236" i="1"/>
  <c r="O1237" i="1"/>
  <c r="P1237" i="1"/>
  <c r="O1238" i="1"/>
  <c r="P1238" i="1"/>
  <c r="O1239" i="1"/>
  <c r="P1239" i="1"/>
  <c r="O1240" i="1"/>
  <c r="P1240" i="1"/>
  <c r="O1241" i="1"/>
  <c r="P1241" i="1"/>
  <c r="O1242" i="1"/>
  <c r="P1242" i="1"/>
  <c r="O1243" i="1"/>
  <c r="P1243" i="1"/>
  <c r="O1244" i="1"/>
  <c r="P1244" i="1"/>
  <c r="O1245" i="1"/>
  <c r="P1245" i="1"/>
  <c r="O1246" i="1"/>
  <c r="P1246" i="1"/>
  <c r="O1247" i="1"/>
  <c r="P1247" i="1"/>
  <c r="O1248" i="1"/>
  <c r="P1248" i="1"/>
  <c r="O1249" i="1"/>
  <c r="P1249" i="1"/>
  <c r="O1250" i="1"/>
  <c r="P1250" i="1"/>
  <c r="O1251" i="1"/>
  <c r="P1251" i="1"/>
  <c r="O1252" i="1"/>
  <c r="P1252" i="1"/>
  <c r="O1253" i="1"/>
  <c r="P1253" i="1"/>
  <c r="O1254" i="1"/>
  <c r="P1254" i="1"/>
  <c r="O1255" i="1"/>
  <c r="P1255" i="1"/>
  <c r="O1256" i="1"/>
  <c r="P1256" i="1"/>
  <c r="O1257" i="1"/>
  <c r="P1257" i="1"/>
  <c r="O1258" i="1"/>
  <c r="P1258" i="1"/>
  <c r="O1259" i="1"/>
  <c r="P1259" i="1"/>
  <c r="O1260" i="1"/>
  <c r="P1260" i="1"/>
  <c r="O1261" i="1"/>
  <c r="P1261" i="1"/>
  <c r="O1262" i="1"/>
  <c r="P1262" i="1"/>
  <c r="O1263" i="1"/>
  <c r="P1263" i="1"/>
  <c r="O1264" i="1"/>
  <c r="P1264" i="1"/>
  <c r="O1265" i="1"/>
  <c r="P1265" i="1"/>
  <c r="O1266" i="1"/>
  <c r="P1266" i="1"/>
  <c r="O1267" i="1"/>
  <c r="P1267" i="1"/>
  <c r="O1268" i="1"/>
  <c r="P1268" i="1"/>
  <c r="O1269" i="1"/>
  <c r="P1269" i="1"/>
  <c r="O1270" i="1"/>
  <c r="P1270" i="1"/>
  <c r="O1271" i="1"/>
  <c r="P1271" i="1"/>
  <c r="O1272" i="1"/>
  <c r="P1272" i="1"/>
  <c r="O1273" i="1"/>
  <c r="P1273" i="1"/>
  <c r="O1274" i="1"/>
  <c r="P1274" i="1"/>
  <c r="O1275" i="1"/>
  <c r="P1275" i="1"/>
  <c r="O1276" i="1"/>
  <c r="P1276" i="1"/>
  <c r="O1277" i="1"/>
  <c r="P1277" i="1"/>
  <c r="O1278" i="1"/>
  <c r="P1278" i="1"/>
  <c r="O1279" i="1"/>
  <c r="P1279" i="1"/>
  <c r="O1280" i="1"/>
  <c r="P1280" i="1"/>
  <c r="O1281" i="1"/>
  <c r="P1281" i="1"/>
  <c r="O1282" i="1"/>
  <c r="P1282" i="1"/>
  <c r="O1283" i="1"/>
  <c r="P1283" i="1"/>
  <c r="O1284" i="1"/>
  <c r="P1284" i="1"/>
  <c r="O1285" i="1"/>
  <c r="P1285" i="1"/>
  <c r="O1286" i="1"/>
  <c r="P1286" i="1"/>
  <c r="O1287" i="1"/>
  <c r="P1287" i="1"/>
  <c r="O1288" i="1"/>
  <c r="P1288" i="1"/>
  <c r="O1289" i="1"/>
  <c r="P1289" i="1"/>
  <c r="O1290" i="1"/>
  <c r="P1290" i="1"/>
  <c r="O1291" i="1"/>
  <c r="P1291" i="1"/>
  <c r="O1292" i="1"/>
  <c r="P1292" i="1"/>
  <c r="O1293" i="1"/>
  <c r="P1293" i="1"/>
  <c r="O1294" i="1"/>
  <c r="P1294" i="1"/>
  <c r="O1295" i="1"/>
  <c r="P1295" i="1"/>
  <c r="O1296" i="1"/>
  <c r="P1296" i="1"/>
  <c r="O1297" i="1"/>
  <c r="P1297" i="1"/>
  <c r="O1298" i="1"/>
  <c r="P1298" i="1"/>
  <c r="O1299" i="1"/>
  <c r="P1299" i="1"/>
  <c r="O1300" i="1"/>
  <c r="P1300" i="1"/>
  <c r="O1301" i="1"/>
  <c r="P1301" i="1"/>
  <c r="O1302" i="1"/>
  <c r="P1302" i="1"/>
  <c r="O1303" i="1"/>
  <c r="P1303" i="1"/>
  <c r="O1304" i="1"/>
  <c r="P1304" i="1"/>
  <c r="O1305" i="1"/>
  <c r="P1305" i="1"/>
  <c r="O1306" i="1"/>
  <c r="P1306" i="1"/>
  <c r="O1307" i="1"/>
  <c r="P1307" i="1"/>
  <c r="O1308" i="1"/>
  <c r="P1308" i="1"/>
  <c r="O1309" i="1"/>
  <c r="P1309" i="1"/>
  <c r="O1310" i="1"/>
  <c r="P1310" i="1"/>
  <c r="O1311" i="1"/>
  <c r="P1311" i="1"/>
  <c r="O1312" i="1"/>
  <c r="P1312" i="1"/>
  <c r="O1313" i="1"/>
  <c r="P1313" i="1"/>
  <c r="O1314" i="1"/>
  <c r="P1314" i="1"/>
  <c r="O1315" i="1"/>
  <c r="P1315" i="1"/>
  <c r="O1316" i="1"/>
  <c r="P1316" i="1"/>
  <c r="O1317" i="1"/>
  <c r="P1317" i="1"/>
  <c r="O1318" i="1"/>
  <c r="P1318" i="1"/>
  <c r="O1319" i="1"/>
  <c r="P1319" i="1"/>
  <c r="O1320" i="1"/>
  <c r="P1320" i="1"/>
  <c r="O1321" i="1"/>
  <c r="P1321" i="1"/>
  <c r="O1322" i="1"/>
  <c r="P1322" i="1"/>
  <c r="O1323" i="1"/>
  <c r="P1323" i="1"/>
  <c r="O1324" i="1"/>
  <c r="P1324" i="1"/>
  <c r="O1325" i="1"/>
  <c r="P1325" i="1"/>
  <c r="O1326" i="1"/>
  <c r="P1326" i="1"/>
  <c r="O1327" i="1"/>
  <c r="P1327" i="1"/>
  <c r="O1328" i="1"/>
  <c r="P1328" i="1"/>
  <c r="O1329" i="1"/>
  <c r="P1329" i="1"/>
  <c r="O1330" i="1"/>
  <c r="P1330" i="1"/>
  <c r="O1331" i="1"/>
  <c r="P1331" i="1"/>
  <c r="O1332" i="1"/>
  <c r="P1332" i="1"/>
  <c r="O1333" i="1"/>
  <c r="P1333" i="1"/>
  <c r="O1334" i="1"/>
  <c r="P1334" i="1"/>
  <c r="O1335" i="1"/>
  <c r="P1335" i="1"/>
  <c r="O1336" i="1"/>
  <c r="P1336" i="1"/>
  <c r="O1337" i="1"/>
  <c r="P1337" i="1"/>
  <c r="O1338" i="1"/>
  <c r="P1338" i="1"/>
  <c r="O1339" i="1"/>
  <c r="P1339" i="1"/>
  <c r="O1340" i="1"/>
  <c r="P1340" i="1"/>
  <c r="O1341" i="1"/>
  <c r="P1341" i="1"/>
  <c r="O1342" i="1"/>
  <c r="P1342" i="1"/>
  <c r="O1343" i="1"/>
  <c r="P1343" i="1"/>
  <c r="O1344" i="1"/>
  <c r="P1344" i="1"/>
  <c r="O1345" i="1"/>
  <c r="P1345" i="1"/>
  <c r="O1346" i="1"/>
  <c r="P1346" i="1"/>
  <c r="O1347" i="1"/>
  <c r="P1347" i="1"/>
  <c r="O1348" i="1"/>
  <c r="P1348" i="1"/>
  <c r="O1349" i="1"/>
  <c r="P1349" i="1"/>
  <c r="O1350" i="1"/>
  <c r="P1350" i="1"/>
  <c r="O1351" i="1"/>
  <c r="P1351" i="1"/>
  <c r="O1352" i="1"/>
  <c r="P1352" i="1"/>
  <c r="O1353" i="1"/>
  <c r="P1353" i="1"/>
  <c r="O1354" i="1"/>
  <c r="P1354" i="1"/>
  <c r="O1355" i="1"/>
  <c r="P1355" i="1"/>
  <c r="O1356" i="1"/>
  <c r="P1356" i="1"/>
  <c r="O1357" i="1"/>
  <c r="P1357" i="1"/>
  <c r="O1358" i="1"/>
  <c r="P1358" i="1"/>
  <c r="O1359" i="1"/>
  <c r="P1359" i="1"/>
  <c r="O1360" i="1"/>
  <c r="P1360" i="1"/>
  <c r="O1361" i="1"/>
  <c r="P1361" i="1"/>
  <c r="O1362" i="1"/>
  <c r="P1362" i="1"/>
  <c r="O1363" i="1"/>
  <c r="P1363" i="1"/>
  <c r="O1364" i="1"/>
  <c r="P1364" i="1"/>
  <c r="O1365" i="1"/>
  <c r="P1365" i="1"/>
  <c r="O1366" i="1"/>
  <c r="P1366" i="1"/>
  <c r="O1367" i="1"/>
  <c r="P1367" i="1"/>
  <c r="O1368" i="1"/>
  <c r="P1368" i="1"/>
  <c r="O1369" i="1"/>
  <c r="P1369" i="1"/>
  <c r="O1370" i="1"/>
  <c r="P1370" i="1"/>
  <c r="O1371" i="1"/>
  <c r="P1371" i="1"/>
  <c r="O1372" i="1"/>
  <c r="P1372" i="1"/>
  <c r="O1373" i="1"/>
  <c r="P1373" i="1"/>
  <c r="O1374" i="1"/>
  <c r="P1374" i="1"/>
  <c r="O1375" i="1"/>
  <c r="P1375" i="1"/>
  <c r="O1376" i="1"/>
  <c r="P1376" i="1"/>
  <c r="O1377" i="1"/>
  <c r="P1377" i="1"/>
  <c r="O1378" i="1"/>
  <c r="P1378" i="1"/>
  <c r="O1379" i="1"/>
  <c r="P1379" i="1"/>
  <c r="O1380" i="1"/>
  <c r="P1380" i="1"/>
  <c r="O1381" i="1"/>
  <c r="P1381" i="1"/>
  <c r="O1382" i="1"/>
  <c r="P1382" i="1"/>
  <c r="O1383" i="1"/>
  <c r="P1383" i="1"/>
  <c r="O1384" i="1"/>
  <c r="P1384" i="1"/>
  <c r="O1385" i="1"/>
  <c r="P1385" i="1"/>
  <c r="O1386" i="1"/>
  <c r="P1386" i="1"/>
  <c r="O1387" i="1"/>
  <c r="P1387" i="1"/>
  <c r="O1388" i="1"/>
  <c r="P1388" i="1"/>
  <c r="O1389" i="1"/>
  <c r="P1389" i="1"/>
  <c r="O1390" i="1"/>
  <c r="P1390" i="1"/>
  <c r="O1391" i="1"/>
  <c r="P1391" i="1"/>
  <c r="O1392" i="1"/>
  <c r="P1392" i="1"/>
  <c r="O1393" i="1"/>
  <c r="P1393" i="1"/>
  <c r="O1394" i="1"/>
  <c r="P1394" i="1"/>
  <c r="O1395" i="1"/>
  <c r="P1395" i="1"/>
  <c r="O1396" i="1"/>
  <c r="P1396" i="1"/>
  <c r="O1397" i="1"/>
  <c r="P1397" i="1"/>
  <c r="O1398" i="1"/>
  <c r="P1398" i="1"/>
  <c r="O1399" i="1"/>
  <c r="P1399" i="1"/>
  <c r="O1400" i="1"/>
  <c r="P1400" i="1"/>
  <c r="O1401" i="1"/>
  <c r="P1401" i="1"/>
  <c r="O1402" i="1"/>
  <c r="P1402" i="1"/>
  <c r="O1403" i="1"/>
  <c r="P1403" i="1"/>
  <c r="O1404" i="1"/>
  <c r="P1404" i="1"/>
  <c r="O1405" i="1"/>
  <c r="P1405" i="1"/>
  <c r="O1406" i="1"/>
  <c r="P1406" i="1"/>
  <c r="O1407" i="1"/>
  <c r="P1407" i="1"/>
  <c r="O1408" i="1"/>
  <c r="P1408" i="1"/>
  <c r="O1409" i="1"/>
  <c r="P1409" i="1"/>
  <c r="O1410" i="1"/>
  <c r="P1410" i="1"/>
  <c r="O1411" i="1"/>
  <c r="P1411" i="1"/>
  <c r="O1412" i="1"/>
  <c r="P1412" i="1"/>
  <c r="O1413" i="1"/>
  <c r="P1413" i="1"/>
  <c r="O1414" i="1"/>
  <c r="P1414" i="1"/>
  <c r="O1415" i="1"/>
  <c r="P1415" i="1"/>
  <c r="O1416" i="1"/>
  <c r="P1416" i="1"/>
  <c r="O1417" i="1"/>
  <c r="P1417" i="1"/>
  <c r="O1418" i="1"/>
  <c r="P1418" i="1"/>
  <c r="O1419" i="1"/>
  <c r="P1419" i="1"/>
  <c r="O1420" i="1"/>
  <c r="P1420" i="1"/>
  <c r="O1421" i="1"/>
  <c r="P1421" i="1"/>
  <c r="O1422" i="1"/>
  <c r="P1422" i="1"/>
  <c r="O1423" i="1"/>
  <c r="P1423" i="1"/>
  <c r="O1424" i="1"/>
  <c r="P1424" i="1"/>
  <c r="O1425" i="1"/>
  <c r="P1425" i="1"/>
  <c r="O1426" i="1"/>
  <c r="P1426" i="1"/>
  <c r="O1427" i="1"/>
  <c r="P1427" i="1"/>
  <c r="O1428" i="1"/>
  <c r="P1428" i="1"/>
  <c r="O1429" i="1"/>
  <c r="P1429" i="1"/>
  <c r="O1430" i="1"/>
  <c r="P1430" i="1"/>
  <c r="O1431" i="1"/>
  <c r="P1431" i="1"/>
  <c r="O1432" i="1"/>
  <c r="P1432" i="1"/>
  <c r="O1433" i="1"/>
  <c r="P1433" i="1"/>
  <c r="O1434" i="1"/>
  <c r="P1434" i="1"/>
  <c r="O1435" i="1"/>
  <c r="P1435" i="1"/>
  <c r="O1436" i="1"/>
  <c r="P1436" i="1"/>
  <c r="O1437" i="1"/>
  <c r="P1437" i="1"/>
  <c r="O1438" i="1"/>
  <c r="P1438" i="1"/>
  <c r="O1439" i="1"/>
  <c r="P1439" i="1"/>
  <c r="O1440" i="1"/>
  <c r="P1440" i="1"/>
  <c r="O1441" i="1"/>
  <c r="P1441" i="1"/>
  <c r="O1442" i="1"/>
  <c r="P1442" i="1"/>
  <c r="O1443" i="1"/>
  <c r="P1443" i="1"/>
  <c r="O1444" i="1"/>
  <c r="P1444" i="1"/>
  <c r="O1445" i="1"/>
  <c r="P1445" i="1"/>
  <c r="O1446" i="1"/>
  <c r="P1446" i="1"/>
  <c r="O1447" i="1"/>
  <c r="P1447" i="1"/>
  <c r="O1448" i="1"/>
  <c r="P1448" i="1"/>
  <c r="O1449" i="1"/>
  <c r="P1449" i="1"/>
  <c r="O1450" i="1"/>
  <c r="P1450" i="1"/>
  <c r="O1451" i="1"/>
  <c r="P1451" i="1"/>
  <c r="O1452" i="1"/>
  <c r="P1452" i="1"/>
  <c r="O1453" i="1"/>
  <c r="P1453" i="1"/>
  <c r="O1454" i="1"/>
  <c r="P1454" i="1"/>
  <c r="O1455" i="1"/>
  <c r="P1455" i="1"/>
  <c r="O1456" i="1"/>
  <c r="P1456" i="1"/>
  <c r="O1457" i="1"/>
  <c r="P1457" i="1"/>
  <c r="O1458" i="1"/>
  <c r="P1458" i="1"/>
  <c r="O1459" i="1"/>
  <c r="P1459" i="1"/>
  <c r="O1460" i="1"/>
  <c r="P1460" i="1"/>
  <c r="O1461" i="1"/>
  <c r="P1461" i="1"/>
  <c r="O1462" i="1"/>
  <c r="P1462" i="1"/>
  <c r="O1463" i="1"/>
  <c r="P1463" i="1"/>
  <c r="O1464" i="1"/>
  <c r="P1464" i="1"/>
  <c r="O1465" i="1"/>
  <c r="P1465" i="1"/>
  <c r="O1466" i="1"/>
  <c r="P1466" i="1"/>
  <c r="O1467" i="1"/>
  <c r="P1467" i="1"/>
  <c r="O1468" i="1"/>
  <c r="P1468" i="1"/>
  <c r="O1469" i="1"/>
  <c r="P1469" i="1"/>
  <c r="O1470" i="1"/>
  <c r="P1470" i="1"/>
  <c r="O1471" i="1"/>
  <c r="P1471" i="1"/>
  <c r="O1472" i="1"/>
  <c r="P1472" i="1"/>
  <c r="O1473" i="1"/>
  <c r="P1473" i="1"/>
  <c r="O1474" i="1"/>
  <c r="P1474" i="1"/>
  <c r="O1475" i="1"/>
  <c r="P1475" i="1"/>
  <c r="O1476" i="1"/>
  <c r="P1476" i="1"/>
  <c r="O1477" i="1"/>
  <c r="P1477" i="1"/>
  <c r="O1478" i="1"/>
  <c r="P1478" i="1"/>
  <c r="O1479" i="1"/>
  <c r="P1479" i="1"/>
  <c r="O1480" i="1"/>
  <c r="P1480" i="1"/>
  <c r="O1481" i="1"/>
  <c r="P1481" i="1"/>
  <c r="O1482" i="1"/>
  <c r="P1482" i="1"/>
  <c r="O1483" i="1"/>
  <c r="P1483" i="1"/>
  <c r="O1484" i="1"/>
  <c r="P1484" i="1"/>
  <c r="O1485" i="1"/>
  <c r="P1485" i="1"/>
  <c r="O1486" i="1"/>
  <c r="P1486" i="1"/>
  <c r="O1487" i="1"/>
  <c r="P1487" i="1"/>
  <c r="O1488" i="1"/>
  <c r="P1488" i="1"/>
  <c r="O1489" i="1"/>
  <c r="P1489" i="1"/>
  <c r="O1490" i="1"/>
  <c r="P1490" i="1"/>
  <c r="O1491" i="1"/>
  <c r="P1491" i="1"/>
  <c r="O1492" i="1"/>
  <c r="P1492" i="1"/>
  <c r="O1493" i="1"/>
  <c r="P1493" i="1"/>
  <c r="O1494" i="1"/>
  <c r="P1494" i="1"/>
  <c r="O1495" i="1"/>
  <c r="P1495" i="1"/>
  <c r="O1496" i="1"/>
  <c r="P1496" i="1"/>
  <c r="O1497" i="1"/>
  <c r="P1497" i="1"/>
  <c r="O1498" i="1"/>
  <c r="P1498" i="1"/>
  <c r="O1499" i="1"/>
  <c r="P1499" i="1"/>
  <c r="O1500" i="1"/>
  <c r="P1500" i="1"/>
  <c r="O1501" i="1"/>
  <c r="P1501" i="1"/>
  <c r="O1502" i="1"/>
  <c r="P1502" i="1"/>
  <c r="O1503" i="1"/>
  <c r="P1503" i="1"/>
  <c r="O1504" i="1"/>
  <c r="P1504" i="1"/>
  <c r="O1505" i="1"/>
  <c r="P1505" i="1"/>
  <c r="O1506" i="1"/>
  <c r="P1506" i="1"/>
  <c r="O1507" i="1"/>
  <c r="P1507" i="1"/>
  <c r="O1508" i="1"/>
  <c r="P1508" i="1"/>
  <c r="O1509" i="1"/>
  <c r="P1509" i="1"/>
  <c r="O1510" i="1"/>
  <c r="P1510" i="1"/>
  <c r="O1511" i="1"/>
  <c r="P1511" i="1"/>
  <c r="O1512" i="1"/>
  <c r="P1512" i="1"/>
  <c r="O1513" i="1"/>
  <c r="P1513" i="1"/>
  <c r="O1514" i="1"/>
  <c r="P1514" i="1"/>
  <c r="O1515" i="1"/>
  <c r="P1515" i="1"/>
  <c r="O1516" i="1"/>
  <c r="P1516" i="1"/>
  <c r="O1517" i="1"/>
  <c r="P1517" i="1"/>
  <c r="O1518" i="1"/>
  <c r="P1518" i="1"/>
  <c r="O1519" i="1"/>
  <c r="P1519" i="1"/>
  <c r="O1520" i="1"/>
  <c r="P1520" i="1"/>
  <c r="O1521" i="1"/>
  <c r="P1521" i="1"/>
  <c r="O1522" i="1"/>
  <c r="P1522" i="1"/>
  <c r="O1523" i="1"/>
  <c r="P1523" i="1"/>
  <c r="O1524" i="1"/>
  <c r="P1524" i="1"/>
  <c r="O1525" i="1"/>
  <c r="P1525" i="1"/>
  <c r="O1526" i="1"/>
  <c r="P1526" i="1"/>
  <c r="O1527" i="1"/>
  <c r="P1527" i="1"/>
  <c r="O1528" i="1"/>
  <c r="P1528" i="1"/>
  <c r="O1529" i="1"/>
  <c r="P1529" i="1"/>
  <c r="O1530" i="1"/>
  <c r="P1530" i="1"/>
  <c r="O1531" i="1"/>
  <c r="P1531" i="1"/>
  <c r="O1532" i="1"/>
  <c r="P1532" i="1"/>
  <c r="O1533" i="1"/>
  <c r="P1533" i="1"/>
  <c r="O1534" i="1"/>
  <c r="P1534" i="1"/>
  <c r="O1535" i="1"/>
  <c r="P1535" i="1"/>
  <c r="O1536" i="1"/>
  <c r="P1536" i="1"/>
  <c r="O1537" i="1"/>
  <c r="P1537" i="1"/>
  <c r="O1538" i="1"/>
  <c r="P1538" i="1"/>
  <c r="O1539" i="1"/>
  <c r="P1539" i="1"/>
  <c r="O1540" i="1"/>
  <c r="P1540" i="1"/>
  <c r="O1541" i="1"/>
  <c r="P1541" i="1"/>
  <c r="O1542" i="1"/>
  <c r="P1542" i="1"/>
  <c r="O1543" i="1"/>
  <c r="P1543" i="1"/>
  <c r="O1544" i="1"/>
  <c r="P1544" i="1"/>
  <c r="O1545" i="1"/>
  <c r="P1545" i="1"/>
  <c r="O1546" i="1"/>
  <c r="P1546" i="1"/>
  <c r="O1547" i="1"/>
  <c r="P1547" i="1"/>
  <c r="O1548" i="1"/>
  <c r="P1548" i="1"/>
  <c r="O1549" i="1"/>
  <c r="P1549" i="1"/>
  <c r="O1550" i="1"/>
  <c r="P1550" i="1"/>
  <c r="O1551" i="1"/>
  <c r="P1551" i="1"/>
  <c r="O1552" i="1"/>
  <c r="P1552" i="1"/>
  <c r="O1553" i="1"/>
  <c r="P1553" i="1"/>
  <c r="O1554" i="1"/>
  <c r="P1554" i="1"/>
  <c r="O1555" i="1"/>
  <c r="P1555" i="1"/>
  <c r="O1556" i="1"/>
  <c r="P1556" i="1"/>
  <c r="O1557" i="1"/>
  <c r="P1557" i="1"/>
  <c r="O1558" i="1"/>
  <c r="P1558" i="1"/>
  <c r="O1559" i="1"/>
  <c r="P1559" i="1"/>
  <c r="O1560" i="1"/>
  <c r="P1560" i="1"/>
  <c r="O1561" i="1"/>
  <c r="P1561" i="1"/>
  <c r="O1562" i="1"/>
  <c r="P1562" i="1"/>
  <c r="O1563" i="1"/>
  <c r="P1563" i="1"/>
  <c r="O1564" i="1"/>
  <c r="P1564" i="1"/>
  <c r="O1565" i="1"/>
  <c r="P1565" i="1"/>
  <c r="O1566" i="1"/>
  <c r="P1566" i="1"/>
  <c r="O1567" i="1"/>
  <c r="P1567" i="1"/>
  <c r="O1568" i="1"/>
  <c r="P1568" i="1"/>
  <c r="O1569" i="1"/>
  <c r="P1569" i="1"/>
  <c r="O1570" i="1"/>
  <c r="P1570" i="1"/>
  <c r="O1571" i="1"/>
  <c r="P1571" i="1"/>
  <c r="O1572" i="1"/>
  <c r="P1572" i="1"/>
  <c r="O1573" i="1"/>
  <c r="P1573" i="1"/>
  <c r="O1574" i="1"/>
  <c r="P1574" i="1"/>
  <c r="O1575" i="1"/>
  <c r="P1575" i="1"/>
  <c r="O1576" i="1"/>
  <c r="P1576" i="1"/>
  <c r="O1577" i="1"/>
  <c r="P1577" i="1"/>
  <c r="O1578" i="1"/>
  <c r="P1578" i="1"/>
  <c r="O1579" i="1"/>
  <c r="P1579" i="1"/>
  <c r="O1580" i="1"/>
  <c r="P1580" i="1"/>
  <c r="O1581" i="1"/>
  <c r="P1581" i="1"/>
  <c r="O1582" i="1"/>
  <c r="P1582" i="1"/>
  <c r="O1583" i="1"/>
  <c r="P1583" i="1"/>
  <c r="O1584" i="1"/>
  <c r="P1584" i="1"/>
  <c r="O1585" i="1"/>
  <c r="P1585" i="1"/>
  <c r="O1586" i="1"/>
  <c r="P1586" i="1"/>
  <c r="O1587" i="1"/>
  <c r="P1587" i="1"/>
  <c r="O1588" i="1"/>
  <c r="P1588" i="1"/>
  <c r="O1589" i="1"/>
  <c r="P1589" i="1"/>
  <c r="O1590" i="1"/>
  <c r="P1590" i="1"/>
  <c r="O1591" i="1"/>
  <c r="P1591" i="1"/>
  <c r="O1592" i="1"/>
  <c r="P1592" i="1"/>
  <c r="O1593" i="1"/>
  <c r="P1593" i="1"/>
  <c r="O1594" i="1"/>
  <c r="P1594" i="1"/>
  <c r="O1595" i="1"/>
  <c r="P1595" i="1"/>
  <c r="O1596" i="1"/>
  <c r="P1596" i="1"/>
  <c r="O1597" i="1"/>
  <c r="P1597" i="1"/>
  <c r="O1598" i="1"/>
  <c r="P1598" i="1"/>
  <c r="O1599" i="1"/>
  <c r="P1599" i="1"/>
  <c r="O1600" i="1"/>
  <c r="P1600" i="1"/>
  <c r="O1601" i="1"/>
  <c r="P1601" i="1"/>
  <c r="O1602" i="1"/>
  <c r="P1602" i="1"/>
  <c r="O1603" i="1"/>
  <c r="P1603" i="1"/>
  <c r="O1604" i="1"/>
  <c r="P1604" i="1"/>
  <c r="P1605" i="1"/>
  <c r="O1607" i="1"/>
  <c r="P1607" i="1"/>
  <c r="O1608" i="1"/>
  <c r="P1608" i="1"/>
  <c r="O1609" i="1"/>
  <c r="P1609" i="1"/>
  <c r="O1610" i="1"/>
  <c r="P1610" i="1"/>
  <c r="O1611" i="1"/>
  <c r="P1611" i="1"/>
  <c r="O1612" i="1"/>
  <c r="P1612" i="1"/>
  <c r="O1613" i="1"/>
  <c r="P1613" i="1"/>
  <c r="O1614" i="1"/>
  <c r="P1614" i="1"/>
  <c r="O1615" i="1"/>
  <c r="P1615" i="1"/>
  <c r="O1616" i="1"/>
  <c r="P1616" i="1"/>
  <c r="O1617" i="1"/>
  <c r="P1617" i="1"/>
  <c r="O1618" i="1"/>
  <c r="P1618" i="1"/>
  <c r="O1619" i="1"/>
  <c r="P1619" i="1"/>
  <c r="O1620" i="1"/>
  <c r="P1620" i="1"/>
  <c r="O1621" i="1"/>
  <c r="P1621" i="1"/>
  <c r="O1622" i="1"/>
  <c r="P1622" i="1"/>
  <c r="O1623" i="1"/>
  <c r="P1623" i="1"/>
  <c r="O1624" i="1"/>
  <c r="P1624" i="1"/>
  <c r="O1625" i="1"/>
  <c r="P1625" i="1"/>
  <c r="O1626" i="1"/>
  <c r="P1626" i="1"/>
  <c r="O1627" i="1"/>
  <c r="P1627" i="1"/>
  <c r="O1628" i="1"/>
  <c r="P1628" i="1"/>
  <c r="O1629" i="1"/>
  <c r="P1629" i="1"/>
  <c r="O1630" i="1"/>
  <c r="P1630" i="1"/>
  <c r="O1631" i="1"/>
  <c r="P1631" i="1"/>
  <c r="O1632" i="1"/>
  <c r="P1632" i="1"/>
  <c r="O1633" i="1"/>
  <c r="P1633" i="1"/>
  <c r="O1634" i="1"/>
  <c r="P1634" i="1"/>
  <c r="O1635" i="1"/>
  <c r="P1635" i="1"/>
  <c r="O1636" i="1"/>
  <c r="P1636" i="1"/>
  <c r="O1637" i="1"/>
  <c r="P1637" i="1"/>
  <c r="O1638" i="1"/>
  <c r="P1638" i="1"/>
  <c r="O1640" i="1"/>
  <c r="P1640" i="1"/>
  <c r="O1641" i="1"/>
  <c r="P1641" i="1"/>
  <c r="O1642" i="1"/>
  <c r="P1642" i="1"/>
  <c r="O1643" i="1"/>
  <c r="P1643" i="1"/>
  <c r="O1644" i="1"/>
  <c r="P1644" i="1"/>
  <c r="O1645" i="1"/>
  <c r="P1645" i="1"/>
  <c r="O1646" i="1"/>
  <c r="P1646" i="1"/>
  <c r="O1647" i="1"/>
  <c r="P1647" i="1"/>
  <c r="O1648" i="1"/>
  <c r="P1648" i="1"/>
  <c r="O1649" i="1"/>
  <c r="P1649" i="1"/>
  <c r="O1650" i="1"/>
  <c r="P1650" i="1"/>
  <c r="O1651" i="1"/>
  <c r="P1651" i="1"/>
  <c r="O1652" i="1"/>
  <c r="P1652" i="1"/>
  <c r="O1653" i="1"/>
  <c r="P1653" i="1"/>
  <c r="O1654" i="1"/>
  <c r="P1654" i="1"/>
  <c r="O1655" i="1"/>
  <c r="P1655" i="1"/>
  <c r="O1656" i="1"/>
  <c r="P1656" i="1"/>
  <c r="O1657" i="1"/>
  <c r="P1657" i="1"/>
  <c r="O1658" i="1"/>
  <c r="P1658" i="1"/>
  <c r="O1659" i="1"/>
  <c r="P1659" i="1"/>
  <c r="O1660" i="1"/>
  <c r="P1660" i="1"/>
  <c r="O1661" i="1"/>
  <c r="P1661" i="1"/>
  <c r="O1662" i="1"/>
  <c r="P1662" i="1"/>
  <c r="O1663" i="1"/>
  <c r="P1663" i="1"/>
  <c r="O1664" i="1"/>
  <c r="P1664" i="1"/>
  <c r="O1665" i="1"/>
  <c r="P1665" i="1"/>
  <c r="O1666" i="1"/>
  <c r="P1666" i="1"/>
  <c r="O1667" i="1"/>
  <c r="P1667" i="1"/>
  <c r="O1668" i="1"/>
  <c r="P1668" i="1"/>
  <c r="O1669" i="1"/>
  <c r="P1669" i="1"/>
  <c r="O1670" i="1"/>
  <c r="P1670" i="1"/>
  <c r="O1671" i="1"/>
  <c r="P1671" i="1"/>
  <c r="O1672" i="1"/>
  <c r="P1672" i="1"/>
  <c r="O1673" i="1"/>
  <c r="P1673" i="1"/>
  <c r="O1674" i="1"/>
  <c r="P1674" i="1"/>
  <c r="O1675" i="1"/>
  <c r="P1675" i="1"/>
  <c r="O1676" i="1"/>
  <c r="P1676" i="1"/>
  <c r="O1677" i="1"/>
  <c r="P1677" i="1"/>
  <c r="O1678" i="1"/>
  <c r="P1678" i="1"/>
  <c r="O1679" i="1"/>
  <c r="P1679" i="1"/>
  <c r="O1680" i="1"/>
  <c r="P1680" i="1"/>
  <c r="O1681" i="1"/>
  <c r="P1681" i="1"/>
  <c r="O1682" i="1"/>
  <c r="P1682" i="1"/>
  <c r="O1683" i="1"/>
  <c r="P1683" i="1"/>
  <c r="O1684" i="1"/>
  <c r="P1684" i="1"/>
  <c r="O1685" i="1"/>
  <c r="P1685" i="1"/>
  <c r="O1686" i="1"/>
  <c r="P1686" i="1"/>
  <c r="O1687" i="1"/>
  <c r="P1687" i="1"/>
  <c r="O1688" i="1"/>
  <c r="P1688" i="1"/>
  <c r="O1689" i="1"/>
  <c r="P1689" i="1"/>
  <c r="O1690" i="1"/>
  <c r="P1690" i="1"/>
  <c r="O1691" i="1"/>
  <c r="P1691" i="1"/>
  <c r="O1692" i="1"/>
  <c r="P1692" i="1"/>
  <c r="O1693" i="1"/>
  <c r="P1693" i="1"/>
  <c r="O1694" i="1"/>
  <c r="P1694" i="1"/>
  <c r="O1695" i="1"/>
  <c r="P1695" i="1"/>
  <c r="O1696" i="1"/>
  <c r="P1696" i="1"/>
  <c r="O1697" i="1"/>
  <c r="P1697" i="1"/>
  <c r="O1698" i="1"/>
  <c r="P1698" i="1"/>
  <c r="O1699" i="1"/>
  <c r="P1699" i="1"/>
  <c r="O1700" i="1"/>
  <c r="P1700" i="1"/>
  <c r="O1702" i="1"/>
  <c r="P1702" i="1"/>
  <c r="O1703" i="1"/>
  <c r="P1703" i="1"/>
  <c r="O1704" i="1"/>
  <c r="P1704" i="1"/>
  <c r="O1705" i="1"/>
  <c r="P1705" i="1"/>
  <c r="O1706" i="1"/>
  <c r="P1706" i="1"/>
  <c r="O1707" i="1"/>
  <c r="P1707" i="1"/>
  <c r="O1708" i="1"/>
  <c r="P1708" i="1"/>
  <c r="O1709" i="1"/>
  <c r="P1709" i="1"/>
  <c r="O1710" i="1"/>
  <c r="P1710" i="1"/>
  <c r="O1711" i="1"/>
  <c r="P1711" i="1"/>
  <c r="O1712" i="1"/>
  <c r="P1712" i="1"/>
  <c r="O1713" i="1"/>
  <c r="P1713" i="1"/>
  <c r="O1714" i="1"/>
  <c r="P1714" i="1"/>
  <c r="O1715" i="1"/>
  <c r="P1715" i="1"/>
  <c r="O1716" i="1"/>
  <c r="P1716" i="1"/>
  <c r="O1717" i="1"/>
  <c r="P1717" i="1"/>
  <c r="O1718" i="1"/>
  <c r="P1718" i="1"/>
  <c r="O1719" i="1"/>
  <c r="P1719" i="1"/>
  <c r="O1720" i="1"/>
  <c r="P1720" i="1"/>
  <c r="O1721" i="1"/>
  <c r="P1721" i="1"/>
  <c r="O1722" i="1"/>
  <c r="P1722" i="1"/>
  <c r="O1723" i="1"/>
  <c r="P1723" i="1"/>
  <c r="O1724" i="1"/>
  <c r="P1724" i="1"/>
  <c r="O1725" i="1"/>
  <c r="P1725" i="1"/>
  <c r="O1726" i="1"/>
  <c r="P1726" i="1"/>
  <c r="O1727" i="1"/>
  <c r="P1727" i="1"/>
  <c r="O1728" i="1"/>
  <c r="P1728" i="1"/>
  <c r="O1729" i="1"/>
  <c r="P1729" i="1"/>
  <c r="O1730" i="1"/>
  <c r="P1730" i="1"/>
  <c r="O1731" i="1"/>
  <c r="P1731" i="1"/>
  <c r="O1732" i="1"/>
  <c r="P1732" i="1"/>
  <c r="O1733" i="1"/>
  <c r="P1733" i="1"/>
  <c r="O1735" i="1"/>
  <c r="P1735" i="1"/>
  <c r="P1736" i="1"/>
  <c r="O1737" i="1"/>
  <c r="P1737" i="1"/>
  <c r="O1738" i="1"/>
  <c r="P1738" i="1"/>
  <c r="O1739" i="1"/>
  <c r="P1739" i="1"/>
  <c r="O1740" i="1"/>
  <c r="P1740" i="1"/>
  <c r="O1741" i="1"/>
  <c r="P1741" i="1"/>
  <c r="O1742" i="1"/>
  <c r="P1742" i="1"/>
  <c r="O1743" i="1"/>
  <c r="P1743" i="1"/>
  <c r="P1744" i="1"/>
  <c r="O1745" i="1"/>
  <c r="P1745" i="1"/>
  <c r="P1746" i="1"/>
  <c r="O1747" i="1"/>
  <c r="P1747" i="1"/>
  <c r="O1748" i="1"/>
  <c r="P1748" i="1"/>
  <c r="O1749" i="1"/>
  <c r="P1749" i="1"/>
  <c r="O1750" i="1"/>
  <c r="P1750" i="1"/>
  <c r="O1751" i="1"/>
  <c r="P1751" i="1"/>
  <c r="O1752" i="1"/>
  <c r="P1752" i="1"/>
  <c r="O1753" i="1"/>
  <c r="P1753" i="1"/>
  <c r="O1754" i="1"/>
  <c r="P1754" i="1"/>
  <c r="O1755" i="1"/>
  <c r="P1755" i="1"/>
  <c r="O1756" i="1"/>
  <c r="P1756" i="1"/>
  <c r="O1757" i="1"/>
  <c r="P1757" i="1"/>
  <c r="O1758" i="1"/>
  <c r="P1758" i="1"/>
  <c r="O1759" i="1"/>
  <c r="P1759" i="1"/>
  <c r="O1760" i="1"/>
  <c r="P1760" i="1"/>
  <c r="O1761" i="1"/>
  <c r="P1761" i="1"/>
  <c r="O1762" i="1"/>
  <c r="P1762" i="1"/>
  <c r="O1763" i="1"/>
  <c r="P1763" i="1"/>
  <c r="O1764" i="1"/>
  <c r="P1764" i="1"/>
  <c r="O1765" i="1"/>
  <c r="P1765" i="1"/>
  <c r="O1766" i="1"/>
  <c r="P1766" i="1"/>
  <c r="O1767" i="1"/>
  <c r="P1767" i="1"/>
  <c r="O1768" i="1"/>
  <c r="P1768" i="1"/>
  <c r="O1769" i="1"/>
  <c r="P1769" i="1"/>
  <c r="O1770" i="1"/>
  <c r="P1770" i="1"/>
  <c r="O1771" i="1"/>
  <c r="P1771" i="1"/>
  <c r="P1772" i="1"/>
  <c r="O1773" i="1"/>
  <c r="P1773" i="1"/>
  <c r="P1774" i="1"/>
  <c r="O1775" i="1"/>
  <c r="P1775" i="1"/>
  <c r="O1776" i="1"/>
  <c r="P1776" i="1"/>
  <c r="O1777" i="1"/>
  <c r="P1777" i="1"/>
  <c r="O1778" i="1"/>
  <c r="P1778" i="1"/>
  <c r="O1779" i="1"/>
  <c r="P1779" i="1"/>
  <c r="O1780" i="1"/>
  <c r="P1780" i="1"/>
  <c r="O1781" i="1"/>
  <c r="P1781" i="1"/>
  <c r="O1782" i="1"/>
  <c r="P1782" i="1"/>
  <c r="O1783" i="1"/>
  <c r="P1783" i="1"/>
  <c r="O1784" i="1"/>
  <c r="P1784" i="1"/>
  <c r="O1785" i="1"/>
  <c r="P1785" i="1"/>
  <c r="O1786" i="1"/>
  <c r="P1786" i="1"/>
  <c r="O1787" i="1"/>
  <c r="P1787" i="1"/>
  <c r="O1788" i="1"/>
  <c r="P1788" i="1"/>
  <c r="O1789" i="1"/>
  <c r="P1789" i="1"/>
  <c r="O1790" i="1"/>
  <c r="P1790" i="1"/>
  <c r="O1791" i="1"/>
  <c r="P1791" i="1"/>
  <c r="O1792" i="1"/>
  <c r="P1792" i="1"/>
  <c r="O1793" i="1"/>
  <c r="P1793" i="1"/>
  <c r="O1794" i="1"/>
  <c r="P1794" i="1"/>
  <c r="O1795" i="1"/>
  <c r="P1795" i="1"/>
  <c r="O1796" i="1"/>
  <c r="P1796" i="1"/>
  <c r="O1797" i="1"/>
  <c r="P1797" i="1"/>
  <c r="O1798" i="1"/>
  <c r="P1798" i="1"/>
  <c r="O1799" i="1"/>
  <c r="P1799" i="1"/>
  <c r="O1800" i="1"/>
  <c r="P1800" i="1"/>
  <c r="O1801" i="1"/>
  <c r="P1801" i="1"/>
  <c r="O1802" i="1"/>
  <c r="P1802" i="1"/>
  <c r="O1803" i="1"/>
  <c r="P1803" i="1"/>
  <c r="O1804" i="1"/>
  <c r="P1804" i="1"/>
  <c r="O1805" i="1"/>
  <c r="P1805" i="1"/>
  <c r="O1806" i="1"/>
  <c r="P1806" i="1"/>
  <c r="O1807" i="1"/>
  <c r="P1807" i="1"/>
  <c r="O1808" i="1"/>
  <c r="P1808" i="1"/>
  <c r="O1809" i="1"/>
  <c r="P1809" i="1"/>
  <c r="O1810" i="1"/>
  <c r="P1810" i="1"/>
  <c r="O1811" i="1"/>
  <c r="P1811" i="1"/>
  <c r="O1812" i="1"/>
  <c r="P1812" i="1"/>
  <c r="O1813" i="1"/>
  <c r="P1813" i="1"/>
  <c r="O1814" i="1"/>
  <c r="P1814" i="1"/>
  <c r="O1815" i="1"/>
  <c r="P1815" i="1"/>
  <c r="O1816" i="1"/>
  <c r="P1816" i="1"/>
  <c r="O1817" i="1"/>
  <c r="P1817" i="1"/>
  <c r="O1818" i="1"/>
  <c r="P1818" i="1"/>
  <c r="O1819" i="1"/>
  <c r="P1819" i="1"/>
  <c r="O1820" i="1"/>
  <c r="P1820" i="1"/>
  <c r="O1821" i="1"/>
  <c r="P1821" i="1"/>
  <c r="O1822" i="1"/>
  <c r="P1822" i="1"/>
  <c r="O1823" i="1"/>
  <c r="P1823" i="1"/>
  <c r="O1824" i="1"/>
  <c r="P1824" i="1"/>
  <c r="O1825" i="1"/>
  <c r="P1825" i="1"/>
  <c r="O1826" i="1"/>
  <c r="P1826" i="1"/>
  <c r="O1827" i="1"/>
  <c r="P1827" i="1"/>
  <c r="O1828" i="1"/>
  <c r="P1828" i="1"/>
  <c r="O1829" i="1"/>
  <c r="P1829" i="1"/>
  <c r="O1830" i="1"/>
  <c r="P1830" i="1"/>
  <c r="O1831" i="1"/>
  <c r="P1831" i="1"/>
  <c r="O1832" i="1"/>
  <c r="P1832" i="1"/>
  <c r="O1833" i="1"/>
  <c r="P1833" i="1"/>
  <c r="O1834" i="1"/>
  <c r="P1834" i="1"/>
  <c r="O1835" i="1"/>
  <c r="P1835" i="1"/>
  <c r="O1836" i="1"/>
  <c r="P1836" i="1"/>
  <c r="O1837" i="1"/>
  <c r="P1837" i="1"/>
  <c r="O1838" i="1"/>
  <c r="P1838" i="1"/>
  <c r="O1839" i="1"/>
  <c r="P1839" i="1"/>
  <c r="O1840" i="1"/>
  <c r="P1840" i="1"/>
  <c r="O1841" i="1"/>
  <c r="P1841" i="1"/>
  <c r="O1842" i="1"/>
  <c r="P1842" i="1"/>
  <c r="O1843" i="1"/>
  <c r="P1843" i="1"/>
  <c r="O1844" i="1"/>
  <c r="P1844" i="1"/>
  <c r="O1845" i="1"/>
  <c r="P1845" i="1"/>
  <c r="O1846" i="1"/>
  <c r="P1846" i="1"/>
  <c r="O1847" i="1"/>
  <c r="P1847" i="1"/>
  <c r="O1848" i="1"/>
  <c r="P1848" i="1"/>
  <c r="O1849" i="1"/>
  <c r="P1849" i="1"/>
  <c r="O1850" i="1"/>
  <c r="P1850" i="1"/>
  <c r="O1851" i="1"/>
  <c r="P1851" i="1"/>
  <c r="O1852" i="1"/>
  <c r="P1852" i="1"/>
  <c r="O1853" i="1"/>
  <c r="P1853" i="1"/>
  <c r="O1854" i="1"/>
  <c r="P1854" i="1"/>
  <c r="O1855" i="1"/>
  <c r="P1855" i="1"/>
  <c r="O1856" i="1"/>
  <c r="P1856" i="1"/>
  <c r="O1857" i="1"/>
  <c r="P1857" i="1"/>
  <c r="O1858" i="1"/>
  <c r="P1858" i="1"/>
  <c r="O1859" i="1"/>
  <c r="P1859" i="1"/>
  <c r="O1860" i="1"/>
  <c r="P1860" i="1"/>
  <c r="O1861" i="1"/>
  <c r="P1861" i="1"/>
  <c r="P1862" i="1"/>
  <c r="O1863" i="1"/>
  <c r="P1863" i="1"/>
  <c r="O1864" i="1"/>
  <c r="P1864" i="1"/>
  <c r="O1865" i="1"/>
  <c r="P1865" i="1"/>
  <c r="O1866" i="1"/>
  <c r="P1866" i="1"/>
  <c r="O1867" i="1"/>
  <c r="P1867" i="1"/>
  <c r="O1868" i="1"/>
  <c r="P1868" i="1"/>
  <c r="O1869" i="1"/>
  <c r="P1869" i="1"/>
  <c r="P1870" i="1"/>
  <c r="O1871" i="1"/>
  <c r="P1871" i="1"/>
  <c r="O1872" i="1"/>
  <c r="P1872" i="1"/>
  <c r="O1873" i="1"/>
  <c r="P1873" i="1"/>
  <c r="O1874" i="1"/>
  <c r="P1874" i="1"/>
  <c r="O1875" i="1"/>
  <c r="P1875" i="1"/>
  <c r="O1876" i="1"/>
  <c r="P1876" i="1"/>
  <c r="O1877" i="1"/>
  <c r="P1877" i="1"/>
  <c r="P1878" i="1"/>
  <c r="O1879" i="1"/>
  <c r="P1879" i="1"/>
  <c r="O1880" i="1"/>
  <c r="P1880" i="1"/>
  <c r="O1881" i="1"/>
  <c r="P1881" i="1"/>
  <c r="O1882" i="1"/>
  <c r="P1882" i="1"/>
  <c r="O1883" i="1"/>
  <c r="P1883" i="1"/>
  <c r="O1884" i="1"/>
  <c r="P1884" i="1"/>
  <c r="O1885" i="1"/>
  <c r="P1885" i="1"/>
  <c r="O1886" i="1"/>
  <c r="P1886" i="1"/>
  <c r="O1887" i="1"/>
  <c r="P1887" i="1"/>
  <c r="O1888" i="1"/>
  <c r="P1888" i="1"/>
  <c r="O1889" i="1"/>
  <c r="P1889" i="1"/>
  <c r="O1890" i="1"/>
  <c r="P1890" i="1"/>
  <c r="O1891" i="1"/>
  <c r="P1891" i="1"/>
  <c r="O1892" i="1"/>
  <c r="P1892" i="1"/>
  <c r="O1893" i="1"/>
  <c r="P1893" i="1"/>
  <c r="O1894" i="1"/>
  <c r="P1894" i="1"/>
  <c r="O1895" i="1"/>
  <c r="P1895" i="1"/>
  <c r="O1896" i="1"/>
  <c r="P1896" i="1"/>
  <c r="O1897" i="1"/>
  <c r="P1897" i="1"/>
  <c r="O1898" i="1"/>
  <c r="P1898" i="1"/>
  <c r="O1899" i="1"/>
  <c r="P1899" i="1"/>
  <c r="O1900" i="1"/>
  <c r="P1900" i="1"/>
  <c r="O1901" i="1"/>
  <c r="P1901" i="1"/>
  <c r="O1902" i="1"/>
  <c r="P1902" i="1"/>
  <c r="O1903" i="1"/>
  <c r="P1903" i="1"/>
  <c r="O1904" i="1"/>
  <c r="P1904" i="1"/>
  <c r="O1905" i="1"/>
  <c r="P1905" i="1"/>
  <c r="O1906" i="1"/>
  <c r="P1906" i="1"/>
  <c r="O1907" i="1"/>
  <c r="P1907" i="1"/>
  <c r="O1908" i="1"/>
  <c r="P1908" i="1"/>
  <c r="O1909" i="1"/>
  <c r="P1909" i="1"/>
  <c r="O1910" i="1"/>
  <c r="P1910" i="1"/>
  <c r="O1911" i="1"/>
  <c r="P1911" i="1"/>
  <c r="O1912" i="1"/>
  <c r="P1912" i="1"/>
  <c r="O1913" i="1"/>
  <c r="P1913" i="1"/>
  <c r="O1914" i="1"/>
  <c r="P1914" i="1"/>
  <c r="O1915" i="1"/>
  <c r="P1915" i="1"/>
  <c r="O1916" i="1"/>
  <c r="P1916" i="1"/>
  <c r="O1917" i="1"/>
  <c r="P1917" i="1"/>
  <c r="O1918" i="1"/>
  <c r="P1918" i="1"/>
  <c r="O1919" i="1"/>
  <c r="P1919" i="1"/>
  <c r="O1920" i="1"/>
  <c r="P1920" i="1"/>
  <c r="O1921" i="1"/>
  <c r="P1921" i="1"/>
  <c r="O1922" i="1"/>
  <c r="P1922" i="1"/>
  <c r="O1923" i="1"/>
  <c r="P1923" i="1"/>
  <c r="O1924" i="1"/>
  <c r="P1924" i="1"/>
  <c r="O1925" i="1"/>
  <c r="P1925" i="1"/>
  <c r="O1926" i="1"/>
  <c r="P1926" i="1"/>
  <c r="O1927" i="1"/>
  <c r="P1927" i="1"/>
  <c r="O1928" i="1"/>
  <c r="P1928" i="1"/>
  <c r="O1929" i="1"/>
  <c r="P1929" i="1"/>
  <c r="O1930" i="1"/>
  <c r="P1930" i="1"/>
  <c r="O1931" i="1"/>
  <c r="P1931" i="1"/>
  <c r="O1932" i="1"/>
  <c r="P1932" i="1"/>
  <c r="O1933" i="1"/>
  <c r="P1933" i="1"/>
  <c r="O1934" i="1"/>
  <c r="P1934" i="1"/>
  <c r="O1935" i="1"/>
  <c r="P1935" i="1"/>
  <c r="O1936" i="1"/>
  <c r="P1936" i="1"/>
  <c r="O1937" i="1"/>
  <c r="P1937" i="1"/>
  <c r="O1938" i="1"/>
  <c r="P1938" i="1"/>
  <c r="O1939" i="1"/>
  <c r="P1939" i="1"/>
  <c r="O1940" i="1"/>
  <c r="P1940" i="1"/>
  <c r="O1941" i="1"/>
  <c r="P1941" i="1"/>
  <c r="O1942" i="1"/>
  <c r="P1942" i="1"/>
  <c r="O1943" i="1"/>
  <c r="P1943" i="1"/>
  <c r="O1944" i="1"/>
  <c r="P1944" i="1"/>
  <c r="O1945" i="1"/>
  <c r="P1945" i="1"/>
  <c r="O1946" i="1"/>
  <c r="P1946" i="1"/>
  <c r="O1947" i="1"/>
  <c r="P1947" i="1"/>
  <c r="O1948" i="1"/>
  <c r="P1948" i="1"/>
  <c r="O1949" i="1"/>
  <c r="P1949" i="1"/>
  <c r="O1950" i="1"/>
  <c r="P1950" i="1"/>
  <c r="O1951" i="1"/>
  <c r="P1951" i="1"/>
  <c r="O1952" i="1"/>
  <c r="P1952" i="1"/>
  <c r="O1953" i="1"/>
  <c r="P1953" i="1"/>
  <c r="P1954" i="1"/>
  <c r="O1955" i="1"/>
  <c r="P1955" i="1"/>
  <c r="O1956" i="1"/>
  <c r="P1956" i="1"/>
  <c r="O1957" i="1"/>
  <c r="P1957" i="1"/>
  <c r="O1958" i="1"/>
  <c r="P1958" i="1"/>
  <c r="O1959" i="1"/>
  <c r="P1959" i="1"/>
  <c r="O1960" i="1"/>
  <c r="P1960" i="1"/>
  <c r="O1961" i="1"/>
  <c r="P1961" i="1"/>
  <c r="P1962" i="1"/>
  <c r="O1963" i="1"/>
  <c r="P1963" i="1"/>
  <c r="O1964" i="1"/>
  <c r="P1964" i="1"/>
  <c r="O1965" i="1"/>
  <c r="P1965" i="1"/>
  <c r="O1966" i="1"/>
  <c r="P1966" i="1"/>
  <c r="O1967" i="1"/>
  <c r="P1967" i="1"/>
  <c r="O1968" i="1"/>
  <c r="P1968" i="1"/>
  <c r="O1969" i="1"/>
  <c r="P1969" i="1"/>
  <c r="O1970" i="1"/>
  <c r="P1970" i="1"/>
  <c r="O1971" i="1"/>
  <c r="P1971" i="1"/>
  <c r="O1972" i="1"/>
  <c r="P1972" i="1"/>
  <c r="O1973" i="1"/>
  <c r="P1973" i="1"/>
  <c r="P1974" i="1"/>
  <c r="O1975" i="1"/>
  <c r="P1975" i="1"/>
  <c r="O1976" i="1"/>
  <c r="P1976" i="1"/>
  <c r="O1977" i="1"/>
  <c r="P1977" i="1"/>
  <c r="O1978" i="1"/>
  <c r="P1978" i="1"/>
  <c r="O1979" i="1"/>
  <c r="P1979" i="1"/>
  <c r="O1980" i="1"/>
  <c r="P1980" i="1"/>
  <c r="O1981" i="1"/>
  <c r="P1981" i="1"/>
  <c r="P1982" i="1"/>
  <c r="O1983" i="1"/>
  <c r="P1983" i="1"/>
  <c r="O1984" i="1"/>
  <c r="P1984" i="1"/>
  <c r="O1985" i="1"/>
  <c r="P1985" i="1"/>
  <c r="O1986" i="1"/>
  <c r="P1986" i="1"/>
  <c r="O1987" i="1"/>
  <c r="P1987" i="1"/>
  <c r="O1988" i="1"/>
  <c r="P1988" i="1"/>
  <c r="O1989" i="1"/>
  <c r="P1989" i="1"/>
  <c r="P1990" i="1"/>
  <c r="O1991" i="1"/>
  <c r="P1991" i="1"/>
  <c r="O1992" i="1"/>
  <c r="P1992" i="1"/>
  <c r="O1993" i="1"/>
  <c r="P1993" i="1"/>
  <c r="O1994" i="1"/>
  <c r="P1994" i="1"/>
  <c r="O1995" i="1"/>
  <c r="P1995" i="1"/>
  <c r="O1996" i="1"/>
  <c r="P1996" i="1"/>
  <c r="O1997" i="1"/>
  <c r="P1997" i="1"/>
  <c r="O1998" i="1"/>
  <c r="P1998" i="1"/>
  <c r="O1999" i="1"/>
  <c r="P1999" i="1"/>
  <c r="O2000" i="1"/>
  <c r="P2000" i="1"/>
  <c r="O2001" i="1"/>
  <c r="P2001" i="1"/>
  <c r="P2002" i="1"/>
  <c r="O2003" i="1"/>
  <c r="P2003" i="1"/>
  <c r="O2004" i="1"/>
  <c r="P2004" i="1"/>
  <c r="O2005" i="1"/>
  <c r="P2005" i="1"/>
  <c r="O2006" i="1"/>
  <c r="P2006" i="1"/>
  <c r="O2007" i="1"/>
  <c r="P2007" i="1"/>
  <c r="O2008" i="1"/>
  <c r="P2008" i="1"/>
  <c r="O2009" i="1"/>
  <c r="P2009" i="1"/>
  <c r="O2010" i="1"/>
  <c r="P2010" i="1"/>
  <c r="O2011" i="1"/>
  <c r="P2011" i="1"/>
  <c r="O2012" i="1"/>
  <c r="P2012" i="1"/>
  <c r="O2013" i="1"/>
  <c r="P2013" i="1"/>
  <c r="O2014" i="1"/>
  <c r="P2014" i="1"/>
  <c r="O2015" i="1"/>
  <c r="P2015" i="1"/>
  <c r="O2016" i="1"/>
  <c r="P2016" i="1"/>
  <c r="O2017" i="1"/>
  <c r="P2017" i="1"/>
  <c r="O2018" i="1"/>
  <c r="P2018" i="1"/>
  <c r="O2019" i="1"/>
  <c r="P2019" i="1"/>
  <c r="O2020" i="1"/>
  <c r="P2020" i="1"/>
  <c r="O2021" i="1"/>
  <c r="P2021" i="1"/>
  <c r="O2022" i="1"/>
  <c r="P2022" i="1"/>
  <c r="O2023" i="1"/>
  <c r="P2023" i="1"/>
  <c r="O2024" i="1"/>
  <c r="P2024" i="1"/>
  <c r="O2025" i="1"/>
  <c r="P2025" i="1"/>
  <c r="O2026" i="1"/>
  <c r="P2026" i="1"/>
  <c r="O2027" i="1"/>
  <c r="P2027" i="1"/>
  <c r="O2028" i="1"/>
  <c r="P2028" i="1"/>
  <c r="O2029" i="1"/>
  <c r="P2029" i="1"/>
  <c r="O2030" i="1"/>
  <c r="P2030" i="1"/>
  <c r="O2031" i="1"/>
  <c r="P2031" i="1"/>
  <c r="O2032" i="1"/>
  <c r="P2032" i="1"/>
  <c r="O2033" i="1"/>
  <c r="P2033" i="1"/>
  <c r="P2034" i="1"/>
  <c r="O2035" i="1"/>
  <c r="P2035" i="1"/>
  <c r="O2036" i="1"/>
  <c r="P2036" i="1"/>
  <c r="O2037" i="1"/>
  <c r="P2037" i="1"/>
  <c r="O2038" i="1"/>
  <c r="P2038" i="1"/>
  <c r="O2039" i="1"/>
  <c r="P2039" i="1"/>
  <c r="O2040" i="1"/>
  <c r="P2040" i="1"/>
  <c r="O2041" i="1"/>
  <c r="P2041" i="1"/>
  <c r="O2042" i="1"/>
  <c r="P2042" i="1"/>
  <c r="O2043" i="1"/>
  <c r="P2043" i="1"/>
  <c r="O2044" i="1"/>
  <c r="P2044" i="1"/>
  <c r="O2045" i="1"/>
  <c r="P2045" i="1"/>
  <c r="O2046" i="1"/>
  <c r="P2046" i="1"/>
  <c r="O2047" i="1"/>
  <c r="P2047" i="1"/>
  <c r="O2048" i="1"/>
  <c r="P2048" i="1"/>
  <c r="O2049" i="1"/>
  <c r="P2049" i="1"/>
  <c r="O2050" i="1"/>
  <c r="P2050" i="1"/>
  <c r="O2051" i="1"/>
  <c r="P2051" i="1"/>
  <c r="O2052" i="1"/>
  <c r="P2052" i="1"/>
  <c r="O2053" i="1"/>
  <c r="P2053" i="1"/>
  <c r="O2054" i="1"/>
  <c r="P2054" i="1"/>
  <c r="O2055" i="1"/>
  <c r="P2055" i="1"/>
  <c r="O2056" i="1"/>
  <c r="P2056" i="1"/>
  <c r="O2057" i="1"/>
  <c r="P2057" i="1"/>
  <c r="O2058" i="1"/>
  <c r="P2058" i="1"/>
  <c r="O2059" i="1"/>
  <c r="P2059" i="1"/>
  <c r="O2060" i="1"/>
  <c r="P2060" i="1"/>
  <c r="O2061" i="1"/>
  <c r="P2061" i="1"/>
  <c r="O2062" i="1"/>
  <c r="P2062" i="1"/>
  <c r="O2063" i="1"/>
  <c r="P2063" i="1"/>
  <c r="O2064" i="1"/>
  <c r="P2064" i="1"/>
  <c r="O2065" i="1"/>
  <c r="P2065" i="1"/>
  <c r="O2066" i="1"/>
  <c r="P2066" i="1"/>
  <c r="O2067" i="1"/>
  <c r="P2067" i="1"/>
  <c r="O2068" i="1"/>
  <c r="P2068" i="1"/>
  <c r="O2069" i="1"/>
  <c r="P2069" i="1"/>
  <c r="O2070" i="1"/>
  <c r="P2070" i="1"/>
  <c r="O2071" i="1"/>
  <c r="P2071" i="1"/>
  <c r="O2072" i="1"/>
  <c r="P2072" i="1"/>
  <c r="O2073" i="1"/>
  <c r="P2073" i="1"/>
  <c r="O2074" i="1"/>
  <c r="P2074" i="1"/>
  <c r="O2075" i="1"/>
  <c r="P2075" i="1"/>
  <c r="O2076" i="1"/>
  <c r="P2076" i="1"/>
  <c r="O2077" i="1"/>
  <c r="P2077" i="1"/>
  <c r="O2078" i="1"/>
  <c r="P2078" i="1"/>
  <c r="O2079" i="1"/>
  <c r="P2079" i="1"/>
  <c r="O2080" i="1"/>
  <c r="P2080" i="1"/>
  <c r="O2081" i="1"/>
  <c r="P2081" i="1"/>
  <c r="O2082" i="1"/>
  <c r="P2082" i="1"/>
  <c r="O2083" i="1"/>
  <c r="P2083" i="1"/>
  <c r="O2084" i="1"/>
  <c r="P2084" i="1"/>
  <c r="O2085" i="1"/>
  <c r="P2085" i="1"/>
  <c r="O2086" i="1"/>
  <c r="P2086" i="1"/>
  <c r="O2087" i="1"/>
  <c r="P2087" i="1"/>
  <c r="O2088" i="1"/>
  <c r="P2088" i="1"/>
  <c r="O2089" i="1"/>
  <c r="P2089" i="1"/>
  <c r="O2090" i="1"/>
  <c r="P2090" i="1"/>
  <c r="O2091" i="1"/>
  <c r="P2091" i="1"/>
  <c r="O2092" i="1"/>
  <c r="P2092" i="1"/>
  <c r="O2093" i="1"/>
  <c r="P2093" i="1"/>
  <c r="O2094" i="1"/>
  <c r="P2094" i="1"/>
  <c r="O2095" i="1"/>
  <c r="P2095" i="1"/>
  <c r="O2096" i="1"/>
  <c r="P2096" i="1"/>
  <c r="O2097" i="1"/>
  <c r="P2097" i="1"/>
  <c r="O2098" i="1"/>
  <c r="P2098" i="1"/>
  <c r="O2099" i="1"/>
  <c r="P2099" i="1"/>
  <c r="O2100" i="1"/>
  <c r="P2100" i="1"/>
  <c r="O2101" i="1"/>
  <c r="P2101" i="1"/>
  <c r="O2102" i="1"/>
  <c r="P2102" i="1"/>
  <c r="O2103" i="1"/>
  <c r="P2103" i="1"/>
  <c r="O2104" i="1"/>
  <c r="P2104" i="1"/>
  <c r="O2105" i="1"/>
  <c r="P2105" i="1"/>
  <c r="O2106" i="1"/>
  <c r="P2106" i="1"/>
  <c r="O2107" i="1"/>
  <c r="P2107" i="1"/>
  <c r="O2108" i="1"/>
  <c r="P2108" i="1"/>
  <c r="O2109" i="1"/>
  <c r="P2109" i="1"/>
  <c r="O2110" i="1"/>
  <c r="P2110" i="1"/>
  <c r="O2111" i="1"/>
  <c r="P2111" i="1"/>
  <c r="O2112" i="1"/>
  <c r="P2112" i="1"/>
  <c r="O2113" i="1"/>
  <c r="P2113" i="1"/>
  <c r="O2114" i="1"/>
  <c r="P2114" i="1"/>
  <c r="O2115" i="1"/>
  <c r="P2115" i="1"/>
  <c r="O2116" i="1"/>
  <c r="P2116" i="1"/>
  <c r="O2117" i="1"/>
  <c r="P2117" i="1"/>
  <c r="O2118" i="1"/>
  <c r="P2118" i="1"/>
  <c r="O2119" i="1"/>
  <c r="P2119" i="1"/>
  <c r="O2120" i="1"/>
  <c r="P2120" i="1"/>
  <c r="O2121" i="1"/>
  <c r="P2121" i="1"/>
  <c r="O2122" i="1"/>
  <c r="P2122" i="1"/>
  <c r="O2123" i="1"/>
  <c r="P2123" i="1"/>
  <c r="O2124" i="1"/>
  <c r="P2124" i="1"/>
  <c r="O2125" i="1"/>
  <c r="P2125" i="1"/>
  <c r="O2126" i="1"/>
  <c r="P2126" i="1"/>
  <c r="O2127" i="1"/>
  <c r="P2127" i="1"/>
  <c r="O2128" i="1"/>
  <c r="P2128" i="1"/>
  <c r="O2129" i="1"/>
  <c r="P2129" i="1"/>
  <c r="O2130" i="1"/>
  <c r="P2130" i="1"/>
  <c r="O2131" i="1"/>
  <c r="P2131" i="1"/>
  <c r="O2132" i="1"/>
  <c r="P2132" i="1"/>
  <c r="O2133" i="1"/>
  <c r="P2133" i="1"/>
  <c r="O2134" i="1"/>
  <c r="P2134" i="1"/>
  <c r="O2135" i="1"/>
  <c r="P2135" i="1"/>
  <c r="O2136" i="1"/>
  <c r="P2136" i="1"/>
  <c r="O2137" i="1"/>
  <c r="P2137" i="1"/>
  <c r="O2138" i="1"/>
  <c r="P2138" i="1"/>
  <c r="O2139" i="1"/>
  <c r="P2139" i="1"/>
  <c r="O2140" i="1"/>
  <c r="P2140" i="1"/>
  <c r="P2141" i="1"/>
  <c r="O2142" i="1"/>
  <c r="P2142" i="1"/>
  <c r="O2143" i="1"/>
  <c r="P2143" i="1"/>
  <c r="O2144" i="1"/>
  <c r="P2144" i="1"/>
  <c r="O2145" i="1"/>
  <c r="P2145" i="1"/>
  <c r="O2146" i="1"/>
  <c r="P2146" i="1"/>
  <c r="O2147" i="1"/>
  <c r="P2147" i="1"/>
  <c r="O2148" i="1"/>
  <c r="P2148" i="1"/>
  <c r="O2149" i="1"/>
  <c r="P2149" i="1"/>
  <c r="O2150" i="1"/>
  <c r="P2150" i="1"/>
  <c r="O2151" i="1"/>
  <c r="P2151" i="1"/>
  <c r="O2152" i="1"/>
  <c r="P2152" i="1"/>
  <c r="O2153" i="1"/>
  <c r="P2153" i="1"/>
  <c r="O2154" i="1"/>
  <c r="P2154" i="1"/>
  <c r="O2155" i="1"/>
  <c r="P2155" i="1"/>
  <c r="O2156" i="1"/>
  <c r="P2156" i="1"/>
  <c r="O2157" i="1"/>
  <c r="P2157" i="1"/>
  <c r="O2158" i="1"/>
  <c r="P2158" i="1"/>
  <c r="O2159" i="1"/>
  <c r="P2159" i="1"/>
  <c r="O2160" i="1"/>
  <c r="P2160" i="1"/>
  <c r="O2161" i="1"/>
  <c r="P2161" i="1"/>
  <c r="O2162" i="1"/>
  <c r="P2162" i="1"/>
  <c r="O2163" i="1"/>
  <c r="P2163" i="1"/>
  <c r="O2164" i="1"/>
  <c r="P2164" i="1"/>
  <c r="O2165" i="1"/>
  <c r="P2165" i="1"/>
  <c r="O2166" i="1"/>
  <c r="P2166" i="1"/>
  <c r="O2167" i="1"/>
  <c r="P2167" i="1"/>
  <c r="O2168" i="1"/>
  <c r="P2168" i="1"/>
  <c r="O2169" i="1"/>
  <c r="P2169" i="1"/>
  <c r="O2170" i="1"/>
  <c r="P2170" i="1"/>
  <c r="O2171" i="1"/>
  <c r="P2171" i="1"/>
  <c r="O2172" i="1"/>
  <c r="P2172" i="1"/>
  <c r="O2173" i="1"/>
  <c r="P2173" i="1"/>
  <c r="O2174" i="1"/>
  <c r="P2174" i="1"/>
  <c r="O2175" i="1"/>
  <c r="P2175" i="1"/>
  <c r="O2176" i="1"/>
  <c r="P2176" i="1"/>
  <c r="O2177" i="1"/>
  <c r="P2177" i="1"/>
  <c r="O2178" i="1"/>
  <c r="P2178" i="1"/>
  <c r="O2179" i="1"/>
  <c r="P2179" i="1"/>
  <c r="O2180" i="1"/>
  <c r="P2180" i="1"/>
  <c r="O2181" i="1"/>
  <c r="P2181" i="1"/>
  <c r="O2182" i="1"/>
  <c r="P2182" i="1"/>
  <c r="O2183" i="1"/>
  <c r="P2183" i="1"/>
  <c r="O2184" i="1"/>
  <c r="P2184" i="1"/>
  <c r="O2185" i="1"/>
  <c r="P2185" i="1"/>
  <c r="O2186" i="1"/>
  <c r="P2186" i="1"/>
  <c r="O2187" i="1"/>
  <c r="P2187" i="1"/>
  <c r="O2188" i="1"/>
  <c r="P2188" i="1"/>
  <c r="O2189" i="1"/>
  <c r="P2189" i="1"/>
  <c r="O2190" i="1"/>
  <c r="P2190" i="1"/>
  <c r="O2191" i="1"/>
  <c r="P2191" i="1"/>
  <c r="O2192" i="1"/>
  <c r="P2192" i="1"/>
  <c r="O2193" i="1"/>
  <c r="P2193" i="1"/>
  <c r="O2194" i="1"/>
  <c r="P2194" i="1"/>
  <c r="O2195" i="1"/>
  <c r="P2195" i="1"/>
  <c r="O2196" i="1"/>
  <c r="P2196" i="1"/>
  <c r="O2197" i="1"/>
  <c r="P2197" i="1"/>
  <c r="O2198" i="1"/>
  <c r="P2198" i="1"/>
  <c r="O2199" i="1"/>
  <c r="P2199" i="1"/>
  <c r="O2200" i="1"/>
  <c r="P2200" i="1"/>
  <c r="O2201" i="1"/>
  <c r="P2201" i="1"/>
  <c r="O2202" i="1"/>
  <c r="P2202" i="1"/>
  <c r="O2203" i="1"/>
  <c r="P2203" i="1"/>
  <c r="O2204" i="1"/>
  <c r="P2204" i="1"/>
  <c r="O2205" i="1"/>
  <c r="P2205" i="1"/>
  <c r="O2206" i="1"/>
  <c r="P2206" i="1"/>
  <c r="O2207" i="1"/>
  <c r="P2207" i="1"/>
  <c r="O2208" i="1"/>
  <c r="P2208" i="1"/>
  <c r="O2209" i="1"/>
  <c r="P2209" i="1"/>
  <c r="O2210" i="1"/>
  <c r="P2210" i="1"/>
  <c r="O2211" i="1"/>
  <c r="P2211" i="1"/>
  <c r="O2212" i="1"/>
  <c r="P2212" i="1"/>
  <c r="O2213" i="1"/>
  <c r="P2213" i="1"/>
  <c r="O2214" i="1"/>
  <c r="P2214" i="1"/>
  <c r="O2215" i="1"/>
  <c r="P2215" i="1"/>
  <c r="O2216" i="1"/>
  <c r="P2216" i="1"/>
  <c r="O2217" i="1"/>
  <c r="P2217" i="1"/>
  <c r="O2218" i="1"/>
  <c r="P2218" i="1"/>
  <c r="O2219" i="1"/>
  <c r="P2219" i="1"/>
  <c r="O2220" i="1"/>
  <c r="P2220" i="1"/>
  <c r="O2221" i="1"/>
  <c r="P2221" i="1"/>
  <c r="O2222" i="1"/>
  <c r="P2222" i="1"/>
  <c r="O2223" i="1"/>
  <c r="P2223" i="1"/>
  <c r="O2224" i="1"/>
  <c r="P2224" i="1"/>
  <c r="O2225" i="1"/>
  <c r="P2225" i="1"/>
  <c r="O2226" i="1"/>
  <c r="P2226" i="1"/>
  <c r="O2227" i="1"/>
  <c r="P2227" i="1"/>
  <c r="O2228" i="1"/>
  <c r="P2228" i="1"/>
  <c r="O2229" i="1"/>
  <c r="P2229" i="1"/>
  <c r="O2230" i="1"/>
  <c r="P2230" i="1"/>
  <c r="O2231" i="1"/>
  <c r="P2231" i="1"/>
  <c r="O2232" i="1"/>
  <c r="P2232" i="1"/>
  <c r="O2233" i="1"/>
  <c r="P2233" i="1"/>
  <c r="O2234" i="1"/>
  <c r="P2234" i="1"/>
  <c r="O2235" i="1"/>
  <c r="P2235" i="1"/>
  <c r="O2236" i="1"/>
  <c r="P2236" i="1"/>
  <c r="O2237" i="1"/>
  <c r="P2237" i="1"/>
  <c r="O2238" i="1"/>
  <c r="P2238" i="1"/>
  <c r="O2239" i="1"/>
  <c r="P2239" i="1"/>
  <c r="O2240" i="1"/>
  <c r="P2240" i="1"/>
  <c r="O2241" i="1"/>
  <c r="P2241" i="1"/>
  <c r="O2242" i="1"/>
  <c r="P2242" i="1"/>
  <c r="O2243" i="1"/>
  <c r="P2243" i="1"/>
  <c r="O2244" i="1"/>
  <c r="P2244" i="1"/>
  <c r="O2245" i="1"/>
  <c r="P2245" i="1"/>
  <c r="O2246" i="1"/>
  <c r="P2246" i="1"/>
  <c r="O2247" i="1"/>
  <c r="P2247" i="1"/>
  <c r="O2248" i="1"/>
  <c r="P2248" i="1"/>
  <c r="O2249" i="1"/>
  <c r="P2249" i="1"/>
  <c r="O2250" i="1"/>
  <c r="P2250" i="1"/>
  <c r="O2251" i="1"/>
  <c r="P2251" i="1"/>
  <c r="O2252" i="1"/>
  <c r="P2252" i="1"/>
  <c r="O2253" i="1"/>
  <c r="P2253" i="1"/>
  <c r="O2254" i="1"/>
  <c r="P2254" i="1"/>
  <c r="O2255" i="1"/>
  <c r="P2255" i="1"/>
  <c r="O2256" i="1"/>
  <c r="P2256" i="1"/>
  <c r="O2257" i="1"/>
  <c r="P2257" i="1"/>
  <c r="O2258" i="1"/>
  <c r="P2258" i="1"/>
  <c r="O2259" i="1"/>
  <c r="P2259" i="1"/>
  <c r="O2260" i="1"/>
  <c r="P2260" i="1"/>
  <c r="O2261" i="1"/>
  <c r="P2261" i="1"/>
  <c r="O2262" i="1"/>
  <c r="P2262" i="1"/>
  <c r="O2263" i="1"/>
  <c r="P2263" i="1"/>
  <c r="O2264" i="1"/>
  <c r="P2264" i="1"/>
  <c r="O2265" i="1"/>
  <c r="P2265" i="1"/>
  <c r="O2266" i="1"/>
  <c r="P2266" i="1"/>
  <c r="O2267" i="1"/>
  <c r="P2267" i="1"/>
  <c r="O2268" i="1"/>
  <c r="P2268" i="1"/>
  <c r="O2269" i="1"/>
  <c r="P2269" i="1"/>
  <c r="O2270" i="1"/>
  <c r="P2270" i="1"/>
  <c r="O2271" i="1"/>
  <c r="P2271" i="1"/>
  <c r="O2272" i="1"/>
  <c r="P2272" i="1"/>
  <c r="O2273" i="1"/>
  <c r="P2273" i="1"/>
  <c r="O2274" i="1"/>
  <c r="P2274" i="1"/>
  <c r="O2275" i="1"/>
  <c r="P2275" i="1"/>
  <c r="O2276" i="1"/>
  <c r="P2276" i="1"/>
  <c r="O2277" i="1"/>
  <c r="P2277" i="1"/>
  <c r="O2278" i="1"/>
  <c r="P2278" i="1"/>
  <c r="O2279" i="1"/>
  <c r="P2279" i="1"/>
  <c r="O2280" i="1"/>
  <c r="P2280" i="1"/>
  <c r="O2281" i="1"/>
  <c r="P2281" i="1"/>
  <c r="O2282" i="1"/>
  <c r="P2282" i="1"/>
  <c r="O2283" i="1"/>
  <c r="P2283" i="1"/>
  <c r="O2284" i="1"/>
  <c r="P2284" i="1"/>
  <c r="O2285" i="1"/>
  <c r="P2285" i="1"/>
  <c r="O2286" i="1"/>
  <c r="P2286" i="1"/>
  <c r="O2287" i="1"/>
  <c r="P2287" i="1"/>
  <c r="O2288" i="1"/>
  <c r="P2288" i="1"/>
  <c r="O2289" i="1"/>
  <c r="P2289" i="1"/>
  <c r="O2290" i="1"/>
  <c r="P2290" i="1"/>
  <c r="P2291" i="1"/>
  <c r="O2292" i="1"/>
  <c r="P2292" i="1"/>
  <c r="O2293" i="1"/>
  <c r="P2293" i="1"/>
  <c r="O2294" i="1"/>
  <c r="P2294" i="1"/>
  <c r="O2295" i="1"/>
  <c r="P2295" i="1"/>
  <c r="O2296" i="1"/>
  <c r="P2296" i="1"/>
  <c r="P2297" i="1"/>
  <c r="O2298" i="1"/>
  <c r="P2298" i="1"/>
  <c r="O2299" i="1"/>
  <c r="P2299" i="1"/>
  <c r="O2300" i="1"/>
  <c r="P2300" i="1"/>
  <c r="O2301" i="1"/>
  <c r="P2301" i="1"/>
  <c r="O2302" i="1"/>
  <c r="P2302" i="1"/>
  <c r="P2303" i="1"/>
  <c r="O2304" i="1"/>
  <c r="P2304" i="1"/>
  <c r="O2305" i="1"/>
  <c r="P2305" i="1"/>
  <c r="O2306" i="1"/>
  <c r="P2306" i="1"/>
  <c r="O2307" i="1"/>
  <c r="P2307" i="1"/>
  <c r="O2308" i="1"/>
  <c r="P2308" i="1"/>
  <c r="O2309" i="1"/>
  <c r="P2309" i="1"/>
  <c r="O2310" i="1"/>
  <c r="P2310" i="1"/>
  <c r="O2311" i="1"/>
  <c r="P2311" i="1"/>
  <c r="O2312" i="1"/>
  <c r="P2312" i="1"/>
  <c r="O2313" i="1"/>
  <c r="P2313" i="1"/>
  <c r="O2314" i="1"/>
  <c r="P2314" i="1"/>
  <c r="O2315" i="1"/>
  <c r="P2315" i="1"/>
  <c r="O2316" i="1"/>
  <c r="P2316" i="1"/>
  <c r="O2317" i="1"/>
  <c r="P2317" i="1"/>
  <c r="O2318" i="1"/>
  <c r="P2318" i="1"/>
  <c r="O2319" i="1"/>
  <c r="P2319" i="1"/>
  <c r="O2320" i="1"/>
  <c r="P2320" i="1"/>
  <c r="O2321" i="1"/>
  <c r="P2321" i="1"/>
  <c r="O2322" i="1"/>
  <c r="P2322" i="1"/>
  <c r="O2323" i="1"/>
  <c r="P2323" i="1"/>
  <c r="O2324" i="1"/>
  <c r="P2324" i="1"/>
  <c r="O2325" i="1"/>
  <c r="P2325" i="1"/>
  <c r="O2326" i="1"/>
  <c r="P2326" i="1"/>
  <c r="O2327" i="1"/>
  <c r="P2327" i="1"/>
  <c r="O2328" i="1"/>
  <c r="P2328" i="1"/>
  <c r="O2329" i="1"/>
  <c r="P2329" i="1"/>
  <c r="O2330" i="1"/>
  <c r="P2330" i="1"/>
  <c r="O2331" i="1"/>
  <c r="P2331" i="1"/>
  <c r="O2332" i="1"/>
  <c r="P2332" i="1"/>
  <c r="O2333" i="1"/>
  <c r="P2333" i="1"/>
  <c r="O2334" i="1"/>
  <c r="P2334" i="1"/>
  <c r="O2335" i="1"/>
  <c r="P2335" i="1"/>
  <c r="O2336" i="1"/>
  <c r="P2336" i="1"/>
  <c r="O2337" i="1"/>
  <c r="P2337" i="1"/>
  <c r="O2338" i="1"/>
  <c r="P2338" i="1"/>
  <c r="O2339" i="1"/>
  <c r="P2339" i="1"/>
  <c r="O2340" i="1"/>
  <c r="P2340" i="1"/>
  <c r="O2341" i="1"/>
  <c r="P2341" i="1"/>
  <c r="O2342" i="1"/>
  <c r="P2342" i="1"/>
  <c r="O2343" i="1"/>
  <c r="P2343" i="1"/>
  <c r="O2344" i="1"/>
  <c r="P2344" i="1"/>
  <c r="O2345" i="1"/>
  <c r="P2345" i="1"/>
  <c r="O2346" i="1"/>
  <c r="P2346" i="1"/>
  <c r="O2347" i="1"/>
  <c r="P2347" i="1"/>
  <c r="O2348" i="1"/>
  <c r="P2348" i="1"/>
  <c r="O2349" i="1"/>
  <c r="P2349" i="1"/>
  <c r="O2350" i="1"/>
  <c r="P2350" i="1"/>
  <c r="O2351" i="1"/>
  <c r="P2351" i="1"/>
  <c r="O2352" i="1"/>
  <c r="P2352" i="1"/>
  <c r="O2353" i="1"/>
  <c r="P2353" i="1"/>
  <c r="O2354" i="1"/>
  <c r="P2354" i="1"/>
  <c r="O2355" i="1"/>
  <c r="P2355" i="1"/>
  <c r="O2356" i="1"/>
  <c r="P2356" i="1"/>
  <c r="O2357" i="1"/>
  <c r="P2357" i="1"/>
  <c r="O2358" i="1"/>
  <c r="P2358" i="1"/>
  <c r="O2359" i="1"/>
  <c r="P2359" i="1"/>
  <c r="O2360" i="1"/>
  <c r="P2360" i="1"/>
  <c r="O2361" i="1"/>
  <c r="P2361" i="1"/>
  <c r="O2362" i="1"/>
  <c r="P2362" i="1"/>
  <c r="O2363" i="1"/>
  <c r="P2363" i="1"/>
  <c r="O2364" i="1"/>
  <c r="P2364" i="1"/>
  <c r="O2365" i="1"/>
  <c r="P2365" i="1"/>
  <c r="O2366" i="1"/>
  <c r="P2366" i="1"/>
  <c r="O2367" i="1"/>
  <c r="P2367" i="1"/>
  <c r="O2368" i="1"/>
  <c r="P2368" i="1"/>
  <c r="O2369" i="1"/>
  <c r="P2369" i="1"/>
  <c r="O2370" i="1"/>
  <c r="P2370" i="1"/>
  <c r="O2371" i="1"/>
  <c r="P2371" i="1"/>
  <c r="O2372" i="1"/>
  <c r="P2372" i="1"/>
  <c r="O2373" i="1"/>
  <c r="P2373" i="1"/>
  <c r="O2374" i="1"/>
  <c r="P2374" i="1"/>
  <c r="O2375" i="1"/>
  <c r="P2375" i="1"/>
  <c r="O2376" i="1"/>
  <c r="P2376" i="1"/>
  <c r="O2377" i="1"/>
  <c r="P2377" i="1"/>
  <c r="O2378" i="1"/>
  <c r="P2378" i="1"/>
  <c r="O2379" i="1"/>
  <c r="P2379" i="1"/>
  <c r="O2380" i="1"/>
  <c r="P2380" i="1"/>
  <c r="O2381" i="1"/>
  <c r="P2381" i="1"/>
  <c r="O2382" i="1"/>
  <c r="P2382" i="1"/>
  <c r="O2383" i="1"/>
  <c r="P2383" i="1"/>
  <c r="O2384" i="1"/>
  <c r="P2384" i="1"/>
  <c r="O2385" i="1"/>
  <c r="P2385" i="1"/>
  <c r="O2386" i="1"/>
  <c r="P2386" i="1"/>
  <c r="O2387" i="1"/>
  <c r="P2387" i="1"/>
  <c r="O2388" i="1"/>
  <c r="P2388" i="1"/>
  <c r="O2389" i="1"/>
  <c r="P2389" i="1"/>
  <c r="O2390" i="1"/>
  <c r="P2390" i="1"/>
  <c r="O2391" i="1"/>
  <c r="P2391" i="1"/>
  <c r="O2392" i="1"/>
  <c r="P2392" i="1"/>
  <c r="O2393" i="1"/>
  <c r="P2393" i="1"/>
  <c r="O2394" i="1"/>
  <c r="P2394" i="1"/>
  <c r="O2395" i="1"/>
  <c r="P2395" i="1"/>
  <c r="O2396" i="1"/>
  <c r="P2396" i="1"/>
  <c r="O2397" i="1"/>
  <c r="P2397" i="1"/>
  <c r="O2398" i="1"/>
  <c r="P2398" i="1"/>
  <c r="P2399" i="1"/>
  <c r="O2400" i="1"/>
  <c r="P2400" i="1"/>
  <c r="O2401" i="1"/>
  <c r="P2401" i="1"/>
  <c r="O2402" i="1"/>
  <c r="P2402" i="1"/>
  <c r="O2403" i="1"/>
  <c r="P2403" i="1"/>
  <c r="O2404" i="1"/>
  <c r="P2404" i="1"/>
  <c r="P2405" i="1"/>
  <c r="O2406" i="1"/>
  <c r="P2406" i="1"/>
  <c r="O2407" i="1"/>
  <c r="P2407" i="1"/>
  <c r="O2408" i="1"/>
  <c r="P2408" i="1"/>
  <c r="O2409" i="1"/>
  <c r="P2409" i="1"/>
  <c r="O2410" i="1"/>
  <c r="P2410" i="1"/>
  <c r="O2411" i="1"/>
  <c r="P2411" i="1"/>
  <c r="O2412" i="1"/>
  <c r="P2412" i="1"/>
  <c r="O2413" i="1"/>
  <c r="P2413" i="1"/>
  <c r="O2414" i="1"/>
  <c r="P2414" i="1"/>
  <c r="O2415" i="1"/>
  <c r="P2415" i="1"/>
  <c r="O2416" i="1"/>
  <c r="P2416" i="1"/>
  <c r="O2417" i="1"/>
  <c r="P2417" i="1"/>
  <c r="O2418" i="1"/>
  <c r="P2418" i="1"/>
  <c r="O2419" i="1"/>
  <c r="P2419" i="1"/>
  <c r="O2420" i="1"/>
  <c r="P2420" i="1"/>
  <c r="O2421" i="1"/>
  <c r="P2421" i="1"/>
  <c r="O2422" i="1"/>
  <c r="P2422" i="1"/>
  <c r="O2423" i="1"/>
  <c r="P2423" i="1"/>
  <c r="O2424" i="1"/>
  <c r="P2424" i="1"/>
  <c r="O2425" i="1"/>
  <c r="P2425" i="1"/>
  <c r="O2426" i="1"/>
  <c r="P2426" i="1"/>
  <c r="O2427" i="1"/>
  <c r="P2427" i="1"/>
  <c r="O2428" i="1"/>
  <c r="P2428" i="1"/>
  <c r="O2429" i="1"/>
  <c r="P2429" i="1"/>
  <c r="O2430" i="1"/>
  <c r="P2430" i="1"/>
  <c r="O2431" i="1"/>
  <c r="P2431" i="1"/>
  <c r="O2432" i="1"/>
  <c r="P2432" i="1"/>
  <c r="O2433" i="1"/>
  <c r="P2433" i="1"/>
  <c r="O2434" i="1"/>
  <c r="P2434" i="1"/>
  <c r="O2435" i="1"/>
  <c r="P2435" i="1"/>
  <c r="O2436" i="1"/>
  <c r="P2436" i="1"/>
  <c r="O2437" i="1"/>
  <c r="P2437" i="1"/>
  <c r="O2438" i="1"/>
  <c r="P2438" i="1"/>
  <c r="O2439" i="1"/>
  <c r="P2439" i="1"/>
  <c r="O2440" i="1"/>
  <c r="P2440" i="1"/>
  <c r="O2441" i="1"/>
  <c r="P2441" i="1"/>
  <c r="O2442" i="1"/>
  <c r="P2442" i="1"/>
  <c r="O2443" i="1"/>
  <c r="P2443" i="1"/>
  <c r="O2444" i="1"/>
  <c r="P2444" i="1"/>
  <c r="O2445" i="1"/>
  <c r="P2445" i="1"/>
  <c r="O2446" i="1"/>
  <c r="P2446" i="1"/>
  <c r="O2447" i="1"/>
  <c r="P2447" i="1"/>
  <c r="O2448" i="1"/>
  <c r="P2448" i="1"/>
  <c r="O2449" i="1"/>
  <c r="P2449" i="1"/>
  <c r="O2450" i="1"/>
  <c r="P2450" i="1"/>
  <c r="O2451" i="1"/>
  <c r="P2451" i="1"/>
  <c r="O2452" i="1"/>
  <c r="P2452" i="1"/>
  <c r="O2453" i="1"/>
  <c r="P2453" i="1"/>
  <c r="O2454" i="1"/>
  <c r="P2454" i="1"/>
  <c r="O2455" i="1"/>
  <c r="P2455" i="1"/>
  <c r="O2456" i="1"/>
  <c r="P2456" i="1"/>
  <c r="O2457" i="1"/>
  <c r="P2457" i="1"/>
  <c r="O2458" i="1"/>
  <c r="P2458" i="1"/>
  <c r="O2459" i="1"/>
  <c r="P2459" i="1"/>
  <c r="O2460" i="1"/>
  <c r="P2460" i="1"/>
  <c r="O2461" i="1"/>
  <c r="P2461" i="1"/>
  <c r="O2462" i="1"/>
  <c r="P2462" i="1"/>
  <c r="O2463" i="1"/>
  <c r="P2463" i="1"/>
  <c r="O2464" i="1"/>
  <c r="P2464" i="1"/>
  <c r="O2465" i="1"/>
  <c r="P2465" i="1"/>
  <c r="O2466" i="1"/>
  <c r="P2466" i="1"/>
  <c r="O2467" i="1"/>
  <c r="P2467" i="1"/>
  <c r="O2468" i="1"/>
  <c r="P2468" i="1"/>
  <c r="O2469" i="1"/>
  <c r="P2469" i="1"/>
  <c r="O2470" i="1"/>
  <c r="P2470" i="1"/>
  <c r="O2471" i="1"/>
  <c r="P2471" i="1"/>
  <c r="O2472" i="1"/>
  <c r="P2472" i="1"/>
  <c r="O2473" i="1"/>
  <c r="P2473" i="1"/>
  <c r="O2474" i="1"/>
  <c r="P2474" i="1"/>
  <c r="O2475" i="1"/>
  <c r="P2475" i="1"/>
  <c r="O2476" i="1"/>
  <c r="P2476" i="1"/>
  <c r="O2477" i="1"/>
  <c r="P2477" i="1"/>
  <c r="O2478" i="1"/>
  <c r="P2478" i="1"/>
  <c r="O2479" i="1"/>
  <c r="P2479" i="1"/>
  <c r="O2480" i="1"/>
  <c r="P2480" i="1"/>
  <c r="O2481" i="1"/>
  <c r="P2481" i="1"/>
  <c r="O2482" i="1"/>
  <c r="P2482" i="1"/>
  <c r="P2483" i="1"/>
  <c r="O2484" i="1"/>
  <c r="P2484" i="1"/>
  <c r="O2485" i="1"/>
  <c r="P2485" i="1"/>
  <c r="O2486" i="1"/>
  <c r="P2486" i="1"/>
  <c r="O2487" i="1"/>
  <c r="P2487" i="1"/>
  <c r="O2488" i="1"/>
  <c r="P2488" i="1"/>
  <c r="P2489" i="1"/>
  <c r="O2490" i="1"/>
  <c r="P2490" i="1"/>
  <c r="O2491" i="1"/>
  <c r="P2491" i="1"/>
  <c r="O2492" i="1"/>
  <c r="P2492" i="1"/>
  <c r="O2493" i="1"/>
  <c r="P2493" i="1"/>
  <c r="O2494" i="1"/>
  <c r="P2494" i="1"/>
  <c r="P2495" i="1"/>
  <c r="O2496" i="1"/>
  <c r="P2496" i="1"/>
  <c r="O2497" i="1"/>
  <c r="P2497" i="1"/>
  <c r="O2498" i="1"/>
  <c r="P2498" i="1"/>
  <c r="O2499" i="1"/>
  <c r="P2499" i="1"/>
  <c r="O2500" i="1"/>
  <c r="P2500" i="1"/>
  <c r="O2501" i="1"/>
  <c r="P2501" i="1"/>
  <c r="O2502" i="1"/>
  <c r="P2502" i="1"/>
  <c r="O2503" i="1"/>
  <c r="P2503" i="1"/>
  <c r="O2504" i="1"/>
  <c r="P2504" i="1"/>
  <c r="O2505" i="1"/>
  <c r="P2505" i="1"/>
  <c r="O2506" i="1"/>
  <c r="P2506" i="1"/>
  <c r="O2507" i="1"/>
  <c r="P2507" i="1"/>
  <c r="O2508" i="1"/>
  <c r="P2508" i="1"/>
  <c r="O2509" i="1"/>
  <c r="P2509" i="1"/>
  <c r="O2510" i="1"/>
  <c r="P2510" i="1"/>
  <c r="O2511" i="1"/>
  <c r="P2511" i="1"/>
  <c r="O2512" i="1"/>
  <c r="P2512" i="1"/>
  <c r="O2513" i="1"/>
  <c r="P2513" i="1"/>
  <c r="O2514" i="1"/>
  <c r="P2514" i="1"/>
  <c r="O2515" i="1"/>
  <c r="P2515" i="1"/>
  <c r="O2516" i="1"/>
  <c r="P2516" i="1"/>
  <c r="O2517" i="1"/>
  <c r="P2517" i="1"/>
  <c r="O2518" i="1"/>
  <c r="P2518" i="1"/>
  <c r="O2519" i="1"/>
  <c r="P2519" i="1"/>
  <c r="O2520" i="1"/>
  <c r="P2520" i="1"/>
  <c r="O2521" i="1"/>
  <c r="P2521" i="1"/>
  <c r="O2522" i="1"/>
  <c r="P2522" i="1"/>
  <c r="O2523" i="1"/>
  <c r="P2523" i="1"/>
  <c r="O2524" i="1"/>
  <c r="P2524" i="1"/>
  <c r="O2525" i="1"/>
  <c r="P2525" i="1"/>
  <c r="O2526" i="1"/>
  <c r="P2526" i="1"/>
  <c r="O2527" i="1"/>
  <c r="P2527" i="1"/>
  <c r="O2528" i="1"/>
  <c r="P2528" i="1"/>
  <c r="O2529" i="1"/>
  <c r="P2529" i="1"/>
  <c r="O2530" i="1"/>
  <c r="P2530" i="1"/>
  <c r="O2531" i="1"/>
  <c r="P2531" i="1"/>
  <c r="O2532" i="1"/>
  <c r="P2532" i="1"/>
  <c r="O2533" i="1"/>
  <c r="P2533" i="1"/>
  <c r="O2534" i="1"/>
  <c r="P2534" i="1"/>
  <c r="O2535" i="1"/>
  <c r="P2535" i="1"/>
  <c r="O2536" i="1"/>
  <c r="P2536" i="1"/>
  <c r="O2537" i="1"/>
  <c r="P2537" i="1"/>
  <c r="O2538" i="1"/>
  <c r="P2538" i="1"/>
  <c r="O2539" i="1"/>
  <c r="P2539" i="1"/>
  <c r="O2540" i="1"/>
  <c r="P2540" i="1"/>
  <c r="O2541" i="1"/>
  <c r="P2541" i="1"/>
  <c r="O2542" i="1"/>
  <c r="P2542" i="1"/>
  <c r="O2543" i="1"/>
  <c r="P2543" i="1"/>
  <c r="O2544" i="1"/>
  <c r="P2544" i="1"/>
  <c r="O2545" i="1"/>
  <c r="P2545" i="1"/>
  <c r="O2546" i="1"/>
  <c r="P2546" i="1"/>
  <c r="O2547" i="1"/>
  <c r="P2547" i="1"/>
  <c r="O2548" i="1"/>
  <c r="P2548" i="1"/>
  <c r="O2549" i="1"/>
  <c r="P2549" i="1"/>
  <c r="O2550" i="1"/>
  <c r="P2550" i="1"/>
  <c r="O2551" i="1"/>
  <c r="P2551" i="1"/>
  <c r="O2552" i="1"/>
  <c r="P2552" i="1"/>
  <c r="O2553" i="1"/>
  <c r="P2553" i="1"/>
  <c r="O2554" i="1"/>
  <c r="P2554" i="1"/>
  <c r="O2555" i="1"/>
  <c r="P2555" i="1"/>
  <c r="O2556" i="1"/>
  <c r="P2556" i="1"/>
  <c r="O2557" i="1"/>
  <c r="P2557" i="1"/>
  <c r="O2558" i="1"/>
  <c r="P2558" i="1"/>
  <c r="O2559" i="1"/>
  <c r="P2559" i="1"/>
  <c r="O2560" i="1"/>
  <c r="P2560" i="1"/>
  <c r="O2561" i="1"/>
  <c r="P2561" i="1"/>
  <c r="O2562" i="1"/>
  <c r="P2562" i="1"/>
  <c r="O2563" i="1"/>
  <c r="P2563" i="1"/>
  <c r="O2564" i="1"/>
  <c r="P2564" i="1"/>
  <c r="O2565" i="1"/>
  <c r="P2565" i="1"/>
  <c r="O2566" i="1"/>
  <c r="P2566" i="1"/>
  <c r="O2567" i="1"/>
  <c r="P2567" i="1"/>
  <c r="O2568" i="1"/>
  <c r="P2568" i="1"/>
  <c r="O2569" i="1"/>
  <c r="P2569" i="1"/>
  <c r="O2570" i="1"/>
  <c r="P2570" i="1"/>
  <c r="O2571" i="1"/>
  <c r="P2571" i="1"/>
  <c r="O2572" i="1"/>
  <c r="P2572" i="1"/>
  <c r="O2573" i="1"/>
  <c r="P2573" i="1"/>
  <c r="O2574" i="1"/>
  <c r="P2574" i="1"/>
  <c r="O2575" i="1"/>
  <c r="P2575" i="1"/>
  <c r="O2576" i="1"/>
  <c r="P2576" i="1"/>
  <c r="O2577" i="1"/>
  <c r="P2577" i="1"/>
  <c r="O2578" i="1"/>
  <c r="P2578" i="1"/>
  <c r="P2580" i="1"/>
  <c r="P2581" i="1"/>
  <c r="P2582" i="1"/>
  <c r="P2583" i="1"/>
  <c r="O2584" i="1"/>
  <c r="P2584" i="1"/>
  <c r="O2585" i="1"/>
  <c r="P2585" i="1"/>
  <c r="O2586" i="1"/>
  <c r="P2586" i="1"/>
  <c r="O2587" i="1"/>
  <c r="P2587" i="1"/>
  <c r="O2588" i="1"/>
  <c r="P2588" i="1"/>
  <c r="P2589" i="1"/>
  <c r="P2590" i="1"/>
  <c r="O2591" i="1"/>
  <c r="P2591" i="1"/>
  <c r="O2592" i="1"/>
  <c r="P2592" i="1"/>
  <c r="O2593" i="1"/>
  <c r="P2593" i="1"/>
  <c r="O2594" i="1"/>
  <c r="P2594" i="1"/>
  <c r="O2595" i="1"/>
  <c r="P2595" i="1"/>
  <c r="O2596" i="1"/>
  <c r="P2596" i="1"/>
  <c r="O2597" i="1"/>
  <c r="P2597" i="1"/>
  <c r="O2598" i="1"/>
  <c r="P2598" i="1"/>
  <c r="O2599" i="1"/>
  <c r="P2599" i="1"/>
  <c r="O2600" i="1"/>
  <c r="P2600" i="1"/>
  <c r="O2601" i="1"/>
  <c r="P2601" i="1"/>
  <c r="O2602" i="1"/>
  <c r="P2602" i="1"/>
  <c r="O2603" i="1"/>
  <c r="P2603" i="1"/>
  <c r="O2604" i="1"/>
  <c r="P2604" i="1"/>
  <c r="O2605" i="1"/>
  <c r="P2605" i="1"/>
  <c r="O2606" i="1"/>
  <c r="P2606" i="1"/>
  <c r="O2607" i="1"/>
  <c r="P2607" i="1"/>
  <c r="O2608" i="1"/>
  <c r="P2608" i="1"/>
  <c r="O2609" i="1"/>
  <c r="P2609" i="1"/>
  <c r="O2610" i="1"/>
  <c r="P2610" i="1"/>
  <c r="O2612" i="1"/>
  <c r="P2612" i="1"/>
  <c r="O2613" i="1"/>
  <c r="P2613" i="1"/>
  <c r="P2614" i="1"/>
  <c r="P2615" i="1"/>
  <c r="O2616" i="1"/>
  <c r="P2616" i="1"/>
  <c r="O2617" i="1"/>
  <c r="P2617" i="1"/>
  <c r="P2618" i="1"/>
  <c r="P2619" i="1"/>
  <c r="P2620" i="1"/>
  <c r="P2621" i="1"/>
  <c r="P2622" i="1"/>
  <c r="P2623" i="1"/>
  <c r="P2624" i="1"/>
  <c r="O2626" i="1"/>
  <c r="P2626" i="1"/>
  <c r="O2627" i="1"/>
  <c r="P2627" i="1"/>
  <c r="O2628" i="1"/>
  <c r="P2628" i="1"/>
  <c r="O2629" i="1"/>
  <c r="P2629" i="1"/>
  <c r="O2630" i="1"/>
  <c r="P2630" i="1"/>
  <c r="O2631" i="1"/>
  <c r="P2631" i="1"/>
  <c r="O2632" i="1"/>
  <c r="P2632" i="1"/>
  <c r="O2633" i="1"/>
  <c r="P2633" i="1"/>
  <c r="O2634" i="1"/>
  <c r="P2634" i="1"/>
  <c r="O2635" i="1"/>
  <c r="P2635" i="1"/>
  <c r="O2636" i="1"/>
  <c r="P2636" i="1"/>
  <c r="O2637" i="1"/>
  <c r="P2637" i="1"/>
  <c r="O2638" i="1"/>
  <c r="P2638" i="1"/>
  <c r="O2639" i="1"/>
  <c r="P2639" i="1"/>
  <c r="O2640" i="1"/>
  <c r="P2640" i="1"/>
  <c r="O2641" i="1"/>
  <c r="P2641" i="1"/>
  <c r="O2642" i="1"/>
  <c r="P2642" i="1"/>
  <c r="O2643" i="1"/>
  <c r="P2643" i="1"/>
  <c r="O2644" i="1"/>
  <c r="P2644" i="1"/>
  <c r="O2645" i="1"/>
  <c r="P2645" i="1"/>
  <c r="O2646" i="1"/>
  <c r="P2646" i="1"/>
  <c r="O2647" i="1"/>
  <c r="P2647" i="1"/>
  <c r="O2648" i="1"/>
  <c r="P2648" i="1"/>
  <c r="O2649" i="1"/>
  <c r="P2649" i="1"/>
  <c r="O2650" i="1"/>
  <c r="P2650" i="1"/>
  <c r="O2651" i="1"/>
  <c r="P2651" i="1"/>
  <c r="O2652" i="1"/>
  <c r="P2652" i="1"/>
  <c r="O2653" i="1"/>
  <c r="P2653" i="1"/>
  <c r="O2654" i="1"/>
  <c r="P2654" i="1"/>
  <c r="O2655" i="1"/>
  <c r="P2655" i="1"/>
  <c r="O2656" i="1"/>
  <c r="P2656" i="1"/>
  <c r="R19" i="1"/>
  <c r="S19" i="1"/>
  <c r="R21" i="1"/>
  <c r="S21" i="1"/>
  <c r="R22" i="1"/>
  <c r="R23" i="1"/>
  <c r="S23" i="1"/>
  <c r="R24" i="1"/>
  <c r="R25" i="1"/>
  <c r="S25" i="1"/>
  <c r="R26" i="1"/>
  <c r="S26" i="1"/>
  <c r="R27" i="1"/>
  <c r="S27" i="1"/>
  <c r="R28" i="1"/>
  <c r="S28" i="1"/>
  <c r="R29" i="1"/>
  <c r="S29" i="1"/>
  <c r="R30" i="1"/>
  <c r="S30" i="1"/>
  <c r="R31" i="1"/>
  <c r="S31" i="1"/>
  <c r="R32" i="1"/>
  <c r="S32" i="1"/>
  <c r="R33" i="1"/>
  <c r="S33" i="1"/>
  <c r="R34" i="1"/>
  <c r="R35" i="1"/>
  <c r="S35" i="1"/>
  <c r="R36" i="1"/>
  <c r="S36" i="1"/>
  <c r="R37" i="1"/>
  <c r="R38" i="1"/>
  <c r="S38" i="1"/>
  <c r="R39" i="1"/>
  <c r="S39" i="1"/>
  <c r="R40" i="1"/>
  <c r="S40" i="1"/>
  <c r="R41" i="1"/>
  <c r="S41" i="1"/>
  <c r="R43" i="1"/>
  <c r="S43" i="1"/>
  <c r="R44" i="1"/>
  <c r="S44" i="1"/>
  <c r="R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T53" i="1" s="1"/>
  <c r="S53" i="1"/>
  <c r="R54" i="1"/>
  <c r="S54" i="1"/>
  <c r="R55" i="1"/>
  <c r="S55" i="1"/>
  <c r="R56" i="1"/>
  <c r="S56" i="1"/>
  <c r="R57" i="1"/>
  <c r="S57" i="1"/>
  <c r="R58" i="1"/>
  <c r="S58" i="1"/>
  <c r="R59" i="1"/>
  <c r="S59" i="1"/>
  <c r="R60" i="1"/>
  <c r="S60" i="1"/>
  <c r="R61" i="1"/>
  <c r="T61" i="1" s="1"/>
  <c r="S61" i="1"/>
  <c r="R62" i="1"/>
  <c r="S62" i="1"/>
  <c r="R63" i="1"/>
  <c r="S63" i="1"/>
  <c r="R64" i="1"/>
  <c r="S64" i="1"/>
  <c r="R65" i="1"/>
  <c r="S65" i="1"/>
  <c r="R66" i="1"/>
  <c r="S66" i="1"/>
  <c r="R67" i="1"/>
  <c r="S67" i="1"/>
  <c r="R69" i="1"/>
  <c r="S69" i="1"/>
  <c r="R70" i="1"/>
  <c r="S70" i="1"/>
  <c r="R71" i="1"/>
  <c r="R72" i="1"/>
  <c r="S72" i="1"/>
  <c r="R73" i="1"/>
  <c r="S73" i="1"/>
  <c r="R74" i="1"/>
  <c r="S74" i="1"/>
  <c r="R75" i="1"/>
  <c r="S75" i="1"/>
  <c r="R76" i="1"/>
  <c r="S76" i="1"/>
  <c r="R77" i="1"/>
  <c r="S77" i="1"/>
  <c r="R78" i="1"/>
  <c r="R79" i="1"/>
  <c r="S79" i="1"/>
  <c r="R80" i="1"/>
  <c r="S80" i="1"/>
  <c r="R81" i="1"/>
  <c r="S81" i="1"/>
  <c r="R82" i="1"/>
  <c r="S82" i="1"/>
  <c r="R83" i="1"/>
  <c r="S83" i="1"/>
  <c r="R84" i="1"/>
  <c r="S84" i="1"/>
  <c r="R85" i="1"/>
  <c r="S85" i="1"/>
  <c r="R86" i="1"/>
  <c r="S86" i="1"/>
  <c r="R88" i="1"/>
  <c r="S88" i="1"/>
  <c r="R89" i="1"/>
  <c r="S89" i="1"/>
  <c r="R90" i="1"/>
  <c r="S90" i="1"/>
  <c r="R91" i="1"/>
  <c r="S91" i="1"/>
  <c r="R92" i="1"/>
  <c r="S92" i="1"/>
  <c r="R93" i="1"/>
  <c r="S93" i="1"/>
  <c r="R94" i="1"/>
  <c r="S94" i="1"/>
  <c r="R95" i="1"/>
  <c r="S95" i="1"/>
  <c r="R96" i="1"/>
  <c r="S96" i="1"/>
  <c r="R97" i="1"/>
  <c r="S97" i="1"/>
  <c r="R98" i="1"/>
  <c r="S98" i="1"/>
  <c r="R99" i="1"/>
  <c r="S99" i="1"/>
  <c r="R100" i="1"/>
  <c r="S100" i="1"/>
  <c r="R101" i="1"/>
  <c r="S101" i="1"/>
  <c r="R102" i="1"/>
  <c r="S102" i="1"/>
  <c r="R103" i="1"/>
  <c r="T103" i="1" s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R111" i="1"/>
  <c r="T111" i="1" s="1"/>
  <c r="S111" i="1"/>
  <c r="R112" i="1"/>
  <c r="S112" i="1"/>
  <c r="R114" i="1"/>
  <c r="S114" i="1"/>
  <c r="R115" i="1"/>
  <c r="S115" i="1"/>
  <c r="R116" i="1"/>
  <c r="S116" i="1"/>
  <c r="R117" i="1"/>
  <c r="S117" i="1"/>
  <c r="R118" i="1"/>
  <c r="S118" i="1"/>
  <c r="R119" i="1"/>
  <c r="S119" i="1"/>
  <c r="R120" i="1"/>
  <c r="S120" i="1"/>
  <c r="R121" i="1"/>
  <c r="S121" i="1"/>
  <c r="R122" i="1"/>
  <c r="S122" i="1"/>
  <c r="R123" i="1"/>
  <c r="S123" i="1"/>
  <c r="R124" i="1"/>
  <c r="S124" i="1"/>
  <c r="R125" i="1"/>
  <c r="S125" i="1"/>
  <c r="R126" i="1"/>
  <c r="S126" i="1"/>
  <c r="R127" i="1"/>
  <c r="S127" i="1"/>
  <c r="R128" i="1"/>
  <c r="S128" i="1"/>
  <c r="R129" i="1"/>
  <c r="S129" i="1"/>
  <c r="R130" i="1"/>
  <c r="S130" i="1"/>
  <c r="R131" i="1"/>
  <c r="R132" i="1"/>
  <c r="S132" i="1"/>
  <c r="R133" i="1"/>
  <c r="S133" i="1"/>
  <c r="R134" i="1"/>
  <c r="S134" i="1"/>
  <c r="R135" i="1"/>
  <c r="S135" i="1"/>
  <c r="R136" i="1"/>
  <c r="S136" i="1"/>
  <c r="R137" i="1"/>
  <c r="S137" i="1"/>
  <c r="R138" i="1"/>
  <c r="S138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R156" i="1"/>
  <c r="S156" i="1"/>
  <c r="R157" i="1"/>
  <c r="S157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69" i="1"/>
  <c r="S169" i="1"/>
  <c r="R170" i="1"/>
  <c r="S170" i="1"/>
  <c r="R171" i="1"/>
  <c r="S171" i="1"/>
  <c r="R172" i="1"/>
  <c r="S172" i="1"/>
  <c r="R173" i="1"/>
  <c r="S173" i="1"/>
  <c r="R174" i="1"/>
  <c r="S174" i="1"/>
  <c r="R175" i="1"/>
  <c r="S175" i="1"/>
  <c r="R176" i="1"/>
  <c r="S176" i="1"/>
  <c r="R177" i="1"/>
  <c r="S177" i="1"/>
  <c r="R178" i="1"/>
  <c r="S178" i="1"/>
  <c r="R179" i="1"/>
  <c r="S179" i="1"/>
  <c r="R180" i="1"/>
  <c r="S180" i="1"/>
  <c r="R181" i="1"/>
  <c r="S181" i="1"/>
  <c r="R182" i="1"/>
  <c r="S182" i="1"/>
  <c r="R183" i="1"/>
  <c r="R184" i="1"/>
  <c r="S184" i="1"/>
  <c r="R185" i="1"/>
  <c r="R186" i="1"/>
  <c r="S186" i="1"/>
  <c r="R187" i="1"/>
  <c r="S187" i="1"/>
  <c r="R188" i="1"/>
  <c r="S188" i="1"/>
  <c r="R189" i="1"/>
  <c r="S189" i="1"/>
  <c r="R190" i="1"/>
  <c r="S190" i="1"/>
  <c r="R191" i="1"/>
  <c r="S191" i="1"/>
  <c r="R192" i="1"/>
  <c r="S192" i="1"/>
  <c r="R193" i="1"/>
  <c r="S193" i="1"/>
  <c r="R194" i="1"/>
  <c r="S194" i="1"/>
  <c r="R195" i="1"/>
  <c r="S195" i="1"/>
  <c r="R196" i="1"/>
  <c r="S196" i="1"/>
  <c r="R198" i="1"/>
  <c r="S198" i="1"/>
  <c r="R199" i="1"/>
  <c r="S199" i="1"/>
  <c r="R200" i="1"/>
  <c r="S200" i="1"/>
  <c r="R201" i="1"/>
  <c r="S201" i="1"/>
  <c r="R202" i="1"/>
  <c r="S202" i="1"/>
  <c r="R203" i="1"/>
  <c r="S203" i="1"/>
  <c r="R204" i="1"/>
  <c r="S204" i="1"/>
  <c r="R205" i="1"/>
  <c r="T205" i="1" s="1"/>
  <c r="S205" i="1"/>
  <c r="R206" i="1"/>
  <c r="S206" i="1"/>
  <c r="R207" i="1"/>
  <c r="S207" i="1"/>
  <c r="R208" i="1"/>
  <c r="S208" i="1"/>
  <c r="R209" i="1"/>
  <c r="S209" i="1"/>
  <c r="R210" i="1"/>
  <c r="T210" i="1" s="1"/>
  <c r="S210" i="1"/>
  <c r="R211" i="1"/>
  <c r="S211" i="1"/>
  <c r="R212" i="1"/>
  <c r="S212" i="1"/>
  <c r="R213" i="1"/>
  <c r="S213" i="1"/>
  <c r="R214" i="1"/>
  <c r="S214" i="1"/>
  <c r="R215" i="1"/>
  <c r="S215" i="1"/>
  <c r="R216" i="1"/>
  <c r="S216" i="1"/>
  <c r="R217" i="1"/>
  <c r="S217" i="1"/>
  <c r="R218" i="1"/>
  <c r="T218" i="1" s="1"/>
  <c r="S218" i="1"/>
  <c r="R219" i="1"/>
  <c r="S219" i="1"/>
  <c r="R220" i="1"/>
  <c r="S220" i="1"/>
  <c r="R221" i="1"/>
  <c r="T221" i="1" s="1"/>
  <c r="S221" i="1"/>
  <c r="R222" i="1"/>
  <c r="S222" i="1"/>
  <c r="R233" i="1"/>
  <c r="S233" i="1"/>
  <c r="R234" i="1"/>
  <c r="S234" i="1"/>
  <c r="R235" i="1"/>
  <c r="S235" i="1"/>
  <c r="R236" i="1"/>
  <c r="S236" i="1"/>
  <c r="R237" i="1"/>
  <c r="S237" i="1"/>
  <c r="R238" i="1"/>
  <c r="S238" i="1"/>
  <c r="R239" i="1"/>
  <c r="S239" i="1"/>
  <c r="R240" i="1"/>
  <c r="S240" i="1"/>
  <c r="R241" i="1"/>
  <c r="S241" i="1"/>
  <c r="R242" i="1"/>
  <c r="S242" i="1"/>
  <c r="R243" i="1"/>
  <c r="S243" i="1"/>
  <c r="R244" i="1"/>
  <c r="S244" i="1"/>
  <c r="R245" i="1"/>
  <c r="S245" i="1"/>
  <c r="R246" i="1"/>
  <c r="S246" i="1"/>
  <c r="R247" i="1"/>
  <c r="S247" i="1"/>
  <c r="R248" i="1"/>
  <c r="S248" i="1"/>
  <c r="R249" i="1"/>
  <c r="S249" i="1"/>
  <c r="R250" i="1"/>
  <c r="S250" i="1"/>
  <c r="T252" i="1"/>
  <c r="T262" i="1"/>
  <c r="T287" i="1"/>
  <c r="T293" i="1"/>
  <c r="T302" i="1"/>
  <c r="T305" i="1"/>
  <c r="T308" i="1"/>
  <c r="T310" i="1"/>
  <c r="T314" i="1"/>
  <c r="T323" i="1"/>
  <c r="T329" i="1"/>
  <c r="T341" i="1"/>
  <c r="T345" i="1"/>
  <c r="T351" i="1"/>
  <c r="T359" i="1"/>
  <c r="T374" i="1"/>
  <c r="T381" i="1"/>
  <c r="T393" i="1"/>
  <c r="T404" i="1"/>
  <c r="T430" i="1"/>
  <c r="T436" i="1"/>
  <c r="R442" i="1"/>
  <c r="S442" i="1"/>
  <c r="R443" i="1"/>
  <c r="S443" i="1"/>
  <c r="R444" i="1"/>
  <c r="S444" i="1"/>
  <c r="R445" i="1"/>
  <c r="S445" i="1"/>
  <c r="R446" i="1"/>
  <c r="S446" i="1"/>
  <c r="R447" i="1"/>
  <c r="S447" i="1"/>
  <c r="R448" i="1"/>
  <c r="S448" i="1"/>
  <c r="R449" i="1"/>
  <c r="S449" i="1"/>
  <c r="R450" i="1"/>
  <c r="S450" i="1"/>
  <c r="R451" i="1"/>
  <c r="S451" i="1"/>
  <c r="R452" i="1"/>
  <c r="S452" i="1"/>
  <c r="R453" i="1"/>
  <c r="S453" i="1"/>
  <c r="R454" i="1"/>
  <c r="S454" i="1"/>
  <c r="R455" i="1"/>
  <c r="S455" i="1"/>
  <c r="R456" i="1"/>
  <c r="S456" i="1"/>
  <c r="R457" i="1"/>
  <c r="S457" i="1"/>
  <c r="R458" i="1"/>
  <c r="S458" i="1"/>
  <c r="R459" i="1"/>
  <c r="S459" i="1"/>
  <c r="R460" i="1"/>
  <c r="S460" i="1"/>
  <c r="R461" i="1"/>
  <c r="S461" i="1"/>
  <c r="R462" i="1"/>
  <c r="S462" i="1"/>
  <c r="R463" i="1"/>
  <c r="S463" i="1"/>
  <c r="R464" i="1"/>
  <c r="S464" i="1"/>
  <c r="R465" i="1"/>
  <c r="S465" i="1"/>
  <c r="R466" i="1"/>
  <c r="S466" i="1"/>
  <c r="R468" i="1"/>
  <c r="R469" i="1"/>
  <c r="S469" i="1"/>
  <c r="R470" i="1"/>
  <c r="S470" i="1"/>
  <c r="R471" i="1"/>
  <c r="S471" i="1"/>
  <c r="R472" i="1"/>
  <c r="T472" i="1" s="1"/>
  <c r="S472" i="1"/>
  <c r="R473" i="1"/>
  <c r="T473" i="1" s="1"/>
  <c r="S473" i="1"/>
  <c r="R474" i="1"/>
  <c r="T474" i="1" s="1"/>
  <c r="S474" i="1"/>
  <c r="R475" i="1"/>
  <c r="S475" i="1"/>
  <c r="R476" i="1"/>
  <c r="S476" i="1"/>
  <c r="R477" i="1"/>
  <c r="S477" i="1"/>
  <c r="R478" i="1"/>
  <c r="S478" i="1"/>
  <c r="R479" i="1"/>
  <c r="S479" i="1"/>
  <c r="R480" i="1"/>
  <c r="R481" i="1"/>
  <c r="S481" i="1"/>
  <c r="R482" i="1"/>
  <c r="S482" i="1"/>
  <c r="R483" i="1"/>
  <c r="S483" i="1"/>
  <c r="R484" i="1"/>
  <c r="S484" i="1"/>
  <c r="R485" i="1"/>
  <c r="S485" i="1"/>
  <c r="R486" i="1"/>
  <c r="S486" i="1"/>
  <c r="R487" i="1"/>
  <c r="S487" i="1"/>
  <c r="R488" i="1"/>
  <c r="S488" i="1"/>
  <c r="R489" i="1"/>
  <c r="S489" i="1"/>
  <c r="R490" i="1"/>
  <c r="S490" i="1"/>
  <c r="R491" i="1"/>
  <c r="S491" i="1"/>
  <c r="R492" i="1"/>
  <c r="S492" i="1"/>
  <c r="R493" i="1"/>
  <c r="S493" i="1"/>
  <c r="R494" i="1"/>
  <c r="S494" i="1"/>
  <c r="R495" i="1"/>
  <c r="S495" i="1"/>
  <c r="R497" i="1"/>
  <c r="S497" i="1"/>
  <c r="R498" i="1"/>
  <c r="S498" i="1"/>
  <c r="R499" i="1"/>
  <c r="S499" i="1"/>
  <c r="R500" i="1"/>
  <c r="S500" i="1"/>
  <c r="R501" i="1"/>
  <c r="S501" i="1"/>
  <c r="R502" i="1"/>
  <c r="S502" i="1"/>
  <c r="R503" i="1"/>
  <c r="S503" i="1"/>
  <c r="R504" i="1"/>
  <c r="S504" i="1"/>
  <c r="R505" i="1"/>
  <c r="S505" i="1"/>
  <c r="R506" i="1"/>
  <c r="S506" i="1"/>
  <c r="R507" i="1"/>
  <c r="S507" i="1"/>
  <c r="R508" i="1"/>
  <c r="S508" i="1"/>
  <c r="R509" i="1"/>
  <c r="S509" i="1"/>
  <c r="R510" i="1"/>
  <c r="S510" i="1"/>
  <c r="R511" i="1"/>
  <c r="S511" i="1"/>
  <c r="R512" i="1"/>
  <c r="S512" i="1"/>
  <c r="R513" i="1"/>
  <c r="S513" i="1"/>
  <c r="R514" i="1"/>
  <c r="S514" i="1"/>
  <c r="R515" i="1"/>
  <c r="S515" i="1"/>
  <c r="R516" i="1"/>
  <c r="S516" i="1"/>
  <c r="R517" i="1"/>
  <c r="S517" i="1"/>
  <c r="R518" i="1"/>
  <c r="S518" i="1"/>
  <c r="R519" i="1"/>
  <c r="S519" i="1"/>
  <c r="R520" i="1"/>
  <c r="S520" i="1"/>
  <c r="R521" i="1"/>
  <c r="S521" i="1"/>
  <c r="R523" i="1"/>
  <c r="S523" i="1"/>
  <c r="R524" i="1"/>
  <c r="S524" i="1"/>
  <c r="R525" i="1"/>
  <c r="S525" i="1"/>
  <c r="R526" i="1"/>
  <c r="S526" i="1"/>
  <c r="R527" i="1"/>
  <c r="S527" i="1"/>
  <c r="R528" i="1"/>
  <c r="S528" i="1"/>
  <c r="R529" i="1"/>
  <c r="S529" i="1"/>
  <c r="R530" i="1"/>
  <c r="S530" i="1"/>
  <c r="R531" i="1"/>
  <c r="S531" i="1"/>
  <c r="R532" i="1"/>
  <c r="S532" i="1"/>
  <c r="R533" i="1"/>
  <c r="S533" i="1"/>
  <c r="R534" i="1"/>
  <c r="S534" i="1"/>
  <c r="R535" i="1"/>
  <c r="S535" i="1"/>
  <c r="R536" i="1"/>
  <c r="S536" i="1"/>
  <c r="R537" i="1"/>
  <c r="S537" i="1"/>
  <c r="R538" i="1"/>
  <c r="S538" i="1"/>
  <c r="R539" i="1"/>
  <c r="S539" i="1"/>
  <c r="R540" i="1"/>
  <c r="S540" i="1"/>
  <c r="R541" i="1"/>
  <c r="S541" i="1"/>
  <c r="R542" i="1"/>
  <c r="S542" i="1"/>
  <c r="R543" i="1"/>
  <c r="S543" i="1"/>
  <c r="R544" i="1"/>
  <c r="S544" i="1"/>
  <c r="R545" i="1"/>
  <c r="S545" i="1"/>
  <c r="R546" i="1"/>
  <c r="S546" i="1"/>
  <c r="R547" i="1"/>
  <c r="S547" i="1"/>
  <c r="R548" i="1"/>
  <c r="S548" i="1"/>
  <c r="R549" i="1"/>
  <c r="S549" i="1"/>
  <c r="R550" i="1"/>
  <c r="S550" i="1"/>
  <c r="R551" i="1"/>
  <c r="S551" i="1"/>
  <c r="R552" i="1"/>
  <c r="S552" i="1"/>
  <c r="R553" i="1"/>
  <c r="S553" i="1"/>
  <c r="R554" i="1"/>
  <c r="S554" i="1"/>
  <c r="R555" i="1"/>
  <c r="S555" i="1"/>
  <c r="R556" i="1"/>
  <c r="S556" i="1"/>
  <c r="R557" i="1"/>
  <c r="S557" i="1"/>
  <c r="R558" i="1"/>
  <c r="S558" i="1"/>
  <c r="R559" i="1"/>
  <c r="S559" i="1"/>
  <c r="R560" i="1"/>
  <c r="S560" i="1"/>
  <c r="R561" i="1"/>
  <c r="R562" i="1"/>
  <c r="S562" i="1"/>
  <c r="R563" i="1"/>
  <c r="S563" i="1"/>
  <c r="R564" i="1"/>
  <c r="S564" i="1"/>
  <c r="R565" i="1"/>
  <c r="S565" i="1"/>
  <c r="R566" i="1"/>
  <c r="S566" i="1"/>
  <c r="R567" i="1"/>
  <c r="S567" i="1"/>
  <c r="R568" i="1"/>
  <c r="S568" i="1"/>
  <c r="R569" i="1"/>
  <c r="S569" i="1"/>
  <c r="R570" i="1"/>
  <c r="S570" i="1"/>
  <c r="R571" i="1"/>
  <c r="S571" i="1"/>
  <c r="T585" i="1"/>
  <c r="T587" i="1"/>
  <c r="T590" i="1"/>
  <c r="T604" i="1"/>
  <c r="T611" i="1"/>
  <c r="T623" i="1"/>
  <c r="T628" i="1"/>
  <c r="T632" i="1"/>
  <c r="T641" i="1"/>
  <c r="T644" i="1"/>
  <c r="T646" i="1"/>
  <c r="T652" i="1"/>
  <c r="R655" i="1"/>
  <c r="S655" i="1"/>
  <c r="R656" i="1"/>
  <c r="S656" i="1"/>
  <c r="R657" i="1"/>
  <c r="S657" i="1"/>
  <c r="R658" i="1"/>
  <c r="S658" i="1"/>
  <c r="R659" i="1"/>
  <c r="S659" i="1"/>
  <c r="R660" i="1"/>
  <c r="S660" i="1"/>
  <c r="R661" i="1"/>
  <c r="S661" i="1"/>
  <c r="R662" i="1"/>
  <c r="S662" i="1"/>
  <c r="R663" i="1"/>
  <c r="S663" i="1"/>
  <c r="R664" i="1"/>
  <c r="S664" i="1"/>
  <c r="R665" i="1"/>
  <c r="S665" i="1"/>
  <c r="R666" i="1"/>
  <c r="S666" i="1"/>
  <c r="R667" i="1"/>
  <c r="S667" i="1"/>
  <c r="R668" i="1"/>
  <c r="S668" i="1"/>
  <c r="R669" i="1"/>
  <c r="S669" i="1"/>
  <c r="R670" i="1"/>
  <c r="S670" i="1"/>
  <c r="R671" i="1"/>
  <c r="S671" i="1"/>
  <c r="R672" i="1"/>
  <c r="S672" i="1"/>
  <c r="R673" i="1"/>
  <c r="S673" i="1"/>
  <c r="R674" i="1"/>
  <c r="S674" i="1"/>
  <c r="R675" i="1"/>
  <c r="S675" i="1"/>
  <c r="R676" i="1"/>
  <c r="S676" i="1"/>
  <c r="R677" i="1"/>
  <c r="R678" i="1"/>
  <c r="S678" i="1"/>
  <c r="R679" i="1"/>
  <c r="S679" i="1"/>
  <c r="R680" i="1"/>
  <c r="S680" i="1"/>
  <c r="R681" i="1"/>
  <c r="S681" i="1"/>
  <c r="R682" i="1"/>
  <c r="S682" i="1"/>
  <c r="R683" i="1"/>
  <c r="S683" i="1"/>
  <c r="R684" i="1"/>
  <c r="S684" i="1"/>
  <c r="R685" i="1"/>
  <c r="S685" i="1"/>
  <c r="R687" i="1"/>
  <c r="S687" i="1"/>
  <c r="R688" i="1"/>
  <c r="R689" i="1"/>
  <c r="R690" i="1"/>
  <c r="S690" i="1"/>
  <c r="R691" i="1"/>
  <c r="S691" i="1"/>
  <c r="R692" i="1"/>
  <c r="S692" i="1"/>
  <c r="R693" i="1"/>
  <c r="S693" i="1"/>
  <c r="R694" i="1"/>
  <c r="S694" i="1"/>
  <c r="R695" i="1"/>
  <c r="S695" i="1"/>
  <c r="R696" i="1"/>
  <c r="S696" i="1"/>
  <c r="R697" i="1"/>
  <c r="S697" i="1"/>
  <c r="R698" i="1"/>
  <c r="S698" i="1"/>
  <c r="R699" i="1"/>
  <c r="S699" i="1"/>
  <c r="R700" i="1"/>
  <c r="S700" i="1"/>
  <c r="R701" i="1"/>
  <c r="S701" i="1"/>
  <c r="R702" i="1"/>
  <c r="S702" i="1"/>
  <c r="R703" i="1"/>
  <c r="S703" i="1"/>
  <c r="R704" i="1"/>
  <c r="S704" i="1"/>
  <c r="R705" i="1"/>
  <c r="S705" i="1"/>
  <c r="R706" i="1"/>
  <c r="S706" i="1"/>
  <c r="R707" i="1"/>
  <c r="S707" i="1"/>
  <c r="R708" i="1"/>
  <c r="S708" i="1"/>
  <c r="R709" i="1"/>
  <c r="S709" i="1"/>
  <c r="R710" i="1"/>
  <c r="S710" i="1"/>
  <c r="R711" i="1"/>
  <c r="S711" i="1"/>
  <c r="R712" i="1"/>
  <c r="S712" i="1"/>
  <c r="R713" i="1"/>
  <c r="S713" i="1"/>
  <c r="R714" i="1"/>
  <c r="S714" i="1"/>
  <c r="R715" i="1"/>
  <c r="S715" i="1"/>
  <c r="R716" i="1"/>
  <c r="S716" i="1"/>
  <c r="R717" i="1"/>
  <c r="S717" i="1"/>
  <c r="R718" i="1"/>
  <c r="S718" i="1"/>
  <c r="R720" i="1"/>
  <c r="S720" i="1"/>
  <c r="R721" i="1"/>
  <c r="S721" i="1"/>
  <c r="R722" i="1"/>
  <c r="S722" i="1"/>
  <c r="R723" i="1"/>
  <c r="S723" i="1"/>
  <c r="R724" i="1"/>
  <c r="S724" i="1"/>
  <c r="R725" i="1"/>
  <c r="S725" i="1"/>
  <c r="R726" i="1"/>
  <c r="S726" i="1"/>
  <c r="R727" i="1"/>
  <c r="S727" i="1"/>
  <c r="R728" i="1"/>
  <c r="S728" i="1"/>
  <c r="R729" i="1"/>
  <c r="S729" i="1"/>
  <c r="R730" i="1"/>
  <c r="S730" i="1"/>
  <c r="R731" i="1"/>
  <c r="R732" i="1"/>
  <c r="S732" i="1"/>
  <c r="R733" i="1"/>
  <c r="R734" i="1"/>
  <c r="R735" i="1"/>
  <c r="S735" i="1"/>
  <c r="R736" i="1"/>
  <c r="R737" i="1"/>
  <c r="S737" i="1"/>
  <c r="R738" i="1"/>
  <c r="S738" i="1"/>
  <c r="R739" i="1"/>
  <c r="S739" i="1"/>
  <c r="R740" i="1"/>
  <c r="S740" i="1"/>
  <c r="R741" i="1"/>
  <c r="R742" i="1"/>
  <c r="S742" i="1"/>
  <c r="R743" i="1"/>
  <c r="R744" i="1"/>
  <c r="R745" i="1"/>
  <c r="S745" i="1"/>
  <c r="R747" i="1"/>
  <c r="S747" i="1"/>
  <c r="R748" i="1"/>
  <c r="S748" i="1"/>
  <c r="R749" i="1"/>
  <c r="S749" i="1"/>
  <c r="R750" i="1"/>
  <c r="S750" i="1"/>
  <c r="R751" i="1"/>
  <c r="S751" i="1"/>
  <c r="R752" i="1"/>
  <c r="S752" i="1"/>
  <c r="R753" i="1"/>
  <c r="S753" i="1"/>
  <c r="R754" i="1"/>
  <c r="S754" i="1"/>
  <c r="R755" i="1"/>
  <c r="S755" i="1"/>
  <c r="R756" i="1"/>
  <c r="S756" i="1"/>
  <c r="R757" i="1"/>
  <c r="S757" i="1"/>
  <c r="R758" i="1"/>
  <c r="S758" i="1"/>
  <c r="R759" i="1"/>
  <c r="S759" i="1"/>
  <c r="R760" i="1"/>
  <c r="S760" i="1"/>
  <c r="R761" i="1"/>
  <c r="S761" i="1"/>
  <c r="R762" i="1"/>
  <c r="S762" i="1"/>
  <c r="R763" i="1"/>
  <c r="S763" i="1"/>
  <c r="R764" i="1"/>
  <c r="S764" i="1"/>
  <c r="R765" i="1"/>
  <c r="S765" i="1"/>
  <c r="R766" i="1"/>
  <c r="S766" i="1"/>
  <c r="R767" i="1"/>
  <c r="S767" i="1"/>
  <c r="R768" i="1"/>
  <c r="S768" i="1"/>
  <c r="R769" i="1"/>
  <c r="S769" i="1"/>
  <c r="R770" i="1"/>
  <c r="S770" i="1"/>
  <c r="R771" i="1"/>
  <c r="S771" i="1"/>
  <c r="R772" i="1"/>
  <c r="S772" i="1"/>
  <c r="R773" i="1"/>
  <c r="S773" i="1"/>
  <c r="R774" i="1"/>
  <c r="S774" i="1"/>
  <c r="R775" i="1"/>
  <c r="S775" i="1"/>
  <c r="R776" i="1"/>
  <c r="S776" i="1"/>
  <c r="R777" i="1"/>
  <c r="S777" i="1"/>
  <c r="R778" i="1"/>
  <c r="S778" i="1"/>
  <c r="R780" i="1"/>
  <c r="S780" i="1"/>
  <c r="R781" i="1"/>
  <c r="S781" i="1"/>
  <c r="R782" i="1"/>
  <c r="S782" i="1"/>
  <c r="R783" i="1"/>
  <c r="S783" i="1"/>
  <c r="R784" i="1"/>
  <c r="S784" i="1"/>
  <c r="R785" i="1"/>
  <c r="S785" i="1"/>
  <c r="R786" i="1"/>
  <c r="S786" i="1"/>
  <c r="R787" i="1"/>
  <c r="S787" i="1"/>
  <c r="R788" i="1"/>
  <c r="S788" i="1"/>
  <c r="R789" i="1"/>
  <c r="S789" i="1"/>
  <c r="R790" i="1"/>
  <c r="S790" i="1"/>
  <c r="R791" i="1"/>
  <c r="S791" i="1"/>
  <c r="R792" i="1"/>
  <c r="S792" i="1"/>
  <c r="R793" i="1"/>
  <c r="S793" i="1"/>
  <c r="R794" i="1"/>
  <c r="S794" i="1"/>
  <c r="R795" i="1"/>
  <c r="S795" i="1"/>
  <c r="R796" i="1"/>
  <c r="S796" i="1"/>
  <c r="R797" i="1"/>
  <c r="S797" i="1"/>
  <c r="R798" i="1"/>
  <c r="S798" i="1"/>
  <c r="R799" i="1"/>
  <c r="S799" i="1"/>
  <c r="R800" i="1"/>
  <c r="S800" i="1"/>
  <c r="R801" i="1"/>
  <c r="S801" i="1"/>
  <c r="R802" i="1"/>
  <c r="S802" i="1"/>
  <c r="R803" i="1"/>
  <c r="S803" i="1"/>
  <c r="R804" i="1"/>
  <c r="S804" i="1"/>
  <c r="R805" i="1"/>
  <c r="S805" i="1"/>
  <c r="R806" i="1"/>
  <c r="S806" i="1"/>
  <c r="R807" i="1"/>
  <c r="S807" i="1"/>
  <c r="R808" i="1"/>
  <c r="S808" i="1"/>
  <c r="R809" i="1"/>
  <c r="S809" i="1"/>
  <c r="R810" i="1"/>
  <c r="S810" i="1"/>
  <c r="R811" i="1"/>
  <c r="S811" i="1"/>
  <c r="R812" i="1"/>
  <c r="S812" i="1"/>
  <c r="R813" i="1"/>
  <c r="S813" i="1"/>
  <c r="R814" i="1"/>
  <c r="S814" i="1"/>
  <c r="R815" i="1"/>
  <c r="S815" i="1"/>
  <c r="R816" i="1"/>
  <c r="S816" i="1"/>
  <c r="R817" i="1"/>
  <c r="S817" i="1"/>
  <c r="R818" i="1"/>
  <c r="S818" i="1"/>
  <c r="R819" i="1"/>
  <c r="S819" i="1"/>
  <c r="R820" i="1"/>
  <c r="S820" i="1"/>
  <c r="R821" i="1"/>
  <c r="S821" i="1"/>
  <c r="R822" i="1"/>
  <c r="S822" i="1"/>
  <c r="R823" i="1"/>
  <c r="S823" i="1"/>
  <c r="R824" i="1"/>
  <c r="S824" i="1"/>
  <c r="R825" i="1"/>
  <c r="S825" i="1"/>
  <c r="R826" i="1"/>
  <c r="S826" i="1"/>
  <c r="R827" i="1"/>
  <c r="S827" i="1"/>
  <c r="R828" i="1"/>
  <c r="S828" i="1"/>
  <c r="R829" i="1"/>
  <c r="S829" i="1"/>
  <c r="R830" i="1"/>
  <c r="S830" i="1"/>
  <c r="R831" i="1"/>
  <c r="S831" i="1"/>
  <c r="R832" i="1"/>
  <c r="S832" i="1"/>
  <c r="R833" i="1"/>
  <c r="S833" i="1"/>
  <c r="R834" i="1"/>
  <c r="S834" i="1"/>
  <c r="R835" i="1"/>
  <c r="S835" i="1"/>
  <c r="R836" i="1"/>
  <c r="S836" i="1"/>
  <c r="R837" i="1"/>
  <c r="S837" i="1"/>
  <c r="R838" i="1"/>
  <c r="S838" i="1"/>
  <c r="R839" i="1"/>
  <c r="S839" i="1"/>
  <c r="R840" i="1"/>
  <c r="S840" i="1"/>
  <c r="R841" i="1"/>
  <c r="S841" i="1"/>
  <c r="R842" i="1"/>
  <c r="S842" i="1"/>
  <c r="R843" i="1"/>
  <c r="S843" i="1"/>
  <c r="R844" i="1"/>
  <c r="S844" i="1"/>
  <c r="R845" i="1"/>
  <c r="S845" i="1"/>
  <c r="R846" i="1"/>
  <c r="S846" i="1"/>
  <c r="R847" i="1"/>
  <c r="S847" i="1"/>
  <c r="R848" i="1"/>
  <c r="S848" i="1"/>
  <c r="R849" i="1"/>
  <c r="S849" i="1"/>
  <c r="R850" i="1"/>
  <c r="S850" i="1"/>
  <c r="R851" i="1"/>
  <c r="S851" i="1"/>
  <c r="R852" i="1"/>
  <c r="S852" i="1"/>
  <c r="R853" i="1"/>
  <c r="S853" i="1"/>
  <c r="R854" i="1"/>
  <c r="S854" i="1"/>
  <c r="R855" i="1"/>
  <c r="S855" i="1"/>
  <c r="R856" i="1"/>
  <c r="S856" i="1"/>
  <c r="R857" i="1"/>
  <c r="S857" i="1"/>
  <c r="R858" i="1"/>
  <c r="S858" i="1"/>
  <c r="R859" i="1"/>
  <c r="S859" i="1"/>
  <c r="R860" i="1"/>
  <c r="S860" i="1"/>
  <c r="R861" i="1"/>
  <c r="S861" i="1"/>
  <c r="R862" i="1"/>
  <c r="S862" i="1"/>
  <c r="R863" i="1"/>
  <c r="S863" i="1"/>
  <c r="R864" i="1"/>
  <c r="S864" i="1"/>
  <c r="R865" i="1"/>
  <c r="S865" i="1"/>
  <c r="R866" i="1"/>
  <c r="S866" i="1"/>
  <c r="R867" i="1"/>
  <c r="S867" i="1"/>
  <c r="R868" i="1"/>
  <c r="S868" i="1"/>
  <c r="R869" i="1"/>
  <c r="S869" i="1"/>
  <c r="R870" i="1"/>
  <c r="S870" i="1"/>
  <c r="R871" i="1"/>
  <c r="S871" i="1"/>
  <c r="R872" i="1"/>
  <c r="S872" i="1"/>
  <c r="R873" i="1"/>
  <c r="S873" i="1"/>
  <c r="R874" i="1"/>
  <c r="S874" i="1"/>
  <c r="R875" i="1"/>
  <c r="S875" i="1"/>
  <c r="R876" i="1"/>
  <c r="S876" i="1"/>
  <c r="R877" i="1"/>
  <c r="S877" i="1"/>
  <c r="R878" i="1"/>
  <c r="S878" i="1"/>
  <c r="R879" i="1"/>
  <c r="S879" i="1"/>
  <c r="R880" i="1"/>
  <c r="S880" i="1"/>
  <c r="R881" i="1"/>
  <c r="S881" i="1"/>
  <c r="R882" i="1"/>
  <c r="S882" i="1"/>
  <c r="R883" i="1"/>
  <c r="S883" i="1"/>
  <c r="R884" i="1"/>
  <c r="S884" i="1"/>
  <c r="R885" i="1"/>
  <c r="S885" i="1"/>
  <c r="R886" i="1"/>
  <c r="S886" i="1"/>
  <c r="R887" i="1"/>
  <c r="S887" i="1"/>
  <c r="R888" i="1"/>
  <c r="S888" i="1"/>
  <c r="R889" i="1"/>
  <c r="S889" i="1"/>
  <c r="R890" i="1"/>
  <c r="S890" i="1"/>
  <c r="R891" i="1"/>
  <c r="S891" i="1"/>
  <c r="R892" i="1"/>
  <c r="S892" i="1"/>
  <c r="R893" i="1"/>
  <c r="S893" i="1"/>
  <c r="R894" i="1"/>
  <c r="S894" i="1"/>
  <c r="R895" i="1"/>
  <c r="S895" i="1"/>
  <c r="R896" i="1"/>
  <c r="S896" i="1"/>
  <c r="R897" i="1"/>
  <c r="S897" i="1"/>
  <c r="R898" i="1"/>
  <c r="S898" i="1"/>
  <c r="R899" i="1"/>
  <c r="S899" i="1"/>
  <c r="R900" i="1"/>
  <c r="S900" i="1"/>
  <c r="R901" i="1"/>
  <c r="S901" i="1"/>
  <c r="R902" i="1"/>
  <c r="S902" i="1"/>
  <c r="R903" i="1"/>
  <c r="S903" i="1"/>
  <c r="R904" i="1"/>
  <c r="S904" i="1"/>
  <c r="R905" i="1"/>
  <c r="S905" i="1"/>
  <c r="R906" i="1"/>
  <c r="S906" i="1"/>
  <c r="R907" i="1"/>
  <c r="S907" i="1"/>
  <c r="R908" i="1"/>
  <c r="S908" i="1"/>
  <c r="R909" i="1"/>
  <c r="S909" i="1"/>
  <c r="R910" i="1"/>
  <c r="S910" i="1"/>
  <c r="R911" i="1"/>
  <c r="S911" i="1"/>
  <c r="R912" i="1"/>
  <c r="S912" i="1"/>
  <c r="R913" i="1"/>
  <c r="S913" i="1"/>
  <c r="R914" i="1"/>
  <c r="S914" i="1"/>
  <c r="R915" i="1"/>
  <c r="S915" i="1"/>
  <c r="R916" i="1"/>
  <c r="S916" i="1"/>
  <c r="R917" i="1"/>
  <c r="S917" i="1"/>
  <c r="R918" i="1"/>
  <c r="S918" i="1"/>
  <c r="R919" i="1"/>
  <c r="S919" i="1"/>
  <c r="R920" i="1"/>
  <c r="S920" i="1"/>
  <c r="R921" i="1"/>
  <c r="S921" i="1"/>
  <c r="R922" i="1"/>
  <c r="S922" i="1"/>
  <c r="R923" i="1"/>
  <c r="S923" i="1"/>
  <c r="R924" i="1"/>
  <c r="S924" i="1"/>
  <c r="R925" i="1"/>
  <c r="S925" i="1"/>
  <c r="R926" i="1"/>
  <c r="S926" i="1"/>
  <c r="R927" i="1"/>
  <c r="S927" i="1"/>
  <c r="R928" i="1"/>
  <c r="S928" i="1"/>
  <c r="R929" i="1"/>
  <c r="S929" i="1"/>
  <c r="R930" i="1"/>
  <c r="S930" i="1"/>
  <c r="R931" i="1"/>
  <c r="S931" i="1"/>
  <c r="R932" i="1"/>
  <c r="S932" i="1"/>
  <c r="R933" i="1"/>
  <c r="S933" i="1"/>
  <c r="R934" i="1"/>
  <c r="S934" i="1"/>
  <c r="R935" i="1"/>
  <c r="S935" i="1"/>
  <c r="R936" i="1"/>
  <c r="S936" i="1"/>
  <c r="R937" i="1"/>
  <c r="S937" i="1"/>
  <c r="R938" i="1"/>
  <c r="S938" i="1"/>
  <c r="R939" i="1"/>
  <c r="S939" i="1"/>
  <c r="R940" i="1"/>
  <c r="S940" i="1"/>
  <c r="R941" i="1"/>
  <c r="S941" i="1"/>
  <c r="R942" i="1"/>
  <c r="S942" i="1"/>
  <c r="R943" i="1"/>
  <c r="S943" i="1"/>
  <c r="R944" i="1"/>
  <c r="S944" i="1"/>
  <c r="R945" i="1"/>
  <c r="S945" i="1"/>
  <c r="R946" i="1"/>
  <c r="S946" i="1"/>
  <c r="R947" i="1"/>
  <c r="S947" i="1"/>
  <c r="R948" i="1"/>
  <c r="S948" i="1"/>
  <c r="R949" i="1"/>
  <c r="S949" i="1"/>
  <c r="R950" i="1"/>
  <c r="S950" i="1"/>
  <c r="R951" i="1"/>
  <c r="S951" i="1"/>
  <c r="R952" i="1"/>
  <c r="S952" i="1"/>
  <c r="R953" i="1"/>
  <c r="S953" i="1"/>
  <c r="R954" i="1"/>
  <c r="S954" i="1"/>
  <c r="R955" i="1"/>
  <c r="S955" i="1"/>
  <c r="R956" i="1"/>
  <c r="S956" i="1"/>
  <c r="R957" i="1"/>
  <c r="S957" i="1"/>
  <c r="R958" i="1"/>
  <c r="S958" i="1"/>
  <c r="R959" i="1"/>
  <c r="S959" i="1"/>
  <c r="R960" i="1"/>
  <c r="S960" i="1"/>
  <c r="R961" i="1"/>
  <c r="S961" i="1"/>
  <c r="R962" i="1"/>
  <c r="S962" i="1"/>
  <c r="R963" i="1"/>
  <c r="S963" i="1"/>
  <c r="R964" i="1"/>
  <c r="S964" i="1"/>
  <c r="R965" i="1"/>
  <c r="S965" i="1"/>
  <c r="R966" i="1"/>
  <c r="S966" i="1"/>
  <c r="R967" i="1"/>
  <c r="S967" i="1"/>
  <c r="R968" i="1"/>
  <c r="S968" i="1"/>
  <c r="R969" i="1"/>
  <c r="S969" i="1"/>
  <c r="R970" i="1"/>
  <c r="S970" i="1"/>
  <c r="R971" i="1"/>
  <c r="S971" i="1"/>
  <c r="R972" i="1"/>
  <c r="S972" i="1"/>
  <c r="R973" i="1"/>
  <c r="S973" i="1"/>
  <c r="R974" i="1"/>
  <c r="S974" i="1"/>
  <c r="R975" i="1"/>
  <c r="S975" i="1"/>
  <c r="R976" i="1"/>
  <c r="S976" i="1"/>
  <c r="R977" i="1"/>
  <c r="S977" i="1"/>
  <c r="R978" i="1"/>
  <c r="S978" i="1"/>
  <c r="R979" i="1"/>
  <c r="S979" i="1"/>
  <c r="R980" i="1"/>
  <c r="S980" i="1"/>
  <c r="R981" i="1"/>
  <c r="S981" i="1"/>
  <c r="R982" i="1"/>
  <c r="S982" i="1"/>
  <c r="R983" i="1"/>
  <c r="S983" i="1"/>
  <c r="R984" i="1"/>
  <c r="S984" i="1"/>
  <c r="R985" i="1"/>
  <c r="S985" i="1"/>
  <c r="R986" i="1"/>
  <c r="S986" i="1"/>
  <c r="R987" i="1"/>
  <c r="S987" i="1"/>
  <c r="R988" i="1"/>
  <c r="S988" i="1"/>
  <c r="R989" i="1"/>
  <c r="S989" i="1"/>
  <c r="R990" i="1"/>
  <c r="S990" i="1"/>
  <c r="R991" i="1"/>
  <c r="S991" i="1"/>
  <c r="R992" i="1"/>
  <c r="S992" i="1"/>
  <c r="R993" i="1"/>
  <c r="S993" i="1"/>
  <c r="R994" i="1"/>
  <c r="S994" i="1"/>
  <c r="R995" i="1"/>
  <c r="S995" i="1"/>
  <c r="R996" i="1"/>
  <c r="S996" i="1"/>
  <c r="R997" i="1"/>
  <c r="S997" i="1"/>
  <c r="R998" i="1"/>
  <c r="S998" i="1"/>
  <c r="R999" i="1"/>
  <c r="S999" i="1"/>
  <c r="R1000" i="1"/>
  <c r="S1000" i="1"/>
  <c r="R1001" i="1"/>
  <c r="S1001" i="1"/>
  <c r="R1002" i="1"/>
  <c r="S1002" i="1"/>
  <c r="R1003" i="1"/>
  <c r="S1003" i="1"/>
  <c r="R1004" i="1"/>
  <c r="S1004" i="1"/>
  <c r="R1005" i="1"/>
  <c r="S1005" i="1"/>
  <c r="R1006" i="1"/>
  <c r="S1006" i="1"/>
  <c r="R1007" i="1"/>
  <c r="S1007" i="1"/>
  <c r="R1008" i="1"/>
  <c r="S1008" i="1"/>
  <c r="R1009" i="1"/>
  <c r="S1009" i="1"/>
  <c r="R1010" i="1"/>
  <c r="S1010" i="1"/>
  <c r="R1011" i="1"/>
  <c r="S1011" i="1"/>
  <c r="R1012" i="1"/>
  <c r="S1012" i="1"/>
  <c r="R1013" i="1"/>
  <c r="S1013" i="1"/>
  <c r="R1014" i="1"/>
  <c r="S1014" i="1"/>
  <c r="R1015" i="1"/>
  <c r="S1015" i="1"/>
  <c r="R1016" i="1"/>
  <c r="S1016" i="1"/>
  <c r="R1017" i="1"/>
  <c r="S1017" i="1"/>
  <c r="R1018" i="1"/>
  <c r="S1018" i="1"/>
  <c r="R1019" i="1"/>
  <c r="S1019" i="1"/>
  <c r="R1020" i="1"/>
  <c r="S1020" i="1"/>
  <c r="R1021" i="1"/>
  <c r="S1021" i="1"/>
  <c r="R1022" i="1"/>
  <c r="S1022" i="1"/>
  <c r="R1023" i="1"/>
  <c r="S1023" i="1"/>
  <c r="R1024" i="1"/>
  <c r="S1024" i="1"/>
  <c r="R1025" i="1"/>
  <c r="S1025" i="1"/>
  <c r="R1026" i="1"/>
  <c r="S1026" i="1"/>
  <c r="R1027" i="1"/>
  <c r="S1027" i="1"/>
  <c r="R1028" i="1"/>
  <c r="S1028" i="1"/>
  <c r="R1029" i="1"/>
  <c r="S1029" i="1"/>
  <c r="R1030" i="1"/>
  <c r="S1030" i="1"/>
  <c r="R1031" i="1"/>
  <c r="S1031" i="1"/>
  <c r="R1032" i="1"/>
  <c r="S1032" i="1"/>
  <c r="R1033" i="1"/>
  <c r="S1033" i="1"/>
  <c r="R1034" i="1"/>
  <c r="S1034" i="1"/>
  <c r="R1035" i="1"/>
  <c r="S1035" i="1"/>
  <c r="R1036" i="1"/>
  <c r="S1036" i="1"/>
  <c r="R1037" i="1"/>
  <c r="S1037" i="1"/>
  <c r="R1038" i="1"/>
  <c r="S1038" i="1"/>
  <c r="R1039" i="1"/>
  <c r="S1039" i="1"/>
  <c r="R1040" i="1"/>
  <c r="S1040" i="1"/>
  <c r="R1041" i="1"/>
  <c r="S1041" i="1"/>
  <c r="R1042" i="1"/>
  <c r="S1042" i="1"/>
  <c r="R1043" i="1"/>
  <c r="S1043" i="1"/>
  <c r="R1044" i="1"/>
  <c r="S1044" i="1"/>
  <c r="R1045" i="1"/>
  <c r="S1045" i="1"/>
  <c r="R1046" i="1"/>
  <c r="S1046" i="1"/>
  <c r="R1047" i="1"/>
  <c r="S1047" i="1"/>
  <c r="R1048" i="1"/>
  <c r="S1048" i="1"/>
  <c r="R1049" i="1"/>
  <c r="S1049" i="1"/>
  <c r="R1050" i="1"/>
  <c r="S1050" i="1"/>
  <c r="R1051" i="1"/>
  <c r="S1051" i="1"/>
  <c r="R1052" i="1"/>
  <c r="S1052" i="1"/>
  <c r="R1053" i="1"/>
  <c r="S1053" i="1"/>
  <c r="R1054" i="1"/>
  <c r="S1054" i="1"/>
  <c r="R1055" i="1"/>
  <c r="S1055" i="1"/>
  <c r="R1056" i="1"/>
  <c r="S1056" i="1"/>
  <c r="R1057" i="1"/>
  <c r="S1057" i="1"/>
  <c r="R1058" i="1"/>
  <c r="S1058" i="1"/>
  <c r="R1059" i="1"/>
  <c r="S1059" i="1"/>
  <c r="R1060" i="1"/>
  <c r="S1060" i="1"/>
  <c r="R1061" i="1"/>
  <c r="S1061" i="1"/>
  <c r="R1062" i="1"/>
  <c r="S1062" i="1"/>
  <c r="R1063" i="1"/>
  <c r="S1063" i="1"/>
  <c r="R1064" i="1"/>
  <c r="S1064" i="1"/>
  <c r="R1065" i="1"/>
  <c r="S1065" i="1"/>
  <c r="R1066" i="1"/>
  <c r="S1066" i="1"/>
  <c r="R1067" i="1"/>
  <c r="S1067" i="1"/>
  <c r="R1068" i="1"/>
  <c r="S1068" i="1"/>
  <c r="R1069" i="1"/>
  <c r="S1069" i="1"/>
  <c r="R1070" i="1"/>
  <c r="S1070" i="1"/>
  <c r="R1071" i="1"/>
  <c r="S1071" i="1"/>
  <c r="R1072" i="1"/>
  <c r="S1072" i="1"/>
  <c r="R1073" i="1"/>
  <c r="S1073" i="1"/>
  <c r="R1074" i="1"/>
  <c r="S1074" i="1"/>
  <c r="R1075" i="1"/>
  <c r="S1075" i="1"/>
  <c r="R1076" i="1"/>
  <c r="S1076" i="1"/>
  <c r="R1077" i="1"/>
  <c r="S1077" i="1"/>
  <c r="R1078" i="1"/>
  <c r="S1078" i="1"/>
  <c r="R1079" i="1"/>
  <c r="S1079" i="1"/>
  <c r="R1080" i="1"/>
  <c r="S1080" i="1"/>
  <c r="R1081" i="1"/>
  <c r="S1081" i="1"/>
  <c r="R1082" i="1"/>
  <c r="S1082" i="1"/>
  <c r="R1083" i="1"/>
  <c r="S1083" i="1"/>
  <c r="R1084" i="1"/>
  <c r="S1084" i="1"/>
  <c r="R1085" i="1"/>
  <c r="S1085" i="1"/>
  <c r="R1086" i="1"/>
  <c r="S1086" i="1"/>
  <c r="R1087" i="1"/>
  <c r="S1087" i="1"/>
  <c r="R1088" i="1"/>
  <c r="S1088" i="1"/>
  <c r="R1089" i="1"/>
  <c r="S1089" i="1"/>
  <c r="R1090" i="1"/>
  <c r="S1090" i="1"/>
  <c r="R1091" i="1"/>
  <c r="S1091" i="1"/>
  <c r="R1092" i="1"/>
  <c r="S1092" i="1"/>
  <c r="R1093" i="1"/>
  <c r="S1093" i="1"/>
  <c r="R1094" i="1"/>
  <c r="S1094" i="1"/>
  <c r="R1095" i="1"/>
  <c r="S1095" i="1"/>
  <c r="R1096" i="1"/>
  <c r="S1096" i="1"/>
  <c r="R1097" i="1"/>
  <c r="S1097" i="1"/>
  <c r="R1098" i="1"/>
  <c r="S1098" i="1"/>
  <c r="R1099" i="1"/>
  <c r="S1099" i="1"/>
  <c r="R1100" i="1"/>
  <c r="S1100" i="1"/>
  <c r="R1101" i="1"/>
  <c r="S1101" i="1"/>
  <c r="R1102" i="1"/>
  <c r="S1102" i="1"/>
  <c r="R1103" i="1"/>
  <c r="S1103" i="1"/>
  <c r="R1104" i="1"/>
  <c r="S1104" i="1"/>
  <c r="R1105" i="1"/>
  <c r="S1105" i="1"/>
  <c r="R1106" i="1"/>
  <c r="S1106" i="1"/>
  <c r="R1107" i="1"/>
  <c r="S1107" i="1"/>
  <c r="R1108" i="1"/>
  <c r="S1108" i="1"/>
  <c r="R1109" i="1"/>
  <c r="S1109" i="1"/>
  <c r="R1110" i="1"/>
  <c r="S1110" i="1"/>
  <c r="R1111" i="1"/>
  <c r="S1111" i="1"/>
  <c r="R1112" i="1"/>
  <c r="S1112" i="1"/>
  <c r="R1113" i="1"/>
  <c r="S1113" i="1"/>
  <c r="R1114" i="1"/>
  <c r="S1114" i="1"/>
  <c r="R1115" i="1"/>
  <c r="S1115" i="1"/>
  <c r="R1116" i="1"/>
  <c r="S1116" i="1"/>
  <c r="R1117" i="1"/>
  <c r="S1117" i="1"/>
  <c r="R1118" i="1"/>
  <c r="S1118" i="1"/>
  <c r="R1119" i="1"/>
  <c r="S1119" i="1"/>
  <c r="R1120" i="1"/>
  <c r="S1120" i="1"/>
  <c r="R1121" i="1"/>
  <c r="S1121" i="1"/>
  <c r="R1122" i="1"/>
  <c r="S1122" i="1"/>
  <c r="R1123" i="1"/>
  <c r="S1123" i="1"/>
  <c r="R1124" i="1"/>
  <c r="S1124" i="1"/>
  <c r="R1125" i="1"/>
  <c r="S1125" i="1"/>
  <c r="R1126" i="1"/>
  <c r="S1126" i="1"/>
  <c r="R1127" i="1"/>
  <c r="S1127" i="1"/>
  <c r="R1128" i="1"/>
  <c r="S1128" i="1"/>
  <c r="R1129" i="1"/>
  <c r="S1129" i="1"/>
  <c r="R1130" i="1"/>
  <c r="S1130" i="1"/>
  <c r="R1131" i="1"/>
  <c r="S1131" i="1"/>
  <c r="R1132" i="1"/>
  <c r="S1132" i="1"/>
  <c r="R1133" i="1"/>
  <c r="S1133" i="1"/>
  <c r="R1134" i="1"/>
  <c r="S1134" i="1"/>
  <c r="R1135" i="1"/>
  <c r="S1135" i="1"/>
  <c r="R1136" i="1"/>
  <c r="S1136" i="1"/>
  <c r="R1137" i="1"/>
  <c r="S1137" i="1"/>
  <c r="R1138" i="1"/>
  <c r="S1138" i="1"/>
  <c r="R1139" i="1"/>
  <c r="S1139" i="1"/>
  <c r="R1140" i="1"/>
  <c r="S1140" i="1"/>
  <c r="R1141" i="1"/>
  <c r="S1141" i="1"/>
  <c r="R1142" i="1"/>
  <c r="S1142" i="1"/>
  <c r="R1143" i="1"/>
  <c r="S1143" i="1"/>
  <c r="R1144" i="1"/>
  <c r="S1144" i="1"/>
  <c r="R1145" i="1"/>
  <c r="S1145" i="1"/>
  <c r="R1146" i="1"/>
  <c r="S1146" i="1"/>
  <c r="R1147" i="1"/>
  <c r="S1147" i="1"/>
  <c r="R1148" i="1"/>
  <c r="S1148" i="1"/>
  <c r="R1149" i="1"/>
  <c r="S1149" i="1"/>
  <c r="R1150" i="1"/>
  <c r="S1150" i="1"/>
  <c r="R1151" i="1"/>
  <c r="S1151" i="1"/>
  <c r="R1152" i="1"/>
  <c r="S1152" i="1"/>
  <c r="R1153" i="1"/>
  <c r="S1153" i="1"/>
  <c r="R1154" i="1"/>
  <c r="S1154" i="1"/>
  <c r="R1155" i="1"/>
  <c r="S1155" i="1"/>
  <c r="R1156" i="1"/>
  <c r="S1156" i="1"/>
  <c r="R1157" i="1"/>
  <c r="S1157" i="1"/>
  <c r="R1158" i="1"/>
  <c r="S1158" i="1"/>
  <c r="R1159" i="1"/>
  <c r="S1159" i="1"/>
  <c r="R1160" i="1"/>
  <c r="S1160" i="1"/>
  <c r="R1161" i="1"/>
  <c r="S1161" i="1"/>
  <c r="R1162" i="1"/>
  <c r="S1162" i="1"/>
  <c r="R1163" i="1"/>
  <c r="S1163" i="1"/>
  <c r="R1164" i="1"/>
  <c r="S1164" i="1"/>
  <c r="R1165" i="1"/>
  <c r="S1165" i="1"/>
  <c r="R1166" i="1"/>
  <c r="S1166" i="1"/>
  <c r="R1167" i="1"/>
  <c r="S1167" i="1"/>
  <c r="R1168" i="1"/>
  <c r="S1168" i="1"/>
  <c r="R1169" i="1"/>
  <c r="S1169" i="1"/>
  <c r="R1170" i="1"/>
  <c r="S1170" i="1"/>
  <c r="R1171" i="1"/>
  <c r="S1171" i="1"/>
  <c r="R1172" i="1"/>
  <c r="S1172" i="1"/>
  <c r="R1173" i="1"/>
  <c r="S1173" i="1"/>
  <c r="R1174" i="1"/>
  <c r="S1174" i="1"/>
  <c r="R1175" i="1"/>
  <c r="S1175" i="1"/>
  <c r="R1176" i="1"/>
  <c r="S1176" i="1"/>
  <c r="R1177" i="1"/>
  <c r="S1177" i="1"/>
  <c r="R1178" i="1"/>
  <c r="S1178" i="1"/>
  <c r="R1179" i="1"/>
  <c r="S1179" i="1"/>
  <c r="R1180" i="1"/>
  <c r="S1180" i="1"/>
  <c r="R1181" i="1"/>
  <c r="S1181" i="1"/>
  <c r="R1182" i="1"/>
  <c r="S1182" i="1"/>
  <c r="R1183" i="1"/>
  <c r="S1183" i="1"/>
  <c r="R1184" i="1"/>
  <c r="S1184" i="1"/>
  <c r="R1185" i="1"/>
  <c r="S1185" i="1"/>
  <c r="R1186" i="1"/>
  <c r="S1186" i="1"/>
  <c r="R1187" i="1"/>
  <c r="S1187" i="1"/>
  <c r="R1188" i="1"/>
  <c r="S1188" i="1"/>
  <c r="R1189" i="1"/>
  <c r="S1189" i="1"/>
  <c r="R1190" i="1"/>
  <c r="S1190" i="1"/>
  <c r="R1191" i="1"/>
  <c r="S1191" i="1"/>
  <c r="R1192" i="1"/>
  <c r="S1192" i="1"/>
  <c r="R1193" i="1"/>
  <c r="S1193" i="1"/>
  <c r="R1194" i="1"/>
  <c r="S1194" i="1"/>
  <c r="R1195" i="1"/>
  <c r="S1195" i="1"/>
  <c r="R1196" i="1"/>
  <c r="S1196" i="1"/>
  <c r="R1197" i="1"/>
  <c r="S1197" i="1"/>
  <c r="R1198" i="1"/>
  <c r="S1198" i="1"/>
  <c r="R1199" i="1"/>
  <c r="S1199" i="1"/>
  <c r="R1200" i="1"/>
  <c r="S1200" i="1"/>
  <c r="R1201" i="1"/>
  <c r="S1201" i="1"/>
  <c r="R1202" i="1"/>
  <c r="S1202" i="1"/>
  <c r="R1203" i="1"/>
  <c r="S1203" i="1"/>
  <c r="R1204" i="1"/>
  <c r="S1204" i="1"/>
  <c r="R1205" i="1"/>
  <c r="S1205" i="1"/>
  <c r="R1206" i="1"/>
  <c r="S1206" i="1"/>
  <c r="R1207" i="1"/>
  <c r="S1207" i="1"/>
  <c r="R1208" i="1"/>
  <c r="S1208" i="1"/>
  <c r="R1209" i="1"/>
  <c r="S1209" i="1"/>
  <c r="R1210" i="1"/>
  <c r="S1210" i="1"/>
  <c r="R1211" i="1"/>
  <c r="S1211" i="1"/>
  <c r="R1212" i="1"/>
  <c r="S1212" i="1"/>
  <c r="R1213" i="1"/>
  <c r="S1213" i="1"/>
  <c r="R1214" i="1"/>
  <c r="S1214" i="1"/>
  <c r="R1215" i="1"/>
  <c r="S1215" i="1"/>
  <c r="R1216" i="1"/>
  <c r="S1216" i="1"/>
  <c r="R1217" i="1"/>
  <c r="S1217" i="1"/>
  <c r="R1218" i="1"/>
  <c r="S1218" i="1"/>
  <c r="R1219" i="1"/>
  <c r="S1219" i="1"/>
  <c r="R1220" i="1"/>
  <c r="S1220" i="1"/>
  <c r="R1221" i="1"/>
  <c r="S1221" i="1"/>
  <c r="R1222" i="1"/>
  <c r="S1222" i="1"/>
  <c r="R1223" i="1"/>
  <c r="S1223" i="1"/>
  <c r="R1224" i="1"/>
  <c r="S1224" i="1"/>
  <c r="R1225" i="1"/>
  <c r="S1225" i="1"/>
  <c r="R1226" i="1"/>
  <c r="S1226" i="1"/>
  <c r="R1227" i="1"/>
  <c r="S1227" i="1"/>
  <c r="R1228" i="1"/>
  <c r="S1228" i="1"/>
  <c r="R1229" i="1"/>
  <c r="S1229" i="1"/>
  <c r="R1230" i="1"/>
  <c r="S1230" i="1"/>
  <c r="R1231" i="1"/>
  <c r="S1231" i="1"/>
  <c r="R1232" i="1"/>
  <c r="S1232" i="1"/>
  <c r="R1233" i="1"/>
  <c r="S1233" i="1"/>
  <c r="R1234" i="1"/>
  <c r="S1234" i="1"/>
  <c r="R1235" i="1"/>
  <c r="S1235" i="1"/>
  <c r="R1236" i="1"/>
  <c r="S1236" i="1"/>
  <c r="R1237" i="1"/>
  <c r="S1237" i="1"/>
  <c r="R1238" i="1"/>
  <c r="S1238" i="1"/>
  <c r="R1239" i="1"/>
  <c r="S1239" i="1"/>
  <c r="R1240" i="1"/>
  <c r="S1240" i="1"/>
  <c r="R1241" i="1"/>
  <c r="S1241" i="1"/>
  <c r="R1242" i="1"/>
  <c r="S1242" i="1"/>
  <c r="R1243" i="1"/>
  <c r="S1243" i="1"/>
  <c r="R1244" i="1"/>
  <c r="S1244" i="1"/>
  <c r="R1245" i="1"/>
  <c r="S1245" i="1"/>
  <c r="R1246" i="1"/>
  <c r="S1246" i="1"/>
  <c r="R1247" i="1"/>
  <c r="S1247" i="1"/>
  <c r="R1248" i="1"/>
  <c r="S1248" i="1"/>
  <c r="R1249" i="1"/>
  <c r="S1249" i="1"/>
  <c r="R1250" i="1"/>
  <c r="S1250" i="1"/>
  <c r="R1251" i="1"/>
  <c r="S1251" i="1"/>
  <c r="R1252" i="1"/>
  <c r="S1252" i="1"/>
  <c r="R1253" i="1"/>
  <c r="S1253" i="1"/>
  <c r="R1254" i="1"/>
  <c r="S1254" i="1"/>
  <c r="R1255" i="1"/>
  <c r="S1255" i="1"/>
  <c r="R1256" i="1"/>
  <c r="S1256" i="1"/>
  <c r="R1257" i="1"/>
  <c r="S1257" i="1"/>
  <c r="R1258" i="1"/>
  <c r="S1258" i="1"/>
  <c r="R1259" i="1"/>
  <c r="S1259" i="1"/>
  <c r="R1260" i="1"/>
  <c r="S1260" i="1"/>
  <c r="R1261" i="1"/>
  <c r="S1261" i="1"/>
  <c r="R1262" i="1"/>
  <c r="S1262" i="1"/>
  <c r="R1263" i="1"/>
  <c r="S1263" i="1"/>
  <c r="R1264" i="1"/>
  <c r="S1264" i="1"/>
  <c r="R1265" i="1"/>
  <c r="S1265" i="1"/>
  <c r="R1266" i="1"/>
  <c r="S1266" i="1"/>
  <c r="R1267" i="1"/>
  <c r="S1267" i="1"/>
  <c r="R1268" i="1"/>
  <c r="S1268" i="1"/>
  <c r="R1269" i="1"/>
  <c r="S1269" i="1"/>
  <c r="R1270" i="1"/>
  <c r="S1270" i="1"/>
  <c r="R1271" i="1"/>
  <c r="S1271" i="1"/>
  <c r="R1272" i="1"/>
  <c r="S1272" i="1"/>
  <c r="R1273" i="1"/>
  <c r="S1273" i="1"/>
  <c r="R1274" i="1"/>
  <c r="S1274" i="1"/>
  <c r="R1275" i="1"/>
  <c r="S1275" i="1"/>
  <c r="R1276" i="1"/>
  <c r="S1276" i="1"/>
  <c r="R1277" i="1"/>
  <c r="S1277" i="1"/>
  <c r="R1278" i="1"/>
  <c r="S1278" i="1"/>
  <c r="R1279" i="1"/>
  <c r="S1279" i="1"/>
  <c r="R1280" i="1"/>
  <c r="S1280" i="1"/>
  <c r="R1281" i="1"/>
  <c r="S1281" i="1"/>
  <c r="R1282" i="1"/>
  <c r="S1282" i="1"/>
  <c r="R1283" i="1"/>
  <c r="S1283" i="1"/>
  <c r="R1284" i="1"/>
  <c r="S1284" i="1"/>
  <c r="R1285" i="1"/>
  <c r="S1285" i="1"/>
  <c r="R1286" i="1"/>
  <c r="S1286" i="1"/>
  <c r="R1287" i="1"/>
  <c r="S1287" i="1"/>
  <c r="R1288" i="1"/>
  <c r="S1288" i="1"/>
  <c r="R1289" i="1"/>
  <c r="S1289" i="1"/>
  <c r="R1290" i="1"/>
  <c r="S1290" i="1"/>
  <c r="R1291" i="1"/>
  <c r="S1291" i="1"/>
  <c r="R1292" i="1"/>
  <c r="S1292" i="1"/>
  <c r="R1293" i="1"/>
  <c r="S1293" i="1"/>
  <c r="R1294" i="1"/>
  <c r="S1294" i="1"/>
  <c r="R1295" i="1"/>
  <c r="S1295" i="1"/>
  <c r="R1296" i="1"/>
  <c r="S1296" i="1"/>
  <c r="R1297" i="1"/>
  <c r="S1297" i="1"/>
  <c r="R1298" i="1"/>
  <c r="S1298" i="1"/>
  <c r="R1299" i="1"/>
  <c r="S1299" i="1"/>
  <c r="R1300" i="1"/>
  <c r="S1300" i="1"/>
  <c r="R1301" i="1"/>
  <c r="S1301" i="1"/>
  <c r="R1302" i="1"/>
  <c r="S1302" i="1"/>
  <c r="R1303" i="1"/>
  <c r="S1303" i="1"/>
  <c r="R1304" i="1"/>
  <c r="S1304" i="1"/>
  <c r="R1305" i="1"/>
  <c r="S1305" i="1"/>
  <c r="R1306" i="1"/>
  <c r="S1306" i="1"/>
  <c r="R1307" i="1"/>
  <c r="S1307" i="1"/>
  <c r="R1308" i="1"/>
  <c r="S1308" i="1"/>
  <c r="R1309" i="1"/>
  <c r="S1309" i="1"/>
  <c r="R1310" i="1"/>
  <c r="S1310" i="1"/>
  <c r="R1311" i="1"/>
  <c r="S1311" i="1"/>
  <c r="R1312" i="1"/>
  <c r="S1312" i="1"/>
  <c r="R1313" i="1"/>
  <c r="S1313" i="1"/>
  <c r="R1314" i="1"/>
  <c r="S1314" i="1"/>
  <c r="R1315" i="1"/>
  <c r="S1315" i="1"/>
  <c r="R1316" i="1"/>
  <c r="S1316" i="1"/>
  <c r="R1317" i="1"/>
  <c r="S1317" i="1"/>
  <c r="R1318" i="1"/>
  <c r="S1318" i="1"/>
  <c r="R1319" i="1"/>
  <c r="S1319" i="1"/>
  <c r="R1320" i="1"/>
  <c r="S1320" i="1"/>
  <c r="R1321" i="1"/>
  <c r="S1321" i="1"/>
  <c r="R1322" i="1"/>
  <c r="S1322" i="1"/>
  <c r="R1323" i="1"/>
  <c r="S1323" i="1"/>
  <c r="R1324" i="1"/>
  <c r="S1324" i="1"/>
  <c r="R1325" i="1"/>
  <c r="S1325" i="1"/>
  <c r="R1326" i="1"/>
  <c r="S1326" i="1"/>
  <c r="R1327" i="1"/>
  <c r="S1327" i="1"/>
  <c r="R1328" i="1"/>
  <c r="S1328" i="1"/>
  <c r="R1329" i="1"/>
  <c r="S1329" i="1"/>
  <c r="R1330" i="1"/>
  <c r="S1330" i="1"/>
  <c r="R1331" i="1"/>
  <c r="S1331" i="1"/>
  <c r="R1332" i="1"/>
  <c r="S1332" i="1"/>
  <c r="R1333" i="1"/>
  <c r="S1333" i="1"/>
  <c r="R1334" i="1"/>
  <c r="S1334" i="1"/>
  <c r="R1335" i="1"/>
  <c r="S1335" i="1"/>
  <c r="R1336" i="1"/>
  <c r="S1336" i="1"/>
  <c r="R1337" i="1"/>
  <c r="S1337" i="1"/>
  <c r="R1338" i="1"/>
  <c r="S1338" i="1"/>
  <c r="R1339" i="1"/>
  <c r="S1339" i="1"/>
  <c r="R1340" i="1"/>
  <c r="S1340" i="1"/>
  <c r="R1341" i="1"/>
  <c r="S1341" i="1"/>
  <c r="R1342" i="1"/>
  <c r="S1342" i="1"/>
  <c r="R1343" i="1"/>
  <c r="S1343" i="1"/>
  <c r="R1344" i="1"/>
  <c r="S1344" i="1"/>
  <c r="R1345" i="1"/>
  <c r="S1345" i="1"/>
  <c r="R1346" i="1"/>
  <c r="S1346" i="1"/>
  <c r="R1347" i="1"/>
  <c r="S1347" i="1"/>
  <c r="R1348" i="1"/>
  <c r="S1348" i="1"/>
  <c r="R1349" i="1"/>
  <c r="S1349" i="1"/>
  <c r="R1350" i="1"/>
  <c r="S1350" i="1"/>
  <c r="R1351" i="1"/>
  <c r="S1351" i="1"/>
  <c r="R1352" i="1"/>
  <c r="S1352" i="1"/>
  <c r="R1353" i="1"/>
  <c r="S1353" i="1"/>
  <c r="R1354" i="1"/>
  <c r="S1354" i="1"/>
  <c r="R1355" i="1"/>
  <c r="S1355" i="1"/>
  <c r="R1356" i="1"/>
  <c r="S1356" i="1"/>
  <c r="R1357" i="1"/>
  <c r="S1357" i="1"/>
  <c r="R1358" i="1"/>
  <c r="S1358" i="1"/>
  <c r="R1359" i="1"/>
  <c r="S1359" i="1"/>
  <c r="R1360" i="1"/>
  <c r="S1360" i="1"/>
  <c r="R1361" i="1"/>
  <c r="S1361" i="1"/>
  <c r="R1362" i="1"/>
  <c r="S1362" i="1"/>
  <c r="R1363" i="1"/>
  <c r="S1363" i="1"/>
  <c r="R1364" i="1"/>
  <c r="S1364" i="1"/>
  <c r="R1365" i="1"/>
  <c r="S1365" i="1"/>
  <c r="R1366" i="1"/>
  <c r="S1366" i="1"/>
  <c r="R1367" i="1"/>
  <c r="S1367" i="1"/>
  <c r="R1368" i="1"/>
  <c r="S1368" i="1"/>
  <c r="R1369" i="1"/>
  <c r="S1369" i="1"/>
  <c r="R1370" i="1"/>
  <c r="S1370" i="1"/>
  <c r="R1371" i="1"/>
  <c r="S1371" i="1"/>
  <c r="R1372" i="1"/>
  <c r="S1372" i="1"/>
  <c r="R1373" i="1"/>
  <c r="S1373" i="1"/>
  <c r="R1374" i="1"/>
  <c r="S1374" i="1"/>
  <c r="R1375" i="1"/>
  <c r="S1375" i="1"/>
  <c r="R1376" i="1"/>
  <c r="S1376" i="1"/>
  <c r="R1377" i="1"/>
  <c r="S1377" i="1"/>
  <c r="R1378" i="1"/>
  <c r="S1378" i="1"/>
  <c r="R1379" i="1"/>
  <c r="S1379" i="1"/>
  <c r="R1380" i="1"/>
  <c r="S1380" i="1"/>
  <c r="R1381" i="1"/>
  <c r="S1381" i="1"/>
  <c r="R1382" i="1"/>
  <c r="S1382" i="1"/>
  <c r="R1383" i="1"/>
  <c r="S1383" i="1"/>
  <c r="R1384" i="1"/>
  <c r="S1384" i="1"/>
  <c r="R1385" i="1"/>
  <c r="S1385" i="1"/>
  <c r="R1386" i="1"/>
  <c r="S1386" i="1"/>
  <c r="R1387" i="1"/>
  <c r="S1387" i="1"/>
  <c r="R1388" i="1"/>
  <c r="S1388" i="1"/>
  <c r="R1389" i="1"/>
  <c r="S1389" i="1"/>
  <c r="R1390" i="1"/>
  <c r="S1390" i="1"/>
  <c r="R1391" i="1"/>
  <c r="S1391" i="1"/>
  <c r="R1392" i="1"/>
  <c r="S1392" i="1"/>
  <c r="R1393" i="1"/>
  <c r="S1393" i="1"/>
  <c r="R1394" i="1"/>
  <c r="S1394" i="1"/>
  <c r="R1395" i="1"/>
  <c r="S1395" i="1"/>
  <c r="R1396" i="1"/>
  <c r="S1396" i="1"/>
  <c r="R1397" i="1"/>
  <c r="S1397" i="1"/>
  <c r="R1398" i="1"/>
  <c r="S1398" i="1"/>
  <c r="R1399" i="1"/>
  <c r="S1399" i="1"/>
  <c r="R1400" i="1"/>
  <c r="S1400" i="1"/>
  <c r="R1401" i="1"/>
  <c r="S1401" i="1"/>
  <c r="R1402" i="1"/>
  <c r="S1402" i="1"/>
  <c r="R1403" i="1"/>
  <c r="S1403" i="1"/>
  <c r="R1404" i="1"/>
  <c r="S1404" i="1"/>
  <c r="R1405" i="1"/>
  <c r="S1405" i="1"/>
  <c r="R1406" i="1"/>
  <c r="S1406" i="1"/>
  <c r="R1407" i="1"/>
  <c r="S1407" i="1"/>
  <c r="R1408" i="1"/>
  <c r="S1408" i="1"/>
  <c r="R1409" i="1"/>
  <c r="S1409" i="1"/>
  <c r="R1410" i="1"/>
  <c r="S1410" i="1"/>
  <c r="R1411" i="1"/>
  <c r="S1411" i="1"/>
  <c r="R1412" i="1"/>
  <c r="S1412" i="1"/>
  <c r="R1413" i="1"/>
  <c r="S1413" i="1"/>
  <c r="R1414" i="1"/>
  <c r="S1414" i="1"/>
  <c r="R1415" i="1"/>
  <c r="S1415" i="1"/>
  <c r="R1416" i="1"/>
  <c r="S1416" i="1"/>
  <c r="R1417" i="1"/>
  <c r="S1417" i="1"/>
  <c r="R1418" i="1"/>
  <c r="S1418" i="1"/>
  <c r="R1419" i="1"/>
  <c r="S1419" i="1"/>
  <c r="R1420" i="1"/>
  <c r="S1420" i="1"/>
  <c r="R1421" i="1"/>
  <c r="S1421" i="1"/>
  <c r="R1422" i="1"/>
  <c r="S1422" i="1"/>
  <c r="R1423" i="1"/>
  <c r="S1423" i="1"/>
  <c r="R1424" i="1"/>
  <c r="S1424" i="1"/>
  <c r="R1425" i="1"/>
  <c r="S1425" i="1"/>
  <c r="R1426" i="1"/>
  <c r="S1426" i="1"/>
  <c r="R1427" i="1"/>
  <c r="S1427" i="1"/>
  <c r="R1428" i="1"/>
  <c r="S1428" i="1"/>
  <c r="R1429" i="1"/>
  <c r="S1429" i="1"/>
  <c r="R1430" i="1"/>
  <c r="S1430" i="1"/>
  <c r="R1431" i="1"/>
  <c r="S1431" i="1"/>
  <c r="R1432" i="1"/>
  <c r="S1432" i="1"/>
  <c r="R1433" i="1"/>
  <c r="S1433" i="1"/>
  <c r="R1434" i="1"/>
  <c r="S1434" i="1"/>
  <c r="R1435" i="1"/>
  <c r="S1435" i="1"/>
  <c r="R1436" i="1"/>
  <c r="S1436" i="1"/>
  <c r="R1437" i="1"/>
  <c r="S1437" i="1"/>
  <c r="R1438" i="1"/>
  <c r="S1438" i="1"/>
  <c r="R1439" i="1"/>
  <c r="S1439" i="1"/>
  <c r="R1440" i="1"/>
  <c r="S1440" i="1"/>
  <c r="R1441" i="1"/>
  <c r="S1441" i="1"/>
  <c r="R1442" i="1"/>
  <c r="S1442" i="1"/>
  <c r="R1443" i="1"/>
  <c r="S1443" i="1"/>
  <c r="R1444" i="1"/>
  <c r="S1444" i="1"/>
  <c r="R1445" i="1"/>
  <c r="S1445" i="1"/>
  <c r="R1446" i="1"/>
  <c r="S1446" i="1"/>
  <c r="R1447" i="1"/>
  <c r="S1447" i="1"/>
  <c r="R1448" i="1"/>
  <c r="S1448" i="1"/>
  <c r="R1449" i="1"/>
  <c r="S1449" i="1"/>
  <c r="R1450" i="1"/>
  <c r="S1450" i="1"/>
  <c r="R1451" i="1"/>
  <c r="S1451" i="1"/>
  <c r="R1452" i="1"/>
  <c r="S1452" i="1"/>
  <c r="R1453" i="1"/>
  <c r="S1453" i="1"/>
  <c r="R1454" i="1"/>
  <c r="S1454" i="1"/>
  <c r="R1455" i="1"/>
  <c r="S1455" i="1"/>
  <c r="R1456" i="1"/>
  <c r="S1456" i="1"/>
  <c r="R1457" i="1"/>
  <c r="S1457" i="1"/>
  <c r="R1458" i="1"/>
  <c r="S1458" i="1"/>
  <c r="R1459" i="1"/>
  <c r="S1459" i="1"/>
  <c r="R1460" i="1"/>
  <c r="S1460" i="1"/>
  <c r="R1461" i="1"/>
  <c r="S1461" i="1"/>
  <c r="R1462" i="1"/>
  <c r="S1462" i="1"/>
  <c r="R1463" i="1"/>
  <c r="S1463" i="1"/>
  <c r="R1464" i="1"/>
  <c r="S1464" i="1"/>
  <c r="R1465" i="1"/>
  <c r="S1465" i="1"/>
  <c r="R1466" i="1"/>
  <c r="S1466" i="1"/>
  <c r="R1467" i="1"/>
  <c r="S1467" i="1"/>
  <c r="R1468" i="1"/>
  <c r="S1468" i="1"/>
  <c r="R1469" i="1"/>
  <c r="S1469" i="1"/>
  <c r="R1470" i="1"/>
  <c r="S1470" i="1"/>
  <c r="R1471" i="1"/>
  <c r="S1471" i="1"/>
  <c r="R1472" i="1"/>
  <c r="S1472" i="1"/>
  <c r="R1473" i="1"/>
  <c r="S1473" i="1"/>
  <c r="R1474" i="1"/>
  <c r="S1474" i="1"/>
  <c r="R1475" i="1"/>
  <c r="S1475" i="1"/>
  <c r="R1476" i="1"/>
  <c r="S1476" i="1"/>
  <c r="R1477" i="1"/>
  <c r="S1477" i="1"/>
  <c r="R1478" i="1"/>
  <c r="S1478" i="1"/>
  <c r="R1479" i="1"/>
  <c r="S1479" i="1"/>
  <c r="R1480" i="1"/>
  <c r="S1480" i="1"/>
  <c r="R1481" i="1"/>
  <c r="S1481" i="1"/>
  <c r="R1482" i="1"/>
  <c r="S1482" i="1"/>
  <c r="R1483" i="1"/>
  <c r="S1483" i="1"/>
  <c r="R1484" i="1"/>
  <c r="S1484" i="1"/>
  <c r="R1485" i="1"/>
  <c r="S1485" i="1"/>
  <c r="R1486" i="1"/>
  <c r="S1486" i="1"/>
  <c r="R1487" i="1"/>
  <c r="S1487" i="1"/>
  <c r="R1488" i="1"/>
  <c r="S1488" i="1"/>
  <c r="R1489" i="1"/>
  <c r="S1489" i="1"/>
  <c r="R1490" i="1"/>
  <c r="S1490" i="1"/>
  <c r="R1491" i="1"/>
  <c r="S1491" i="1"/>
  <c r="R1492" i="1"/>
  <c r="S1492" i="1"/>
  <c r="R1493" i="1"/>
  <c r="S1493" i="1"/>
  <c r="R1494" i="1"/>
  <c r="S1494" i="1"/>
  <c r="R1495" i="1"/>
  <c r="S1495" i="1"/>
  <c r="R1496" i="1"/>
  <c r="S1496" i="1"/>
  <c r="R1497" i="1"/>
  <c r="S1497" i="1"/>
  <c r="R1498" i="1"/>
  <c r="S1498" i="1"/>
  <c r="R1499" i="1"/>
  <c r="S1499" i="1"/>
  <c r="R1500" i="1"/>
  <c r="S1500" i="1"/>
  <c r="R1501" i="1"/>
  <c r="S1501" i="1"/>
  <c r="R1502" i="1"/>
  <c r="S1502" i="1"/>
  <c r="R1503" i="1"/>
  <c r="S1503" i="1"/>
  <c r="R1504" i="1"/>
  <c r="S1504" i="1"/>
  <c r="R1505" i="1"/>
  <c r="S1505" i="1"/>
  <c r="R1506" i="1"/>
  <c r="S1506" i="1"/>
  <c r="R1507" i="1"/>
  <c r="S1507" i="1"/>
  <c r="R1508" i="1"/>
  <c r="S1508" i="1"/>
  <c r="R1509" i="1"/>
  <c r="S1509" i="1"/>
  <c r="R1510" i="1"/>
  <c r="S1510" i="1"/>
  <c r="R1511" i="1"/>
  <c r="S1511" i="1"/>
  <c r="R1512" i="1"/>
  <c r="S1512" i="1"/>
  <c r="R1513" i="1"/>
  <c r="S1513" i="1"/>
  <c r="R1514" i="1"/>
  <c r="S1514" i="1"/>
  <c r="R1515" i="1"/>
  <c r="S1515" i="1"/>
  <c r="R1516" i="1"/>
  <c r="S1516" i="1"/>
  <c r="R1517" i="1"/>
  <c r="S1517" i="1"/>
  <c r="R1518" i="1"/>
  <c r="S1518" i="1"/>
  <c r="R1519" i="1"/>
  <c r="S1519" i="1"/>
  <c r="R1520" i="1"/>
  <c r="S1520" i="1"/>
  <c r="R1521" i="1"/>
  <c r="S1521" i="1"/>
  <c r="R1522" i="1"/>
  <c r="S1522" i="1"/>
  <c r="R1523" i="1"/>
  <c r="S1523" i="1"/>
  <c r="R1524" i="1"/>
  <c r="S1524" i="1"/>
  <c r="R1525" i="1"/>
  <c r="S1525" i="1"/>
  <c r="R1526" i="1"/>
  <c r="S1526" i="1"/>
  <c r="R1527" i="1"/>
  <c r="S1527" i="1"/>
  <c r="R1528" i="1"/>
  <c r="S1528" i="1"/>
  <c r="R1529" i="1"/>
  <c r="S1529" i="1"/>
  <c r="R1530" i="1"/>
  <c r="S1530" i="1"/>
  <c r="R1531" i="1"/>
  <c r="S1531" i="1"/>
  <c r="R1532" i="1"/>
  <c r="S1532" i="1"/>
  <c r="R1533" i="1"/>
  <c r="S1533" i="1"/>
  <c r="R1534" i="1"/>
  <c r="S1534" i="1"/>
  <c r="R1535" i="1"/>
  <c r="S1535" i="1"/>
  <c r="R1536" i="1"/>
  <c r="S1536" i="1"/>
  <c r="R1537" i="1"/>
  <c r="S1537" i="1"/>
  <c r="R1538" i="1"/>
  <c r="S1538" i="1"/>
  <c r="R1539" i="1"/>
  <c r="S1539" i="1"/>
  <c r="R1540" i="1"/>
  <c r="S1540" i="1"/>
  <c r="R1541" i="1"/>
  <c r="S1541" i="1"/>
  <c r="R1542" i="1"/>
  <c r="S1542" i="1"/>
  <c r="R1543" i="1"/>
  <c r="S1543" i="1"/>
  <c r="R1544" i="1"/>
  <c r="S1544" i="1"/>
  <c r="R1545" i="1"/>
  <c r="S1545" i="1"/>
  <c r="R1546" i="1"/>
  <c r="S1546" i="1"/>
  <c r="R1547" i="1"/>
  <c r="S1547" i="1"/>
  <c r="R1548" i="1"/>
  <c r="S1548" i="1"/>
  <c r="R1549" i="1"/>
  <c r="S1549" i="1"/>
  <c r="R1550" i="1"/>
  <c r="S1550" i="1"/>
  <c r="R1551" i="1"/>
  <c r="S1551" i="1"/>
  <c r="R1552" i="1"/>
  <c r="S1552" i="1"/>
  <c r="R1553" i="1"/>
  <c r="S1553" i="1"/>
  <c r="R1554" i="1"/>
  <c r="S1554" i="1"/>
  <c r="R1555" i="1"/>
  <c r="S1555" i="1"/>
  <c r="R1556" i="1"/>
  <c r="S1556" i="1"/>
  <c r="R1557" i="1"/>
  <c r="S1557" i="1"/>
  <c r="R1558" i="1"/>
  <c r="S1558" i="1"/>
  <c r="R1559" i="1"/>
  <c r="S1559" i="1"/>
  <c r="R1560" i="1"/>
  <c r="S1560" i="1"/>
  <c r="R1561" i="1"/>
  <c r="S1561" i="1"/>
  <c r="R1562" i="1"/>
  <c r="S1562" i="1"/>
  <c r="R1563" i="1"/>
  <c r="S1563" i="1"/>
  <c r="R1564" i="1"/>
  <c r="S1564" i="1"/>
  <c r="R1565" i="1"/>
  <c r="S1565" i="1"/>
  <c r="R1566" i="1"/>
  <c r="S1566" i="1"/>
  <c r="R1567" i="1"/>
  <c r="S1567" i="1"/>
  <c r="R1568" i="1"/>
  <c r="S1568" i="1"/>
  <c r="R1569" i="1"/>
  <c r="S1569" i="1"/>
  <c r="R1570" i="1"/>
  <c r="S1570" i="1"/>
  <c r="R1571" i="1"/>
  <c r="S1571" i="1"/>
  <c r="R1572" i="1"/>
  <c r="S1572" i="1"/>
  <c r="R1573" i="1"/>
  <c r="S1573" i="1"/>
  <c r="R1574" i="1"/>
  <c r="S1574" i="1"/>
  <c r="R1575" i="1"/>
  <c r="S1575" i="1"/>
  <c r="R1576" i="1"/>
  <c r="S1576" i="1"/>
  <c r="R1577" i="1"/>
  <c r="S1577" i="1"/>
  <c r="R1578" i="1"/>
  <c r="S1578" i="1"/>
  <c r="R1579" i="1"/>
  <c r="S1579" i="1"/>
  <c r="R1580" i="1"/>
  <c r="S1580" i="1"/>
  <c r="R1581" i="1"/>
  <c r="S1581" i="1"/>
  <c r="R1582" i="1"/>
  <c r="S1582" i="1"/>
  <c r="R1583" i="1"/>
  <c r="S1583" i="1"/>
  <c r="R1584" i="1"/>
  <c r="S1584" i="1"/>
  <c r="R1585" i="1"/>
  <c r="S1585" i="1"/>
  <c r="R1586" i="1"/>
  <c r="S1586" i="1"/>
  <c r="R1587" i="1"/>
  <c r="S1587" i="1"/>
  <c r="R1588" i="1"/>
  <c r="S1588" i="1"/>
  <c r="R1589" i="1"/>
  <c r="S1589" i="1"/>
  <c r="R1590" i="1"/>
  <c r="S1590" i="1"/>
  <c r="R1591" i="1"/>
  <c r="S1591" i="1"/>
  <c r="R1592" i="1"/>
  <c r="S1592" i="1"/>
  <c r="R1593" i="1"/>
  <c r="S1593" i="1"/>
  <c r="R1594" i="1"/>
  <c r="S1594" i="1"/>
  <c r="R1595" i="1"/>
  <c r="S1595" i="1"/>
  <c r="R1596" i="1"/>
  <c r="S1596" i="1"/>
  <c r="R1597" i="1"/>
  <c r="S1597" i="1"/>
  <c r="R1598" i="1"/>
  <c r="S1598" i="1"/>
  <c r="R1599" i="1"/>
  <c r="S1599" i="1"/>
  <c r="R1600" i="1"/>
  <c r="S1600" i="1"/>
  <c r="R1601" i="1"/>
  <c r="S1601" i="1"/>
  <c r="R1602" i="1"/>
  <c r="S1602" i="1"/>
  <c r="R1603" i="1"/>
  <c r="S1603" i="1"/>
  <c r="R1604" i="1"/>
  <c r="S1604" i="1"/>
  <c r="R1605" i="1"/>
  <c r="R1607" i="1"/>
  <c r="S1607" i="1"/>
  <c r="R1608" i="1"/>
  <c r="S1608" i="1"/>
  <c r="R1609" i="1"/>
  <c r="S1609" i="1"/>
  <c r="R1610" i="1"/>
  <c r="S1610" i="1"/>
  <c r="R1611" i="1"/>
  <c r="S1611" i="1"/>
  <c r="R1612" i="1"/>
  <c r="S1612" i="1"/>
  <c r="R1613" i="1"/>
  <c r="S1613" i="1"/>
  <c r="R1614" i="1"/>
  <c r="S1614" i="1"/>
  <c r="R1615" i="1"/>
  <c r="S1615" i="1"/>
  <c r="R1616" i="1"/>
  <c r="S1616" i="1"/>
  <c r="R1617" i="1"/>
  <c r="S1617" i="1"/>
  <c r="R1618" i="1"/>
  <c r="S1618" i="1"/>
  <c r="R1619" i="1"/>
  <c r="S1619" i="1"/>
  <c r="R1620" i="1"/>
  <c r="S1620" i="1"/>
  <c r="R1621" i="1"/>
  <c r="S1621" i="1"/>
  <c r="R1622" i="1"/>
  <c r="S1622" i="1"/>
  <c r="R1623" i="1"/>
  <c r="S1623" i="1"/>
  <c r="R1624" i="1"/>
  <c r="S1624" i="1"/>
  <c r="R1625" i="1"/>
  <c r="S1625" i="1"/>
  <c r="R1626" i="1"/>
  <c r="S1626" i="1"/>
  <c r="R1627" i="1"/>
  <c r="S1627" i="1"/>
  <c r="R1628" i="1"/>
  <c r="S1628" i="1"/>
  <c r="R1629" i="1"/>
  <c r="S1629" i="1"/>
  <c r="R1630" i="1"/>
  <c r="S1630" i="1"/>
  <c r="R1631" i="1"/>
  <c r="S1631" i="1"/>
  <c r="R1632" i="1"/>
  <c r="S1632" i="1"/>
  <c r="R1633" i="1"/>
  <c r="S1633" i="1"/>
  <c r="R1634" i="1"/>
  <c r="S1634" i="1"/>
  <c r="R1635" i="1"/>
  <c r="S1635" i="1"/>
  <c r="R1636" i="1"/>
  <c r="S1636" i="1"/>
  <c r="R1637" i="1"/>
  <c r="S1637" i="1"/>
  <c r="R1638" i="1"/>
  <c r="S1638" i="1"/>
  <c r="R1640" i="1"/>
  <c r="S1640" i="1"/>
  <c r="R1641" i="1"/>
  <c r="S1641" i="1"/>
  <c r="R1642" i="1"/>
  <c r="S1642" i="1"/>
  <c r="R1643" i="1"/>
  <c r="S1643" i="1"/>
  <c r="R1644" i="1"/>
  <c r="S1644" i="1"/>
  <c r="R1645" i="1"/>
  <c r="S1645" i="1"/>
  <c r="R1646" i="1"/>
  <c r="S1646" i="1"/>
  <c r="R1647" i="1"/>
  <c r="S1647" i="1"/>
  <c r="R1648" i="1"/>
  <c r="S1648" i="1"/>
  <c r="R1649" i="1"/>
  <c r="S1649" i="1"/>
  <c r="R1650" i="1"/>
  <c r="S1650" i="1"/>
  <c r="R1651" i="1"/>
  <c r="S1651" i="1"/>
  <c r="R1652" i="1"/>
  <c r="S1652" i="1"/>
  <c r="R1653" i="1"/>
  <c r="S1653" i="1"/>
  <c r="R1654" i="1"/>
  <c r="S1654" i="1"/>
  <c r="R1655" i="1"/>
  <c r="S1655" i="1"/>
  <c r="R1656" i="1"/>
  <c r="S1656" i="1"/>
  <c r="R1657" i="1"/>
  <c r="S1657" i="1"/>
  <c r="R1658" i="1"/>
  <c r="S1658" i="1"/>
  <c r="R1659" i="1"/>
  <c r="S1659" i="1"/>
  <c r="R1660" i="1"/>
  <c r="S1660" i="1"/>
  <c r="R1661" i="1"/>
  <c r="S1661" i="1"/>
  <c r="R1662" i="1"/>
  <c r="S1662" i="1"/>
  <c r="R1663" i="1"/>
  <c r="S1663" i="1"/>
  <c r="R1664" i="1"/>
  <c r="S1664" i="1"/>
  <c r="R1665" i="1"/>
  <c r="S1665" i="1"/>
  <c r="R1666" i="1"/>
  <c r="S1666" i="1"/>
  <c r="R1667" i="1"/>
  <c r="S1667" i="1"/>
  <c r="R1668" i="1"/>
  <c r="S1668" i="1"/>
  <c r="R1669" i="1"/>
  <c r="S1669" i="1"/>
  <c r="R1670" i="1"/>
  <c r="S1670" i="1"/>
  <c r="R1671" i="1"/>
  <c r="S1671" i="1"/>
  <c r="R1672" i="1"/>
  <c r="S1672" i="1"/>
  <c r="R1673" i="1"/>
  <c r="S1673" i="1"/>
  <c r="R1674" i="1"/>
  <c r="S1674" i="1"/>
  <c r="R1675" i="1"/>
  <c r="S1675" i="1"/>
  <c r="R1676" i="1"/>
  <c r="S1676" i="1"/>
  <c r="R1677" i="1"/>
  <c r="S1677" i="1"/>
  <c r="R1678" i="1"/>
  <c r="S1678" i="1"/>
  <c r="R1679" i="1"/>
  <c r="S1679" i="1"/>
  <c r="R1680" i="1"/>
  <c r="S1680" i="1"/>
  <c r="R1681" i="1"/>
  <c r="S1681" i="1"/>
  <c r="R1682" i="1"/>
  <c r="S1682" i="1"/>
  <c r="R1683" i="1"/>
  <c r="S1683" i="1"/>
  <c r="R1684" i="1"/>
  <c r="S1684" i="1"/>
  <c r="R1685" i="1"/>
  <c r="S1685" i="1"/>
  <c r="R1686" i="1"/>
  <c r="S1686" i="1"/>
  <c r="R1687" i="1"/>
  <c r="S1687" i="1"/>
  <c r="R1688" i="1"/>
  <c r="S1688" i="1"/>
  <c r="R1689" i="1"/>
  <c r="S1689" i="1"/>
  <c r="R1690" i="1"/>
  <c r="S1690" i="1"/>
  <c r="R1691" i="1"/>
  <c r="S1691" i="1"/>
  <c r="R1692" i="1"/>
  <c r="S1692" i="1"/>
  <c r="R1693" i="1"/>
  <c r="S1693" i="1"/>
  <c r="R1694" i="1"/>
  <c r="S1694" i="1"/>
  <c r="R1695" i="1"/>
  <c r="S1695" i="1"/>
  <c r="R1696" i="1"/>
  <c r="S1696" i="1"/>
  <c r="R1697" i="1"/>
  <c r="S1697" i="1"/>
  <c r="R1698" i="1"/>
  <c r="S1698" i="1"/>
  <c r="R1699" i="1"/>
  <c r="S1699" i="1"/>
  <c r="R1700" i="1"/>
  <c r="S1700" i="1"/>
  <c r="R1702" i="1"/>
  <c r="S1702" i="1"/>
  <c r="R1703" i="1"/>
  <c r="S1703" i="1"/>
  <c r="R1704" i="1"/>
  <c r="S1704" i="1"/>
  <c r="R1705" i="1"/>
  <c r="S1705" i="1"/>
  <c r="R1706" i="1"/>
  <c r="S1706" i="1"/>
  <c r="R1707" i="1"/>
  <c r="S1707" i="1"/>
  <c r="R1708" i="1"/>
  <c r="S1708" i="1"/>
  <c r="R1709" i="1"/>
  <c r="S1709" i="1"/>
  <c r="R1710" i="1"/>
  <c r="S1710" i="1"/>
  <c r="R1711" i="1"/>
  <c r="S1711" i="1"/>
  <c r="R1712" i="1"/>
  <c r="S1712" i="1"/>
  <c r="R1713" i="1"/>
  <c r="S1713" i="1"/>
  <c r="R1714" i="1"/>
  <c r="S1714" i="1"/>
  <c r="R1715" i="1"/>
  <c r="S1715" i="1"/>
  <c r="R1716" i="1"/>
  <c r="S1716" i="1"/>
  <c r="R1717" i="1"/>
  <c r="S1717" i="1"/>
  <c r="R1718" i="1"/>
  <c r="S1718" i="1"/>
  <c r="R1719" i="1"/>
  <c r="S1719" i="1"/>
  <c r="R1720" i="1"/>
  <c r="S1720" i="1"/>
  <c r="R1721" i="1"/>
  <c r="S1721" i="1"/>
  <c r="R1722" i="1"/>
  <c r="S1722" i="1"/>
  <c r="R1723" i="1"/>
  <c r="S1723" i="1"/>
  <c r="R1724" i="1"/>
  <c r="S1724" i="1"/>
  <c r="R1725" i="1"/>
  <c r="S1725" i="1"/>
  <c r="R1726" i="1"/>
  <c r="S1726" i="1"/>
  <c r="R1727" i="1"/>
  <c r="S1727" i="1"/>
  <c r="R1728" i="1"/>
  <c r="S1728" i="1"/>
  <c r="R1729" i="1"/>
  <c r="S1729" i="1"/>
  <c r="R1730" i="1"/>
  <c r="S1730" i="1"/>
  <c r="R1731" i="1"/>
  <c r="S1731" i="1"/>
  <c r="R1732" i="1"/>
  <c r="S1732" i="1"/>
  <c r="R1733" i="1"/>
  <c r="S1733" i="1"/>
  <c r="R1735" i="1"/>
  <c r="S1735" i="1"/>
  <c r="R1736" i="1"/>
  <c r="R1737" i="1"/>
  <c r="S1737" i="1"/>
  <c r="R1738" i="1"/>
  <c r="S1738" i="1"/>
  <c r="R1739" i="1"/>
  <c r="S1739" i="1"/>
  <c r="R1740" i="1"/>
  <c r="S1740" i="1"/>
  <c r="R1741" i="1"/>
  <c r="S1741" i="1"/>
  <c r="R1742" i="1"/>
  <c r="S1742" i="1"/>
  <c r="R1743" i="1"/>
  <c r="S1743" i="1"/>
  <c r="R1744" i="1"/>
  <c r="R1745" i="1"/>
  <c r="S1745" i="1"/>
  <c r="R1746" i="1"/>
  <c r="S1746" i="1"/>
  <c r="R1747" i="1"/>
  <c r="S1747" i="1"/>
  <c r="R1748" i="1"/>
  <c r="S1748" i="1"/>
  <c r="R1749" i="1"/>
  <c r="S1749" i="1"/>
  <c r="R1750" i="1"/>
  <c r="S1750" i="1"/>
  <c r="R1751" i="1"/>
  <c r="S1751" i="1"/>
  <c r="R1752" i="1"/>
  <c r="S1752" i="1"/>
  <c r="R1753" i="1"/>
  <c r="S1753" i="1"/>
  <c r="R1754" i="1"/>
  <c r="S1754" i="1"/>
  <c r="R1755" i="1"/>
  <c r="S1755" i="1"/>
  <c r="R1756" i="1"/>
  <c r="S1756" i="1"/>
  <c r="R1757" i="1"/>
  <c r="S1757" i="1"/>
  <c r="R1758" i="1"/>
  <c r="S1758" i="1"/>
  <c r="R1759" i="1"/>
  <c r="S1759" i="1"/>
  <c r="R1760" i="1"/>
  <c r="S1760" i="1"/>
  <c r="R1761" i="1"/>
  <c r="S1761" i="1"/>
  <c r="R1762" i="1"/>
  <c r="S1762" i="1"/>
  <c r="R1763" i="1"/>
  <c r="S1763" i="1"/>
  <c r="R1764" i="1"/>
  <c r="S1764" i="1"/>
  <c r="R1765" i="1"/>
  <c r="S1765" i="1"/>
  <c r="R1766" i="1"/>
  <c r="S1766" i="1"/>
  <c r="R1767" i="1"/>
  <c r="S1767" i="1"/>
  <c r="R1768" i="1"/>
  <c r="S1768" i="1"/>
  <c r="R1769" i="1"/>
  <c r="S1769" i="1"/>
  <c r="R1770" i="1"/>
  <c r="S1770" i="1"/>
  <c r="R1771" i="1"/>
  <c r="S1771" i="1"/>
  <c r="R1772" i="1"/>
  <c r="R1773" i="1"/>
  <c r="S1773" i="1"/>
  <c r="R1774" i="1"/>
  <c r="S1774" i="1"/>
  <c r="R1775" i="1"/>
  <c r="S1775" i="1"/>
  <c r="R1776" i="1"/>
  <c r="S1776" i="1"/>
  <c r="R1777" i="1"/>
  <c r="S1777" i="1"/>
  <c r="R1778" i="1"/>
  <c r="S1778" i="1"/>
  <c r="R1779" i="1"/>
  <c r="S1779" i="1"/>
  <c r="R1780" i="1"/>
  <c r="S1780" i="1"/>
  <c r="R1781" i="1"/>
  <c r="S1781" i="1"/>
  <c r="R1782" i="1"/>
  <c r="S1782" i="1"/>
  <c r="R1783" i="1"/>
  <c r="S1783" i="1"/>
  <c r="R1784" i="1"/>
  <c r="S1784" i="1"/>
  <c r="R1785" i="1"/>
  <c r="S1785" i="1"/>
  <c r="R1786" i="1"/>
  <c r="S1786" i="1"/>
  <c r="R1787" i="1"/>
  <c r="S1787" i="1"/>
  <c r="R1788" i="1"/>
  <c r="S1788" i="1"/>
  <c r="R1789" i="1"/>
  <c r="S1789" i="1"/>
  <c r="R1790" i="1"/>
  <c r="S1790" i="1"/>
  <c r="R1791" i="1"/>
  <c r="S1791" i="1"/>
  <c r="R1792" i="1"/>
  <c r="S1792" i="1"/>
  <c r="R1793" i="1"/>
  <c r="S1793" i="1"/>
  <c r="R1794" i="1"/>
  <c r="S1794" i="1"/>
  <c r="R1795" i="1"/>
  <c r="S1795" i="1"/>
  <c r="R1796" i="1"/>
  <c r="S1796" i="1"/>
  <c r="R1797" i="1"/>
  <c r="S1797" i="1"/>
  <c r="R1798" i="1"/>
  <c r="S1798" i="1"/>
  <c r="R1799" i="1"/>
  <c r="S1799" i="1"/>
  <c r="R1800" i="1"/>
  <c r="S1800" i="1"/>
  <c r="R1801" i="1"/>
  <c r="S1801" i="1"/>
  <c r="R1802" i="1"/>
  <c r="S1802" i="1"/>
  <c r="R1803" i="1"/>
  <c r="S1803" i="1"/>
  <c r="R1804" i="1"/>
  <c r="S1804" i="1"/>
  <c r="R1805" i="1"/>
  <c r="S1805" i="1"/>
  <c r="R1806" i="1"/>
  <c r="S1806" i="1"/>
  <c r="R1807" i="1"/>
  <c r="S1807" i="1"/>
  <c r="R1808" i="1"/>
  <c r="T1808" i="1" s="1"/>
  <c r="S1808" i="1"/>
  <c r="R1809" i="1"/>
  <c r="S1809" i="1"/>
  <c r="R1810" i="1"/>
  <c r="S1810" i="1"/>
  <c r="R1811" i="1"/>
  <c r="S1811" i="1"/>
  <c r="R1812" i="1"/>
  <c r="S1812" i="1"/>
  <c r="R1813" i="1"/>
  <c r="S1813" i="1"/>
  <c r="R1814" i="1"/>
  <c r="S1814" i="1"/>
  <c r="R1815" i="1"/>
  <c r="S1815" i="1"/>
  <c r="R1816" i="1"/>
  <c r="S1816" i="1"/>
  <c r="R1817" i="1"/>
  <c r="S1817" i="1"/>
  <c r="R1818" i="1"/>
  <c r="S1818" i="1"/>
  <c r="R1819" i="1"/>
  <c r="S1819" i="1"/>
  <c r="R1820" i="1"/>
  <c r="S1820" i="1"/>
  <c r="R1821" i="1"/>
  <c r="S1821" i="1"/>
  <c r="R1822" i="1"/>
  <c r="S1822" i="1"/>
  <c r="R1823" i="1"/>
  <c r="S1823" i="1"/>
  <c r="R1824" i="1"/>
  <c r="S1824" i="1"/>
  <c r="R1825" i="1"/>
  <c r="S1825" i="1"/>
  <c r="R1826" i="1"/>
  <c r="S1826" i="1"/>
  <c r="R1827" i="1"/>
  <c r="S1827" i="1"/>
  <c r="R1828" i="1"/>
  <c r="S1828" i="1"/>
  <c r="R1829" i="1"/>
  <c r="S1829" i="1"/>
  <c r="R1830" i="1"/>
  <c r="S1830" i="1"/>
  <c r="R1831" i="1"/>
  <c r="S1831" i="1"/>
  <c r="R1832" i="1"/>
  <c r="S1832" i="1"/>
  <c r="R1833" i="1"/>
  <c r="S1833" i="1"/>
  <c r="R1834" i="1"/>
  <c r="S1834" i="1"/>
  <c r="R1835" i="1"/>
  <c r="S1835" i="1"/>
  <c r="R1836" i="1"/>
  <c r="S1836" i="1"/>
  <c r="R1837" i="1"/>
  <c r="S1837" i="1"/>
  <c r="R1838" i="1"/>
  <c r="S1838" i="1"/>
  <c r="R1839" i="1"/>
  <c r="S1839" i="1"/>
  <c r="R1840" i="1"/>
  <c r="S1840" i="1"/>
  <c r="R1841" i="1"/>
  <c r="S1841" i="1"/>
  <c r="R1842" i="1"/>
  <c r="S1842" i="1"/>
  <c r="R1843" i="1"/>
  <c r="S1843" i="1"/>
  <c r="R1844" i="1"/>
  <c r="S1844" i="1"/>
  <c r="R1845" i="1"/>
  <c r="S1845" i="1"/>
  <c r="R1846" i="1"/>
  <c r="S1846" i="1"/>
  <c r="R1847" i="1"/>
  <c r="S1847" i="1"/>
  <c r="R1848" i="1"/>
  <c r="S1848" i="1"/>
  <c r="R1849" i="1"/>
  <c r="S1849" i="1"/>
  <c r="R1850" i="1"/>
  <c r="S1850" i="1"/>
  <c r="R1851" i="1"/>
  <c r="S1851" i="1"/>
  <c r="R1852" i="1"/>
  <c r="S1852" i="1"/>
  <c r="R1853" i="1"/>
  <c r="S1853" i="1"/>
  <c r="R1854" i="1"/>
  <c r="S1854" i="1"/>
  <c r="R1855" i="1"/>
  <c r="S1855" i="1"/>
  <c r="R1856" i="1"/>
  <c r="S1856" i="1"/>
  <c r="R1857" i="1"/>
  <c r="S1857" i="1"/>
  <c r="R1858" i="1"/>
  <c r="S1858" i="1"/>
  <c r="R1859" i="1"/>
  <c r="S1859" i="1"/>
  <c r="R1860" i="1"/>
  <c r="S1860" i="1"/>
  <c r="R1861" i="1"/>
  <c r="S1861" i="1"/>
  <c r="R1862" i="1"/>
  <c r="R1863" i="1"/>
  <c r="S1863" i="1"/>
  <c r="R1864" i="1"/>
  <c r="S1864" i="1"/>
  <c r="R1865" i="1"/>
  <c r="S1865" i="1"/>
  <c r="R1866" i="1"/>
  <c r="S1866" i="1"/>
  <c r="R1867" i="1"/>
  <c r="S1867" i="1"/>
  <c r="R1868" i="1"/>
  <c r="S1868" i="1"/>
  <c r="R1869" i="1"/>
  <c r="S1869" i="1"/>
  <c r="R1870" i="1"/>
  <c r="S1870" i="1"/>
  <c r="R1871" i="1"/>
  <c r="S1871" i="1"/>
  <c r="R1872" i="1"/>
  <c r="S1872" i="1"/>
  <c r="R1873" i="1"/>
  <c r="S1873" i="1"/>
  <c r="R1874" i="1"/>
  <c r="S1874" i="1"/>
  <c r="R1875" i="1"/>
  <c r="S1875" i="1"/>
  <c r="R1876" i="1"/>
  <c r="S1876" i="1"/>
  <c r="R1877" i="1"/>
  <c r="S1877" i="1"/>
  <c r="R1878" i="1"/>
  <c r="R1879" i="1"/>
  <c r="S1879" i="1"/>
  <c r="R1880" i="1"/>
  <c r="S1880" i="1"/>
  <c r="R1881" i="1"/>
  <c r="S1881" i="1"/>
  <c r="R1882" i="1"/>
  <c r="S1882" i="1"/>
  <c r="R1883" i="1"/>
  <c r="S1883" i="1"/>
  <c r="R1884" i="1"/>
  <c r="S1884" i="1"/>
  <c r="R1885" i="1"/>
  <c r="S1885" i="1"/>
  <c r="R1886" i="1"/>
  <c r="S1886" i="1"/>
  <c r="R1887" i="1"/>
  <c r="S1887" i="1"/>
  <c r="R1888" i="1"/>
  <c r="S1888" i="1"/>
  <c r="R1889" i="1"/>
  <c r="S1889" i="1"/>
  <c r="R1890" i="1"/>
  <c r="S1890" i="1"/>
  <c r="R1891" i="1"/>
  <c r="S1891" i="1"/>
  <c r="R1892" i="1"/>
  <c r="S1892" i="1"/>
  <c r="R1893" i="1"/>
  <c r="S1893" i="1"/>
  <c r="R1894" i="1"/>
  <c r="S1894" i="1"/>
  <c r="R1895" i="1"/>
  <c r="S1895" i="1"/>
  <c r="R1896" i="1"/>
  <c r="S1896" i="1"/>
  <c r="R1897" i="1"/>
  <c r="S1897" i="1"/>
  <c r="R1898" i="1"/>
  <c r="S1898" i="1"/>
  <c r="R1899" i="1"/>
  <c r="S1899" i="1"/>
  <c r="R1900" i="1"/>
  <c r="S1900" i="1"/>
  <c r="R1901" i="1"/>
  <c r="S1901" i="1"/>
  <c r="R1902" i="1"/>
  <c r="S1902" i="1"/>
  <c r="R1903" i="1"/>
  <c r="S1903" i="1"/>
  <c r="R1904" i="1"/>
  <c r="S1904" i="1"/>
  <c r="R1905" i="1"/>
  <c r="S1905" i="1"/>
  <c r="R1906" i="1"/>
  <c r="S1906" i="1"/>
  <c r="R1907" i="1"/>
  <c r="S1907" i="1"/>
  <c r="R1908" i="1"/>
  <c r="S1908" i="1"/>
  <c r="R1909" i="1"/>
  <c r="S1909" i="1"/>
  <c r="R1910" i="1"/>
  <c r="S1910" i="1"/>
  <c r="R1911" i="1"/>
  <c r="S1911" i="1"/>
  <c r="R1912" i="1"/>
  <c r="S1912" i="1"/>
  <c r="R1913" i="1"/>
  <c r="S1913" i="1"/>
  <c r="R1914" i="1"/>
  <c r="S1914" i="1"/>
  <c r="R1915" i="1"/>
  <c r="S1915" i="1"/>
  <c r="R1916" i="1"/>
  <c r="S1916" i="1"/>
  <c r="R1917" i="1"/>
  <c r="S1917" i="1"/>
  <c r="R1918" i="1"/>
  <c r="S1918" i="1"/>
  <c r="R1919" i="1"/>
  <c r="S1919" i="1"/>
  <c r="R1920" i="1"/>
  <c r="S1920" i="1"/>
  <c r="R1921" i="1"/>
  <c r="S1921" i="1"/>
  <c r="R1922" i="1"/>
  <c r="S1922" i="1"/>
  <c r="R1923" i="1"/>
  <c r="S1923" i="1"/>
  <c r="R1924" i="1"/>
  <c r="S1924" i="1"/>
  <c r="R1925" i="1"/>
  <c r="S1925" i="1"/>
  <c r="R1926" i="1"/>
  <c r="S1926" i="1"/>
  <c r="R1927" i="1"/>
  <c r="S1927" i="1"/>
  <c r="R1928" i="1"/>
  <c r="S1928" i="1"/>
  <c r="R1929" i="1"/>
  <c r="S1929" i="1"/>
  <c r="R1930" i="1"/>
  <c r="S1930" i="1"/>
  <c r="R1931" i="1"/>
  <c r="S1931" i="1"/>
  <c r="R1932" i="1"/>
  <c r="S1932" i="1"/>
  <c r="R1933" i="1"/>
  <c r="S1933" i="1"/>
  <c r="R1934" i="1"/>
  <c r="S1934" i="1"/>
  <c r="R1935" i="1"/>
  <c r="S1935" i="1"/>
  <c r="R1936" i="1"/>
  <c r="S1936" i="1"/>
  <c r="R1937" i="1"/>
  <c r="S1937" i="1"/>
  <c r="R1938" i="1"/>
  <c r="S1938" i="1"/>
  <c r="R1939" i="1"/>
  <c r="S1939" i="1"/>
  <c r="R1940" i="1"/>
  <c r="S1940" i="1"/>
  <c r="R1941" i="1"/>
  <c r="S1941" i="1"/>
  <c r="R1942" i="1"/>
  <c r="S1942" i="1"/>
  <c r="R1943" i="1"/>
  <c r="S1943" i="1"/>
  <c r="R1944" i="1"/>
  <c r="S1944" i="1"/>
  <c r="R1945" i="1"/>
  <c r="S1945" i="1"/>
  <c r="R1946" i="1"/>
  <c r="S1946" i="1"/>
  <c r="R1947" i="1"/>
  <c r="S1947" i="1"/>
  <c r="R1948" i="1"/>
  <c r="S1948" i="1"/>
  <c r="R1949" i="1"/>
  <c r="S1949" i="1"/>
  <c r="R1950" i="1"/>
  <c r="S1950" i="1"/>
  <c r="R1951" i="1"/>
  <c r="S1951" i="1"/>
  <c r="R1952" i="1"/>
  <c r="S1952" i="1"/>
  <c r="R1953" i="1"/>
  <c r="S1953" i="1"/>
  <c r="R1954" i="1"/>
  <c r="S1954" i="1"/>
  <c r="R1955" i="1"/>
  <c r="S1955" i="1"/>
  <c r="R1956" i="1"/>
  <c r="S1956" i="1"/>
  <c r="R1957" i="1"/>
  <c r="S1957" i="1"/>
  <c r="R1958" i="1"/>
  <c r="S1958" i="1"/>
  <c r="R1959" i="1"/>
  <c r="S1959" i="1"/>
  <c r="R1960" i="1"/>
  <c r="S1960" i="1"/>
  <c r="R1961" i="1"/>
  <c r="S1961" i="1"/>
  <c r="R1962" i="1"/>
  <c r="S1962" i="1"/>
  <c r="R1963" i="1"/>
  <c r="S1963" i="1"/>
  <c r="R1964" i="1"/>
  <c r="S1964" i="1"/>
  <c r="R1965" i="1"/>
  <c r="S1965" i="1"/>
  <c r="R1966" i="1"/>
  <c r="S1966" i="1"/>
  <c r="R1967" i="1"/>
  <c r="S1967" i="1"/>
  <c r="R1968" i="1"/>
  <c r="S1968" i="1"/>
  <c r="R1969" i="1"/>
  <c r="S1969" i="1"/>
  <c r="R1970" i="1"/>
  <c r="S1970" i="1"/>
  <c r="R1971" i="1"/>
  <c r="S1971" i="1"/>
  <c r="R1972" i="1"/>
  <c r="S1972" i="1"/>
  <c r="R1973" i="1"/>
  <c r="S1973" i="1"/>
  <c r="R1974" i="1"/>
  <c r="S1974" i="1"/>
  <c r="R1975" i="1"/>
  <c r="S1975" i="1"/>
  <c r="R1976" i="1"/>
  <c r="S1976" i="1"/>
  <c r="R1977" i="1"/>
  <c r="S1977" i="1"/>
  <c r="R1978" i="1"/>
  <c r="S1978" i="1"/>
  <c r="R1979" i="1"/>
  <c r="T1979" i="1" s="1"/>
  <c r="S1979" i="1"/>
  <c r="R1980" i="1"/>
  <c r="S1980" i="1"/>
  <c r="R1981" i="1"/>
  <c r="S1981" i="1"/>
  <c r="R1982" i="1"/>
  <c r="S1982" i="1"/>
  <c r="R1983" i="1"/>
  <c r="S1983" i="1"/>
  <c r="R1984" i="1"/>
  <c r="S1984" i="1"/>
  <c r="R1985" i="1"/>
  <c r="S1985" i="1"/>
  <c r="R1986" i="1"/>
  <c r="S1986" i="1"/>
  <c r="R1987" i="1"/>
  <c r="S1987" i="1"/>
  <c r="R1988" i="1"/>
  <c r="S1988" i="1"/>
  <c r="R1989" i="1"/>
  <c r="T1989" i="1" s="1"/>
  <c r="S1989" i="1"/>
  <c r="R1990" i="1"/>
  <c r="S1990" i="1"/>
  <c r="R1991" i="1"/>
  <c r="S1991" i="1"/>
  <c r="R1992" i="1"/>
  <c r="S1992" i="1"/>
  <c r="R1993" i="1"/>
  <c r="S1993" i="1"/>
  <c r="R1994" i="1"/>
  <c r="S1994" i="1"/>
  <c r="R1995" i="1"/>
  <c r="S1995" i="1"/>
  <c r="R1996" i="1"/>
  <c r="S1996" i="1"/>
  <c r="R1997" i="1"/>
  <c r="S1997" i="1"/>
  <c r="R1998" i="1"/>
  <c r="S1998" i="1"/>
  <c r="R1999" i="1"/>
  <c r="S1999" i="1"/>
  <c r="R2000" i="1"/>
  <c r="S2000" i="1"/>
  <c r="R2001" i="1"/>
  <c r="S2001" i="1"/>
  <c r="R2002" i="1"/>
  <c r="S2002" i="1"/>
  <c r="R2003" i="1"/>
  <c r="S2003" i="1"/>
  <c r="R2004" i="1"/>
  <c r="S2004" i="1"/>
  <c r="R2005" i="1"/>
  <c r="S2005" i="1"/>
  <c r="R2006" i="1"/>
  <c r="S2006" i="1"/>
  <c r="R2007" i="1"/>
  <c r="S2007" i="1"/>
  <c r="R2008" i="1"/>
  <c r="S2008" i="1"/>
  <c r="R2009" i="1"/>
  <c r="S2009" i="1"/>
  <c r="R2010" i="1"/>
  <c r="S2010" i="1"/>
  <c r="R2011" i="1"/>
  <c r="T2011" i="1" s="1"/>
  <c r="S2011" i="1"/>
  <c r="R2012" i="1"/>
  <c r="S2012" i="1"/>
  <c r="R2013" i="1"/>
  <c r="S2013" i="1"/>
  <c r="R2014" i="1"/>
  <c r="S2014" i="1"/>
  <c r="R2015" i="1"/>
  <c r="S2015" i="1"/>
  <c r="R2016" i="1"/>
  <c r="S2016" i="1"/>
  <c r="R2017" i="1"/>
  <c r="S2017" i="1"/>
  <c r="R2018" i="1"/>
  <c r="S2018" i="1"/>
  <c r="R2019" i="1"/>
  <c r="S2019" i="1"/>
  <c r="R2020" i="1"/>
  <c r="S2020" i="1"/>
  <c r="R2021" i="1"/>
  <c r="S2021" i="1"/>
  <c r="R2022" i="1"/>
  <c r="S2022" i="1"/>
  <c r="R2023" i="1"/>
  <c r="S2023" i="1"/>
  <c r="R2024" i="1"/>
  <c r="S2024" i="1"/>
  <c r="R2025" i="1"/>
  <c r="S2025" i="1"/>
  <c r="R2026" i="1"/>
  <c r="S2026" i="1"/>
  <c r="R2027" i="1"/>
  <c r="S2027" i="1"/>
  <c r="R2028" i="1"/>
  <c r="S2028" i="1"/>
  <c r="R2029" i="1"/>
  <c r="S2029" i="1"/>
  <c r="R2030" i="1"/>
  <c r="S2030" i="1"/>
  <c r="R2031" i="1"/>
  <c r="S2031" i="1"/>
  <c r="R2032" i="1"/>
  <c r="S2032" i="1"/>
  <c r="R2033" i="1"/>
  <c r="S2033" i="1"/>
  <c r="R2034" i="1"/>
  <c r="R2035" i="1"/>
  <c r="S2035" i="1"/>
  <c r="R2036" i="1"/>
  <c r="S2036" i="1"/>
  <c r="R2037" i="1"/>
  <c r="S2037" i="1"/>
  <c r="R2038" i="1"/>
  <c r="S2038" i="1"/>
  <c r="R2039" i="1"/>
  <c r="S2039" i="1"/>
  <c r="R2040" i="1"/>
  <c r="S2040" i="1"/>
  <c r="R2041" i="1"/>
  <c r="S2041" i="1"/>
  <c r="R2042" i="1"/>
  <c r="S2042" i="1"/>
  <c r="R2043" i="1"/>
  <c r="S2043" i="1"/>
  <c r="R2044" i="1"/>
  <c r="S2044" i="1"/>
  <c r="R2045" i="1"/>
  <c r="S2045" i="1"/>
  <c r="R2046" i="1"/>
  <c r="S2046" i="1"/>
  <c r="R2047" i="1"/>
  <c r="S2047" i="1"/>
  <c r="R2048" i="1"/>
  <c r="S2048" i="1"/>
  <c r="R2049" i="1"/>
  <c r="S2049" i="1"/>
  <c r="R2050" i="1"/>
  <c r="S2050" i="1"/>
  <c r="R2051" i="1"/>
  <c r="S2051" i="1"/>
  <c r="R2052" i="1"/>
  <c r="S2052" i="1"/>
  <c r="R2053" i="1"/>
  <c r="S2053" i="1"/>
  <c r="R2054" i="1"/>
  <c r="S2054" i="1"/>
  <c r="R2055" i="1"/>
  <c r="S2055" i="1"/>
  <c r="R2056" i="1"/>
  <c r="S2056" i="1"/>
  <c r="R2057" i="1"/>
  <c r="S2057" i="1"/>
  <c r="R2058" i="1"/>
  <c r="S2058" i="1"/>
  <c r="R2059" i="1"/>
  <c r="S2059" i="1"/>
  <c r="R2060" i="1"/>
  <c r="S2060" i="1"/>
  <c r="R2061" i="1"/>
  <c r="S2061" i="1"/>
  <c r="R2062" i="1"/>
  <c r="S2062" i="1"/>
  <c r="R2063" i="1"/>
  <c r="S2063" i="1"/>
  <c r="R2064" i="1"/>
  <c r="T2064" i="1" s="1"/>
  <c r="S2064" i="1"/>
  <c r="R2065" i="1"/>
  <c r="S2065" i="1"/>
  <c r="R2066" i="1"/>
  <c r="S2066" i="1"/>
  <c r="R2067" i="1"/>
  <c r="S2067" i="1"/>
  <c r="R2068" i="1"/>
  <c r="S2068" i="1"/>
  <c r="R2069" i="1"/>
  <c r="S2069" i="1"/>
  <c r="R2070" i="1"/>
  <c r="S2070" i="1"/>
  <c r="R2071" i="1"/>
  <c r="S2071" i="1"/>
  <c r="R2072" i="1"/>
  <c r="S2072" i="1"/>
  <c r="R2073" i="1"/>
  <c r="S2073" i="1"/>
  <c r="R2074" i="1"/>
  <c r="T2074" i="1" s="1"/>
  <c r="S2074" i="1"/>
  <c r="R2075" i="1"/>
  <c r="S2075" i="1"/>
  <c r="R2076" i="1"/>
  <c r="S2076" i="1"/>
  <c r="R2077" i="1"/>
  <c r="S2077" i="1"/>
  <c r="R2078" i="1"/>
  <c r="S2078" i="1"/>
  <c r="R2079" i="1"/>
  <c r="S2079" i="1"/>
  <c r="R2080" i="1"/>
  <c r="S2080" i="1"/>
  <c r="R2081" i="1"/>
  <c r="S2081" i="1"/>
  <c r="R2082" i="1"/>
  <c r="S2082" i="1"/>
  <c r="R2083" i="1"/>
  <c r="S2083" i="1"/>
  <c r="R2084" i="1"/>
  <c r="S2084" i="1"/>
  <c r="R2085" i="1"/>
  <c r="S2085" i="1"/>
  <c r="R2086" i="1"/>
  <c r="S2086" i="1"/>
  <c r="R2087" i="1"/>
  <c r="S2087" i="1"/>
  <c r="R2088" i="1"/>
  <c r="S2088" i="1"/>
  <c r="R2089" i="1"/>
  <c r="S2089" i="1"/>
  <c r="R2090" i="1"/>
  <c r="S2090" i="1"/>
  <c r="R2091" i="1"/>
  <c r="S2091" i="1"/>
  <c r="R2092" i="1"/>
  <c r="S2092" i="1"/>
  <c r="R2093" i="1"/>
  <c r="S2093" i="1"/>
  <c r="R2094" i="1"/>
  <c r="T2094" i="1" s="1"/>
  <c r="S2094" i="1"/>
  <c r="R2095" i="1"/>
  <c r="S2095" i="1"/>
  <c r="R2096" i="1"/>
  <c r="S2096" i="1"/>
  <c r="R2097" i="1"/>
  <c r="S2097" i="1"/>
  <c r="R2098" i="1"/>
  <c r="S2098" i="1"/>
  <c r="R2099" i="1"/>
  <c r="S2099" i="1"/>
  <c r="R2100" i="1"/>
  <c r="S2100" i="1"/>
  <c r="R2101" i="1"/>
  <c r="S2101" i="1"/>
  <c r="R2102" i="1"/>
  <c r="S2102" i="1"/>
  <c r="R2103" i="1"/>
  <c r="S2103" i="1"/>
  <c r="R2104" i="1"/>
  <c r="T2104" i="1" s="1"/>
  <c r="S2104" i="1"/>
  <c r="R2105" i="1"/>
  <c r="S2105" i="1"/>
  <c r="R2106" i="1"/>
  <c r="S2106" i="1"/>
  <c r="R2107" i="1"/>
  <c r="S2107" i="1"/>
  <c r="R2108" i="1"/>
  <c r="S2108" i="1"/>
  <c r="R2109" i="1"/>
  <c r="S2109" i="1"/>
  <c r="R2110" i="1"/>
  <c r="S2110" i="1"/>
  <c r="R2111" i="1"/>
  <c r="S2111" i="1"/>
  <c r="R2112" i="1"/>
  <c r="S2112" i="1"/>
  <c r="R2113" i="1"/>
  <c r="S2113" i="1"/>
  <c r="R2114" i="1"/>
  <c r="T2114" i="1" s="1"/>
  <c r="S2114" i="1"/>
  <c r="R2115" i="1"/>
  <c r="S2115" i="1"/>
  <c r="R2116" i="1"/>
  <c r="S2116" i="1"/>
  <c r="R2117" i="1"/>
  <c r="S2117" i="1"/>
  <c r="R2118" i="1"/>
  <c r="S2118" i="1"/>
  <c r="R2119" i="1"/>
  <c r="S2119" i="1"/>
  <c r="R2120" i="1"/>
  <c r="S2120" i="1"/>
  <c r="R2121" i="1"/>
  <c r="S2121" i="1"/>
  <c r="R2122" i="1"/>
  <c r="S2122" i="1"/>
  <c r="R2123" i="1"/>
  <c r="S2123" i="1"/>
  <c r="R2124" i="1"/>
  <c r="S2124" i="1"/>
  <c r="R2125" i="1"/>
  <c r="S2125" i="1"/>
  <c r="R2126" i="1"/>
  <c r="S2126" i="1"/>
  <c r="R2127" i="1"/>
  <c r="S2127" i="1"/>
  <c r="R2128" i="1"/>
  <c r="S2128" i="1"/>
  <c r="R2129" i="1"/>
  <c r="S2129" i="1"/>
  <c r="R2130" i="1"/>
  <c r="S2130" i="1"/>
  <c r="R2131" i="1"/>
  <c r="S2131" i="1"/>
  <c r="R2132" i="1"/>
  <c r="S2132" i="1"/>
  <c r="R2133" i="1"/>
  <c r="S2133" i="1"/>
  <c r="R2134" i="1"/>
  <c r="S2134" i="1"/>
  <c r="R2135" i="1"/>
  <c r="S2135" i="1"/>
  <c r="R2136" i="1"/>
  <c r="S2136" i="1"/>
  <c r="R2137" i="1"/>
  <c r="S2137" i="1"/>
  <c r="R2138" i="1"/>
  <c r="S2138" i="1"/>
  <c r="R2139" i="1"/>
  <c r="S2139" i="1"/>
  <c r="R2140" i="1"/>
  <c r="S2140" i="1"/>
  <c r="R2141" i="1"/>
  <c r="R2142" i="1"/>
  <c r="S2142" i="1"/>
  <c r="R2143" i="1"/>
  <c r="S2143" i="1"/>
  <c r="R2144" i="1"/>
  <c r="S2144" i="1"/>
  <c r="R2145" i="1"/>
  <c r="S2145" i="1"/>
  <c r="R2146" i="1"/>
  <c r="S2146" i="1"/>
  <c r="R2147" i="1"/>
  <c r="S2147" i="1"/>
  <c r="R2148" i="1"/>
  <c r="S2148" i="1"/>
  <c r="R2149" i="1"/>
  <c r="S2149" i="1"/>
  <c r="R2150" i="1"/>
  <c r="S2150" i="1"/>
  <c r="R2151" i="1"/>
  <c r="S2151" i="1"/>
  <c r="R2152" i="1"/>
  <c r="T2152" i="1" s="1"/>
  <c r="S2152" i="1"/>
  <c r="R2153" i="1"/>
  <c r="S2153" i="1"/>
  <c r="R2154" i="1"/>
  <c r="S2154" i="1"/>
  <c r="R2155" i="1"/>
  <c r="S2155" i="1"/>
  <c r="R2156" i="1"/>
  <c r="S2156" i="1"/>
  <c r="R2157" i="1"/>
  <c r="S2157" i="1"/>
  <c r="R2158" i="1"/>
  <c r="S2158" i="1"/>
  <c r="R2159" i="1"/>
  <c r="S2159" i="1"/>
  <c r="R2160" i="1"/>
  <c r="S2160" i="1"/>
  <c r="R2161" i="1"/>
  <c r="S2161" i="1"/>
  <c r="R2162" i="1"/>
  <c r="T2162" i="1" s="1"/>
  <c r="S2162" i="1"/>
  <c r="R2163" i="1"/>
  <c r="S2163" i="1"/>
  <c r="R2164" i="1"/>
  <c r="S2164" i="1"/>
  <c r="R2165" i="1"/>
  <c r="S2165" i="1"/>
  <c r="R2166" i="1"/>
  <c r="S2166" i="1"/>
  <c r="R2167" i="1"/>
  <c r="S2167" i="1"/>
  <c r="R2168" i="1"/>
  <c r="S2168" i="1"/>
  <c r="R2169" i="1"/>
  <c r="S2169" i="1"/>
  <c r="R2170" i="1"/>
  <c r="S2170" i="1"/>
  <c r="R2171" i="1"/>
  <c r="S2171" i="1"/>
  <c r="R2172" i="1"/>
  <c r="T2172" i="1" s="1"/>
  <c r="S2172" i="1"/>
  <c r="R2173" i="1"/>
  <c r="S2173" i="1"/>
  <c r="R2174" i="1"/>
  <c r="S2174" i="1"/>
  <c r="R2175" i="1"/>
  <c r="S2175" i="1"/>
  <c r="R2176" i="1"/>
  <c r="S2176" i="1"/>
  <c r="R2177" i="1"/>
  <c r="S2177" i="1"/>
  <c r="R2178" i="1"/>
  <c r="S2178" i="1"/>
  <c r="R2179" i="1"/>
  <c r="S2179" i="1"/>
  <c r="R2180" i="1"/>
  <c r="S2180" i="1"/>
  <c r="R2181" i="1"/>
  <c r="S2181" i="1"/>
  <c r="R2182" i="1"/>
  <c r="S2182" i="1"/>
  <c r="R2183" i="1"/>
  <c r="S2183" i="1"/>
  <c r="R2184" i="1"/>
  <c r="S2184" i="1"/>
  <c r="R2185" i="1"/>
  <c r="S2185" i="1"/>
  <c r="R2186" i="1"/>
  <c r="S2186" i="1"/>
  <c r="R2187" i="1"/>
  <c r="S2187" i="1"/>
  <c r="R2188" i="1"/>
  <c r="S2188" i="1"/>
  <c r="R2189" i="1"/>
  <c r="S2189" i="1"/>
  <c r="R2190" i="1"/>
  <c r="S2190" i="1"/>
  <c r="R2191" i="1"/>
  <c r="T2191" i="1" s="1"/>
  <c r="S2191" i="1"/>
  <c r="R2192" i="1"/>
  <c r="S2192" i="1"/>
  <c r="R2193" i="1"/>
  <c r="S2193" i="1"/>
  <c r="R2194" i="1"/>
  <c r="S2194" i="1"/>
  <c r="R2195" i="1"/>
  <c r="S2195" i="1"/>
  <c r="R2196" i="1"/>
  <c r="S2196" i="1"/>
  <c r="R2197" i="1"/>
  <c r="S2197" i="1"/>
  <c r="R2198" i="1"/>
  <c r="S2198" i="1"/>
  <c r="R2199" i="1"/>
  <c r="S2199" i="1"/>
  <c r="R2200" i="1"/>
  <c r="S2200" i="1"/>
  <c r="R2201" i="1"/>
  <c r="S2201" i="1"/>
  <c r="R2202" i="1"/>
  <c r="S2202" i="1"/>
  <c r="R2203" i="1"/>
  <c r="S2203" i="1"/>
  <c r="R2204" i="1"/>
  <c r="S2204" i="1"/>
  <c r="R2205" i="1"/>
  <c r="S2205" i="1"/>
  <c r="R2206" i="1"/>
  <c r="S2206" i="1"/>
  <c r="R2207" i="1"/>
  <c r="S2207" i="1"/>
  <c r="R2208" i="1"/>
  <c r="S2208" i="1"/>
  <c r="R2209" i="1"/>
  <c r="S2209" i="1"/>
  <c r="R2210" i="1"/>
  <c r="T2210" i="1" s="1"/>
  <c r="S2210" i="1"/>
  <c r="R2211" i="1"/>
  <c r="S2211" i="1"/>
  <c r="R2212" i="1"/>
  <c r="S2212" i="1"/>
  <c r="R2213" i="1"/>
  <c r="S2213" i="1"/>
  <c r="R2214" i="1"/>
  <c r="S2214" i="1"/>
  <c r="R2215" i="1"/>
  <c r="S2215" i="1"/>
  <c r="R2216" i="1"/>
  <c r="S2216" i="1"/>
  <c r="R2217" i="1"/>
  <c r="S2217" i="1"/>
  <c r="R2218" i="1"/>
  <c r="S2218" i="1"/>
  <c r="R2219" i="1"/>
  <c r="S2219" i="1"/>
  <c r="R2220" i="1"/>
  <c r="S2220" i="1"/>
  <c r="R2221" i="1"/>
  <c r="S2221" i="1"/>
  <c r="R2222" i="1"/>
  <c r="S2222" i="1"/>
  <c r="R2223" i="1"/>
  <c r="S2223" i="1"/>
  <c r="R2224" i="1"/>
  <c r="S2224" i="1"/>
  <c r="R2225" i="1"/>
  <c r="S2225" i="1"/>
  <c r="R2226" i="1"/>
  <c r="S2226" i="1"/>
  <c r="R2227" i="1"/>
  <c r="S2227" i="1"/>
  <c r="R2228" i="1"/>
  <c r="S2228" i="1"/>
  <c r="R2229" i="1"/>
  <c r="S2229" i="1"/>
  <c r="R2230" i="1"/>
  <c r="S2230" i="1"/>
  <c r="R2231" i="1"/>
  <c r="S2231" i="1"/>
  <c r="R2232" i="1"/>
  <c r="S2232" i="1"/>
  <c r="R2233" i="1"/>
  <c r="S2233" i="1"/>
  <c r="R2234" i="1"/>
  <c r="S2234" i="1"/>
  <c r="R2235" i="1"/>
  <c r="S2235" i="1"/>
  <c r="R2236" i="1"/>
  <c r="S2236" i="1"/>
  <c r="R2237" i="1"/>
  <c r="S2237" i="1"/>
  <c r="R2238" i="1"/>
  <c r="S2238" i="1"/>
  <c r="R2239" i="1"/>
  <c r="S2239" i="1"/>
  <c r="R2240" i="1"/>
  <c r="S2240" i="1"/>
  <c r="R2241" i="1"/>
  <c r="S2241" i="1"/>
  <c r="R2242" i="1"/>
  <c r="S2242" i="1"/>
  <c r="R2243" i="1"/>
  <c r="S2243" i="1"/>
  <c r="R2244" i="1"/>
  <c r="S2244" i="1"/>
  <c r="R2245" i="1"/>
  <c r="S2245" i="1"/>
  <c r="R2246" i="1"/>
  <c r="S2246" i="1"/>
  <c r="R2247" i="1"/>
  <c r="S2247" i="1"/>
  <c r="R2248" i="1"/>
  <c r="T2248" i="1" s="1"/>
  <c r="S2248" i="1"/>
  <c r="R2249" i="1"/>
  <c r="S2249" i="1"/>
  <c r="R2250" i="1"/>
  <c r="S2250" i="1"/>
  <c r="R2251" i="1"/>
  <c r="S2251" i="1"/>
  <c r="R2252" i="1"/>
  <c r="S2252" i="1"/>
  <c r="R2253" i="1"/>
  <c r="S2253" i="1"/>
  <c r="R2254" i="1"/>
  <c r="S2254" i="1"/>
  <c r="R2255" i="1"/>
  <c r="S2255" i="1"/>
  <c r="R2256" i="1"/>
  <c r="S2256" i="1"/>
  <c r="R2257" i="1"/>
  <c r="S2257" i="1"/>
  <c r="R2258" i="1"/>
  <c r="T2258" i="1" s="1"/>
  <c r="S2258" i="1"/>
  <c r="R2259" i="1"/>
  <c r="S2259" i="1"/>
  <c r="R2260" i="1"/>
  <c r="S2260" i="1"/>
  <c r="R2261" i="1"/>
  <c r="S2261" i="1"/>
  <c r="R2262" i="1"/>
  <c r="S2262" i="1"/>
  <c r="R2263" i="1"/>
  <c r="S2263" i="1"/>
  <c r="R2264" i="1"/>
  <c r="S2264" i="1"/>
  <c r="R2265" i="1"/>
  <c r="S2265" i="1"/>
  <c r="R2266" i="1"/>
  <c r="S2266" i="1"/>
  <c r="R2267" i="1"/>
  <c r="S2267" i="1"/>
  <c r="R2268" i="1"/>
  <c r="T2268" i="1" s="1"/>
  <c r="S2268" i="1"/>
  <c r="R2269" i="1"/>
  <c r="S2269" i="1"/>
  <c r="R2270" i="1"/>
  <c r="S2270" i="1"/>
  <c r="R2271" i="1"/>
  <c r="S2271" i="1"/>
  <c r="R2272" i="1"/>
  <c r="S2272" i="1"/>
  <c r="R2273" i="1"/>
  <c r="S2273" i="1"/>
  <c r="R2274" i="1"/>
  <c r="S2274" i="1"/>
  <c r="R2275" i="1"/>
  <c r="S2275" i="1"/>
  <c r="R2276" i="1"/>
  <c r="S2276" i="1"/>
  <c r="R2277" i="1"/>
  <c r="T2277" i="1" s="1"/>
  <c r="S2277" i="1"/>
  <c r="R2278" i="1"/>
  <c r="S2278" i="1"/>
  <c r="R2279" i="1"/>
  <c r="S2279" i="1"/>
  <c r="R2280" i="1"/>
  <c r="S2280" i="1"/>
  <c r="R2281" i="1"/>
  <c r="S2281" i="1"/>
  <c r="R2282" i="1"/>
  <c r="S2282" i="1"/>
  <c r="R2283" i="1"/>
  <c r="S2283" i="1"/>
  <c r="R2284" i="1"/>
  <c r="S2284" i="1"/>
  <c r="R2285" i="1"/>
  <c r="S2285" i="1"/>
  <c r="R2286" i="1"/>
  <c r="S2286" i="1"/>
  <c r="R2287" i="1"/>
  <c r="S2287" i="1"/>
  <c r="R2288" i="1"/>
  <c r="S2288" i="1"/>
  <c r="R2289" i="1"/>
  <c r="S2289" i="1"/>
  <c r="R2290" i="1"/>
  <c r="S2290" i="1"/>
  <c r="R2291" i="1"/>
  <c r="R2292" i="1"/>
  <c r="S2292" i="1"/>
  <c r="R2293" i="1"/>
  <c r="S2293" i="1"/>
  <c r="R2294" i="1"/>
  <c r="S2294" i="1"/>
  <c r="R2295" i="1"/>
  <c r="S2295" i="1"/>
  <c r="R2296" i="1"/>
  <c r="S2296" i="1"/>
  <c r="R2297" i="1"/>
  <c r="R2298" i="1"/>
  <c r="S2298" i="1"/>
  <c r="R2299" i="1"/>
  <c r="S2299" i="1"/>
  <c r="R2300" i="1"/>
  <c r="S2300" i="1"/>
  <c r="R2301" i="1"/>
  <c r="T2301" i="1" s="1"/>
  <c r="S2301" i="1"/>
  <c r="R2302" i="1"/>
  <c r="S2302" i="1"/>
  <c r="R2303" i="1"/>
  <c r="R2304" i="1"/>
  <c r="S2304" i="1"/>
  <c r="R2305" i="1"/>
  <c r="S2305" i="1"/>
  <c r="R2306" i="1"/>
  <c r="S2306" i="1"/>
  <c r="R2307" i="1"/>
  <c r="S2307" i="1"/>
  <c r="R2308" i="1"/>
  <c r="S2308" i="1"/>
  <c r="R2309" i="1"/>
  <c r="S2309" i="1"/>
  <c r="R2310" i="1"/>
  <c r="S2310" i="1"/>
  <c r="R2311" i="1"/>
  <c r="S2311" i="1"/>
  <c r="R2312" i="1"/>
  <c r="S2312" i="1"/>
  <c r="R2313" i="1"/>
  <c r="S2313" i="1"/>
  <c r="R2314" i="1"/>
  <c r="S2314" i="1"/>
  <c r="R2315" i="1"/>
  <c r="S2315" i="1"/>
  <c r="R2316" i="1"/>
  <c r="S2316" i="1"/>
  <c r="R2317" i="1"/>
  <c r="S2317" i="1"/>
  <c r="R2318" i="1"/>
  <c r="S2318" i="1"/>
  <c r="R2319" i="1"/>
  <c r="S2319" i="1"/>
  <c r="R2320" i="1"/>
  <c r="S2320" i="1"/>
  <c r="R2321" i="1"/>
  <c r="S2321" i="1"/>
  <c r="R2322" i="1"/>
  <c r="S2322" i="1"/>
  <c r="R2323" i="1"/>
  <c r="S2323" i="1"/>
  <c r="R2324" i="1"/>
  <c r="S2324" i="1"/>
  <c r="R2325" i="1"/>
  <c r="S2325" i="1"/>
  <c r="R2326" i="1"/>
  <c r="S2326" i="1"/>
  <c r="R2327" i="1"/>
  <c r="S2327" i="1"/>
  <c r="R2328" i="1"/>
  <c r="S2328" i="1"/>
  <c r="R2329" i="1"/>
  <c r="S2329" i="1"/>
  <c r="R2330" i="1"/>
  <c r="S2330" i="1"/>
  <c r="R2331" i="1"/>
  <c r="S2331" i="1"/>
  <c r="R2332" i="1"/>
  <c r="S2332" i="1"/>
  <c r="R2333" i="1"/>
  <c r="S2333" i="1"/>
  <c r="R2334" i="1"/>
  <c r="T2334" i="1" s="1"/>
  <c r="S2334" i="1"/>
  <c r="R2335" i="1"/>
  <c r="S2335" i="1"/>
  <c r="R2336" i="1"/>
  <c r="S2336" i="1"/>
  <c r="R2337" i="1"/>
  <c r="S2337" i="1"/>
  <c r="R2338" i="1"/>
  <c r="S2338" i="1"/>
  <c r="R2339" i="1"/>
  <c r="S2339" i="1"/>
  <c r="R2340" i="1"/>
  <c r="T2340" i="1" s="1"/>
  <c r="S2340" i="1"/>
  <c r="R2341" i="1"/>
  <c r="S2341" i="1"/>
  <c r="R2342" i="1"/>
  <c r="S2342" i="1"/>
  <c r="R2343" i="1"/>
  <c r="S2343" i="1"/>
  <c r="R2344" i="1"/>
  <c r="S2344" i="1"/>
  <c r="R2345" i="1"/>
  <c r="S2345" i="1"/>
  <c r="R2346" i="1"/>
  <c r="S2346" i="1"/>
  <c r="R2347" i="1"/>
  <c r="S2347" i="1"/>
  <c r="R2348" i="1"/>
  <c r="S2348" i="1"/>
  <c r="R2349" i="1"/>
  <c r="T2349" i="1" s="1"/>
  <c r="S2349" i="1"/>
  <c r="R2350" i="1"/>
  <c r="S2350" i="1"/>
  <c r="R2351" i="1"/>
  <c r="S2351" i="1"/>
  <c r="R2352" i="1"/>
  <c r="S2352" i="1"/>
  <c r="R2353" i="1"/>
  <c r="S2353" i="1"/>
  <c r="R2354" i="1"/>
  <c r="T2354" i="1" s="1"/>
  <c r="S2354" i="1"/>
  <c r="R2355" i="1"/>
  <c r="S2355" i="1"/>
  <c r="R2356" i="1"/>
  <c r="S2356" i="1"/>
  <c r="R2357" i="1"/>
  <c r="S2357" i="1"/>
  <c r="R2358" i="1"/>
  <c r="S2358" i="1"/>
  <c r="R2359" i="1"/>
  <c r="S2359" i="1"/>
  <c r="R2360" i="1"/>
  <c r="S2360" i="1"/>
  <c r="R2361" i="1"/>
  <c r="S2361" i="1"/>
  <c r="R2362" i="1"/>
  <c r="S2362" i="1"/>
  <c r="R2363" i="1"/>
  <c r="S2363" i="1"/>
  <c r="R2364" i="1"/>
  <c r="T2364" i="1" s="1"/>
  <c r="S2364" i="1"/>
  <c r="R2365" i="1"/>
  <c r="S2365" i="1"/>
  <c r="R2366" i="1"/>
  <c r="S2366" i="1"/>
  <c r="R2367" i="1"/>
  <c r="S2367" i="1"/>
  <c r="R2368" i="1"/>
  <c r="S2368" i="1"/>
  <c r="R2369" i="1"/>
  <c r="S2369" i="1"/>
  <c r="R2370" i="1"/>
  <c r="S2370" i="1"/>
  <c r="R2371" i="1"/>
  <c r="S2371" i="1"/>
  <c r="R2372" i="1"/>
  <c r="S2372" i="1"/>
  <c r="R2373" i="1"/>
  <c r="T2373" i="1" s="1"/>
  <c r="S2373" i="1"/>
  <c r="R2374" i="1"/>
  <c r="S2374" i="1"/>
  <c r="R2375" i="1"/>
  <c r="S2375" i="1"/>
  <c r="R2376" i="1"/>
  <c r="S2376" i="1"/>
  <c r="R2377" i="1"/>
  <c r="S2377" i="1"/>
  <c r="R2378" i="1"/>
  <c r="S2378" i="1"/>
  <c r="R2379" i="1"/>
  <c r="S2379" i="1"/>
  <c r="R2380" i="1"/>
  <c r="S2380" i="1"/>
  <c r="R2381" i="1"/>
  <c r="S2381" i="1"/>
  <c r="R2382" i="1"/>
  <c r="S2382" i="1"/>
  <c r="R2383" i="1"/>
  <c r="S2383" i="1"/>
  <c r="R2384" i="1"/>
  <c r="S2384" i="1"/>
  <c r="R2385" i="1"/>
  <c r="S2385" i="1"/>
  <c r="R2386" i="1"/>
  <c r="S2386" i="1"/>
  <c r="R2387" i="1"/>
  <c r="S2387" i="1"/>
  <c r="R2388" i="1"/>
  <c r="T2388" i="1" s="1"/>
  <c r="S2388" i="1"/>
  <c r="R2389" i="1"/>
  <c r="S2389" i="1"/>
  <c r="R2390" i="1"/>
  <c r="S2390" i="1"/>
  <c r="R2391" i="1"/>
  <c r="S2391" i="1"/>
  <c r="R2392" i="1"/>
  <c r="T2392" i="1" s="1"/>
  <c r="S2392" i="1"/>
  <c r="R2393" i="1"/>
  <c r="S2393" i="1"/>
  <c r="R2394" i="1"/>
  <c r="S2394" i="1"/>
  <c r="R2395" i="1"/>
  <c r="S2395" i="1"/>
  <c r="R2396" i="1"/>
  <c r="S2396" i="1"/>
  <c r="R2397" i="1"/>
  <c r="T2397" i="1" s="1"/>
  <c r="S2397" i="1"/>
  <c r="R2398" i="1"/>
  <c r="S2398" i="1"/>
  <c r="R2399" i="1"/>
  <c r="R2400" i="1"/>
  <c r="S2400" i="1"/>
  <c r="R2401" i="1"/>
  <c r="S2401" i="1"/>
  <c r="R2402" i="1"/>
  <c r="S2402" i="1"/>
  <c r="R2403" i="1"/>
  <c r="S2403" i="1"/>
  <c r="R2404" i="1"/>
  <c r="S2404" i="1"/>
  <c r="R2405" i="1"/>
  <c r="R2406" i="1"/>
  <c r="S2406" i="1"/>
  <c r="R2407" i="1"/>
  <c r="S2407" i="1"/>
  <c r="R2408" i="1"/>
  <c r="S2408" i="1"/>
  <c r="R2409" i="1"/>
  <c r="S2409" i="1"/>
  <c r="R2410" i="1"/>
  <c r="S2410" i="1"/>
  <c r="R2411" i="1"/>
  <c r="S2411" i="1"/>
  <c r="R2412" i="1"/>
  <c r="T2412" i="1" s="1"/>
  <c r="S2412" i="1"/>
  <c r="R2413" i="1"/>
  <c r="S2413" i="1"/>
  <c r="R2414" i="1"/>
  <c r="S2414" i="1"/>
  <c r="R2415" i="1"/>
  <c r="S2415" i="1"/>
  <c r="R2416" i="1"/>
  <c r="S2416" i="1"/>
  <c r="R2417" i="1"/>
  <c r="S2417" i="1"/>
  <c r="R2418" i="1"/>
  <c r="S2418" i="1"/>
  <c r="R2419" i="1"/>
  <c r="S2419" i="1"/>
  <c r="R2420" i="1"/>
  <c r="S2420" i="1"/>
  <c r="R2421" i="1"/>
  <c r="T2421" i="1" s="1"/>
  <c r="S2421" i="1"/>
  <c r="R2422" i="1"/>
  <c r="S2422" i="1"/>
  <c r="R2423" i="1"/>
  <c r="S2423" i="1"/>
  <c r="R2424" i="1"/>
  <c r="S2424" i="1"/>
  <c r="R2425" i="1"/>
  <c r="S2425" i="1"/>
  <c r="R2426" i="1"/>
  <c r="S2426" i="1"/>
  <c r="R2427" i="1"/>
  <c r="S2427" i="1"/>
  <c r="R2428" i="1"/>
  <c r="S2428" i="1"/>
  <c r="R2429" i="1"/>
  <c r="S2429" i="1"/>
  <c r="R2430" i="1"/>
  <c r="S2430" i="1"/>
  <c r="R2431" i="1"/>
  <c r="S2431" i="1"/>
  <c r="R2432" i="1"/>
  <c r="S2432" i="1"/>
  <c r="R2433" i="1"/>
  <c r="S2433" i="1"/>
  <c r="R2434" i="1"/>
  <c r="S2434" i="1"/>
  <c r="R2435" i="1"/>
  <c r="S2435" i="1"/>
  <c r="R2436" i="1"/>
  <c r="T2436" i="1" s="1"/>
  <c r="S2436" i="1"/>
  <c r="R2437" i="1"/>
  <c r="S2437" i="1"/>
  <c r="R2438" i="1"/>
  <c r="S2438" i="1"/>
  <c r="R2439" i="1"/>
  <c r="S2439" i="1"/>
  <c r="R2440" i="1"/>
  <c r="S2440" i="1"/>
  <c r="R2441" i="1"/>
  <c r="S2441" i="1"/>
  <c r="R2442" i="1"/>
  <c r="S2442" i="1"/>
  <c r="R2443" i="1"/>
  <c r="S2443" i="1"/>
  <c r="R2444" i="1"/>
  <c r="S2444" i="1"/>
  <c r="R2445" i="1"/>
  <c r="T2445" i="1" s="1"/>
  <c r="S2445" i="1"/>
  <c r="R2446" i="1"/>
  <c r="S2446" i="1"/>
  <c r="R2447" i="1"/>
  <c r="S2447" i="1"/>
  <c r="R2448" i="1"/>
  <c r="S2448" i="1"/>
  <c r="R2449" i="1"/>
  <c r="S2449" i="1"/>
  <c r="R2450" i="1"/>
  <c r="T2450" i="1" s="1"/>
  <c r="S2450" i="1"/>
  <c r="R2451" i="1"/>
  <c r="S2451" i="1"/>
  <c r="R2452" i="1"/>
  <c r="S2452" i="1"/>
  <c r="R2453" i="1"/>
  <c r="S2453" i="1"/>
  <c r="R2454" i="1"/>
  <c r="S2454" i="1"/>
  <c r="R2455" i="1"/>
  <c r="S2455" i="1"/>
  <c r="R2456" i="1"/>
  <c r="S2456" i="1"/>
  <c r="R2457" i="1"/>
  <c r="S2457" i="1"/>
  <c r="R2458" i="1"/>
  <c r="S2458" i="1"/>
  <c r="R2459" i="1"/>
  <c r="S2459" i="1"/>
  <c r="R2460" i="1"/>
  <c r="S2460" i="1"/>
  <c r="R2461" i="1"/>
  <c r="S2461" i="1"/>
  <c r="R2462" i="1"/>
  <c r="S2462" i="1"/>
  <c r="R2463" i="1"/>
  <c r="S2463" i="1"/>
  <c r="R2464" i="1"/>
  <c r="S2464" i="1"/>
  <c r="R2465" i="1"/>
  <c r="S2465" i="1"/>
  <c r="R2466" i="1"/>
  <c r="S2466" i="1"/>
  <c r="R2467" i="1"/>
  <c r="S2467" i="1"/>
  <c r="R2468" i="1"/>
  <c r="S2468" i="1"/>
  <c r="R2469" i="1"/>
  <c r="S2469" i="1"/>
  <c r="R2470" i="1"/>
  <c r="S2470" i="1"/>
  <c r="R2471" i="1"/>
  <c r="S2471" i="1"/>
  <c r="R2472" i="1"/>
  <c r="S2472" i="1"/>
  <c r="R2473" i="1"/>
  <c r="S2473" i="1"/>
  <c r="R2474" i="1"/>
  <c r="S2474" i="1"/>
  <c r="R2475" i="1"/>
  <c r="S2475" i="1"/>
  <c r="R2476" i="1"/>
  <c r="S2476" i="1"/>
  <c r="R2477" i="1"/>
  <c r="S2477" i="1"/>
  <c r="R2478" i="1"/>
  <c r="S2478" i="1"/>
  <c r="R2479" i="1"/>
  <c r="S2479" i="1"/>
  <c r="R2480" i="1"/>
  <c r="S2480" i="1"/>
  <c r="R2481" i="1"/>
  <c r="S2481" i="1"/>
  <c r="R2482" i="1"/>
  <c r="S2482" i="1"/>
  <c r="R2483" i="1"/>
  <c r="R2484" i="1"/>
  <c r="T2484" i="1" s="1"/>
  <c r="S2484" i="1"/>
  <c r="R2485" i="1"/>
  <c r="S2485" i="1"/>
  <c r="R2486" i="1"/>
  <c r="S2486" i="1"/>
  <c r="R2487" i="1"/>
  <c r="S2487" i="1"/>
  <c r="R2488" i="1"/>
  <c r="T2488" i="1" s="1"/>
  <c r="S2488" i="1"/>
  <c r="R2489" i="1"/>
  <c r="S2489" i="1"/>
  <c r="R2490" i="1"/>
  <c r="S2490" i="1"/>
  <c r="R2491" i="1"/>
  <c r="S2491" i="1"/>
  <c r="R2492" i="1"/>
  <c r="S2492" i="1"/>
  <c r="R2493" i="1"/>
  <c r="S2493" i="1"/>
  <c r="R2494" i="1"/>
  <c r="S2494" i="1"/>
  <c r="R2495" i="1"/>
  <c r="R2496" i="1"/>
  <c r="S2496" i="1"/>
  <c r="R2497" i="1"/>
  <c r="S2497" i="1"/>
  <c r="R2498" i="1"/>
  <c r="S2498" i="1"/>
  <c r="R2499" i="1"/>
  <c r="S2499" i="1"/>
  <c r="R2500" i="1"/>
  <c r="S2500" i="1"/>
  <c r="R2501" i="1"/>
  <c r="S2501" i="1"/>
  <c r="R2502" i="1"/>
  <c r="S2502" i="1"/>
  <c r="R2503" i="1"/>
  <c r="S2503" i="1"/>
  <c r="R2504" i="1"/>
  <c r="S2504" i="1"/>
  <c r="R2505" i="1"/>
  <c r="S2505" i="1"/>
  <c r="R2506" i="1"/>
  <c r="S2506" i="1"/>
  <c r="R2507" i="1"/>
  <c r="S2507" i="1"/>
  <c r="R2508" i="1"/>
  <c r="S2508" i="1"/>
  <c r="R2509" i="1"/>
  <c r="S2509" i="1"/>
  <c r="R2510" i="1"/>
  <c r="S2510" i="1"/>
  <c r="R2511" i="1"/>
  <c r="S2511" i="1"/>
  <c r="R2512" i="1"/>
  <c r="S2512" i="1"/>
  <c r="R2513" i="1"/>
  <c r="S2513" i="1"/>
  <c r="R2514" i="1"/>
  <c r="S2514" i="1"/>
  <c r="R2515" i="1"/>
  <c r="S2515" i="1"/>
  <c r="R2516" i="1"/>
  <c r="S2516" i="1"/>
  <c r="R2517" i="1"/>
  <c r="S2517" i="1"/>
  <c r="R2518" i="1"/>
  <c r="S2518" i="1"/>
  <c r="R2519" i="1"/>
  <c r="S2519" i="1"/>
  <c r="R2520" i="1"/>
  <c r="S2520" i="1"/>
  <c r="R2521" i="1"/>
  <c r="S2521" i="1"/>
  <c r="R2522" i="1"/>
  <c r="S2522" i="1"/>
  <c r="R2523" i="1"/>
  <c r="S2523" i="1"/>
  <c r="R2524" i="1"/>
  <c r="S2524" i="1"/>
  <c r="R2525" i="1"/>
  <c r="S2525" i="1"/>
  <c r="R2526" i="1"/>
  <c r="S2526" i="1"/>
  <c r="R2527" i="1"/>
  <c r="S2527" i="1"/>
  <c r="R2528" i="1"/>
  <c r="S2528" i="1"/>
  <c r="R2529" i="1"/>
  <c r="S2529" i="1"/>
  <c r="R2530" i="1"/>
  <c r="S2530" i="1"/>
  <c r="R2531" i="1"/>
  <c r="S2531" i="1"/>
  <c r="R2532" i="1"/>
  <c r="S2532" i="1"/>
  <c r="R2533" i="1"/>
  <c r="S2533" i="1"/>
  <c r="R2534" i="1"/>
  <c r="S2534" i="1"/>
  <c r="R2535" i="1"/>
  <c r="S2535" i="1"/>
  <c r="R2536" i="1"/>
  <c r="T2536" i="1" s="1"/>
  <c r="S2536" i="1"/>
  <c r="R2537" i="1"/>
  <c r="S2537" i="1"/>
  <c r="R2538" i="1"/>
  <c r="S2538" i="1"/>
  <c r="R2539" i="1"/>
  <c r="S2539" i="1"/>
  <c r="R2540" i="1"/>
  <c r="S2540" i="1"/>
  <c r="R2541" i="1"/>
  <c r="S2541" i="1"/>
  <c r="R2542" i="1"/>
  <c r="S2542" i="1"/>
  <c r="R2543" i="1"/>
  <c r="S2543" i="1"/>
  <c r="R2544" i="1"/>
  <c r="S2544" i="1"/>
  <c r="R2545" i="1"/>
  <c r="S2545" i="1"/>
  <c r="R2546" i="1"/>
  <c r="T2546" i="1" s="1"/>
  <c r="S2546" i="1"/>
  <c r="R2547" i="1"/>
  <c r="S2547" i="1"/>
  <c r="R2548" i="1"/>
  <c r="S2548" i="1"/>
  <c r="R2549" i="1"/>
  <c r="S2549" i="1"/>
  <c r="R2550" i="1"/>
  <c r="S2550" i="1"/>
  <c r="R2551" i="1"/>
  <c r="S2551" i="1"/>
  <c r="R2552" i="1"/>
  <c r="S2552" i="1"/>
  <c r="R2553" i="1"/>
  <c r="S2553" i="1"/>
  <c r="R2554" i="1"/>
  <c r="S2554" i="1"/>
  <c r="R2555" i="1"/>
  <c r="S2555" i="1"/>
  <c r="R2556" i="1"/>
  <c r="S2556" i="1"/>
  <c r="R2557" i="1"/>
  <c r="S2557" i="1"/>
  <c r="R2558" i="1"/>
  <c r="S2558" i="1"/>
  <c r="R2559" i="1"/>
  <c r="S2559" i="1"/>
  <c r="R2560" i="1"/>
  <c r="T2560" i="1" s="1"/>
  <c r="S2560" i="1"/>
  <c r="R2561" i="1"/>
  <c r="S2561" i="1"/>
  <c r="R2562" i="1"/>
  <c r="S2562" i="1"/>
  <c r="R2563" i="1"/>
  <c r="S2563" i="1"/>
  <c r="R2564" i="1"/>
  <c r="T2564" i="1" s="1"/>
  <c r="S2564" i="1"/>
  <c r="R2565" i="1"/>
  <c r="S2565" i="1"/>
  <c r="R2566" i="1"/>
  <c r="S2566" i="1"/>
  <c r="R2567" i="1"/>
  <c r="S2567" i="1"/>
  <c r="R2568" i="1"/>
  <c r="S2568" i="1"/>
  <c r="R2569" i="1"/>
  <c r="S2569" i="1"/>
  <c r="R2570" i="1"/>
  <c r="S2570" i="1"/>
  <c r="R2571" i="1"/>
  <c r="S2571" i="1"/>
  <c r="R2572" i="1"/>
  <c r="S2572" i="1"/>
  <c r="R2573" i="1"/>
  <c r="S2573" i="1"/>
  <c r="R2574" i="1"/>
  <c r="S2574" i="1"/>
  <c r="R2575" i="1"/>
  <c r="S2575" i="1"/>
  <c r="R2576" i="1"/>
  <c r="S2576" i="1"/>
  <c r="R2577" i="1"/>
  <c r="S2577" i="1"/>
  <c r="R2578" i="1"/>
  <c r="S2578" i="1"/>
  <c r="R2580" i="1"/>
  <c r="R2581" i="1"/>
  <c r="S2581" i="1"/>
  <c r="R2582" i="1"/>
  <c r="R2583" i="1"/>
  <c r="R2584" i="1"/>
  <c r="S2584" i="1"/>
  <c r="R2585" i="1"/>
  <c r="S2585" i="1"/>
  <c r="R2586" i="1"/>
  <c r="S2586" i="1"/>
  <c r="R2587" i="1"/>
  <c r="S2587" i="1"/>
  <c r="R2588" i="1"/>
  <c r="S2588" i="1"/>
  <c r="R2589" i="1"/>
  <c r="S2589" i="1"/>
  <c r="R2590" i="1"/>
  <c r="S2590" i="1"/>
  <c r="R2591" i="1"/>
  <c r="S2591" i="1"/>
  <c r="R2592" i="1"/>
  <c r="S2592" i="1"/>
  <c r="R2593" i="1"/>
  <c r="S2593" i="1"/>
  <c r="R2594" i="1"/>
  <c r="S2594" i="1"/>
  <c r="R2595" i="1"/>
  <c r="S2595" i="1"/>
  <c r="R2596" i="1"/>
  <c r="S2596" i="1"/>
  <c r="R2597" i="1"/>
  <c r="S2597" i="1"/>
  <c r="R2598" i="1"/>
  <c r="S2598" i="1"/>
  <c r="R2599" i="1"/>
  <c r="S2599" i="1"/>
  <c r="R2600" i="1"/>
  <c r="S2600" i="1"/>
  <c r="R2601" i="1"/>
  <c r="S2601" i="1"/>
  <c r="R2602" i="1"/>
  <c r="S2602" i="1"/>
  <c r="R2603" i="1"/>
  <c r="S2603" i="1"/>
  <c r="R2604" i="1"/>
  <c r="S2604" i="1"/>
  <c r="R2605" i="1"/>
  <c r="S2605" i="1"/>
  <c r="R2606" i="1"/>
  <c r="S2606" i="1"/>
  <c r="R2607" i="1"/>
  <c r="S2607" i="1"/>
  <c r="R2608" i="1"/>
  <c r="S2608" i="1"/>
  <c r="R2609" i="1"/>
  <c r="S2609" i="1"/>
  <c r="R2610" i="1"/>
  <c r="S2610" i="1"/>
  <c r="R2612" i="1"/>
  <c r="S2612" i="1"/>
  <c r="R2613" i="1"/>
  <c r="S2613" i="1"/>
  <c r="R2614" i="1"/>
  <c r="R2615" i="1"/>
  <c r="S2616" i="1"/>
  <c r="R2617" i="1"/>
  <c r="S2617" i="1"/>
  <c r="S2618" i="1"/>
  <c r="R2619" i="1"/>
  <c r="R2620" i="1"/>
  <c r="R2621" i="1"/>
  <c r="R2622" i="1"/>
  <c r="R2623" i="1"/>
  <c r="R2624" i="1"/>
  <c r="R2626" i="1"/>
  <c r="S2626" i="1"/>
  <c r="R2627" i="1"/>
  <c r="S2627" i="1"/>
  <c r="R2628" i="1"/>
  <c r="S2628" i="1"/>
  <c r="R2629" i="1"/>
  <c r="S2629" i="1"/>
  <c r="R2630" i="1"/>
  <c r="S2630" i="1"/>
  <c r="R2631" i="1"/>
  <c r="S2631" i="1"/>
  <c r="R2632" i="1"/>
  <c r="S2632" i="1"/>
  <c r="R2633" i="1"/>
  <c r="S2633" i="1"/>
  <c r="R2634" i="1"/>
  <c r="S2634" i="1"/>
  <c r="R2635" i="1"/>
  <c r="S2635" i="1"/>
  <c r="R2636" i="1"/>
  <c r="S2636" i="1"/>
  <c r="R2637" i="1"/>
  <c r="S2637" i="1"/>
  <c r="R2638" i="1"/>
  <c r="S2638" i="1"/>
  <c r="R2639" i="1"/>
  <c r="S2639" i="1"/>
  <c r="R2640" i="1"/>
  <c r="S2640" i="1"/>
  <c r="R2641" i="1"/>
  <c r="S2641" i="1"/>
  <c r="R2642" i="1"/>
  <c r="S2642" i="1"/>
  <c r="R2643" i="1"/>
  <c r="S2643" i="1"/>
  <c r="R2644" i="1"/>
  <c r="S2644" i="1"/>
  <c r="R2645" i="1"/>
  <c r="S2645" i="1"/>
  <c r="R2646" i="1"/>
  <c r="S2646" i="1"/>
  <c r="R2647" i="1"/>
  <c r="S2647" i="1"/>
  <c r="R2648" i="1"/>
  <c r="S2648" i="1"/>
  <c r="R2649" i="1"/>
  <c r="S2649" i="1"/>
  <c r="R2650" i="1"/>
  <c r="S2650" i="1"/>
  <c r="R2651" i="1"/>
  <c r="S2651" i="1"/>
  <c r="R2652" i="1"/>
  <c r="S2652" i="1"/>
  <c r="R2653" i="1"/>
  <c r="S2653" i="1"/>
  <c r="R2654" i="1"/>
  <c r="S2654" i="1"/>
  <c r="R2655" i="1"/>
  <c r="S2655" i="1"/>
  <c r="R2656" i="1"/>
  <c r="S2656" i="1"/>
  <c r="T105" i="1" l="1"/>
  <c r="T97" i="1"/>
  <c r="T89" i="1"/>
  <c r="T213" i="1"/>
  <c r="T2314" i="1"/>
  <c r="T2554" i="1"/>
  <c r="T2526" i="1"/>
  <c r="T2449" i="1"/>
  <c r="T2372" i="1"/>
  <c r="T2122" i="1"/>
  <c r="T1752" i="1"/>
  <c r="T452" i="1"/>
  <c r="T444" i="1"/>
  <c r="T2286" i="1"/>
  <c r="T2266" i="1"/>
  <c r="T2170" i="1"/>
  <c r="T2401" i="1"/>
  <c r="T2545" i="1"/>
  <c r="T2391" i="1"/>
  <c r="T2343" i="1"/>
  <c r="T2113" i="1"/>
  <c r="T2073" i="1"/>
  <c r="T66" i="1"/>
  <c r="T58" i="1"/>
  <c r="T50" i="1"/>
  <c r="T2497" i="1"/>
  <c r="T2468" i="1"/>
  <c r="T2257" i="1"/>
  <c r="T2020" i="1"/>
  <c r="T1988" i="1"/>
  <c r="T2276" i="1"/>
  <c r="T2228" i="1"/>
  <c r="T2180" i="1"/>
  <c r="T1818" i="1"/>
  <c r="T2535" i="1"/>
  <c r="T2478" i="1"/>
  <c r="T2458" i="1"/>
  <c r="T2430" i="1"/>
  <c r="T2305" i="1"/>
  <c r="T2063" i="1"/>
  <c r="T777" i="1"/>
  <c r="T769" i="1"/>
  <c r="T761" i="1"/>
  <c r="T2292" i="1"/>
  <c r="T2244" i="1"/>
  <c r="T2224" i="1"/>
  <c r="T2148" i="1"/>
  <c r="T2048" i="1"/>
  <c r="T2016" i="1"/>
  <c r="T1824" i="1"/>
  <c r="T65" i="1"/>
  <c r="T57" i="1"/>
  <c r="T49" i="1"/>
  <c r="T2027" i="1"/>
  <c r="T1995" i="1"/>
  <c r="U20" i="1"/>
  <c r="X20" i="1" s="1"/>
  <c r="T2282" i="1"/>
  <c r="T2234" i="1"/>
  <c r="T2186" i="1"/>
  <c r="T2570" i="1"/>
  <c r="T2474" i="1"/>
  <c r="T2330" i="1"/>
  <c r="T2253" i="1"/>
  <c r="T2205" i="1"/>
  <c r="T2005" i="1"/>
  <c r="T767" i="1"/>
  <c r="T199" i="1"/>
  <c r="T62" i="1"/>
  <c r="T54" i="1"/>
  <c r="T46" i="1"/>
  <c r="T2269" i="1"/>
  <c r="T2001" i="1"/>
  <c r="T2355" i="1"/>
  <c r="T2055" i="1"/>
  <c r="T2518" i="1"/>
  <c r="T2422" i="1"/>
  <c r="T2202" i="1"/>
  <c r="T2144" i="1"/>
  <c r="T1728" i="1"/>
  <c r="T1720" i="1"/>
  <c r="T1712" i="1"/>
  <c r="T1704" i="1"/>
  <c r="T463" i="1"/>
  <c r="T455" i="1"/>
  <c r="T447" i="1"/>
  <c r="T1634" i="1"/>
  <c r="T1626" i="1"/>
  <c r="T1618" i="1"/>
  <c r="T1610" i="1"/>
  <c r="T514" i="1"/>
  <c r="T506" i="1"/>
  <c r="T498" i="1"/>
  <c r="T112" i="1"/>
  <c r="T104" i="1"/>
  <c r="T96" i="1"/>
  <c r="T88" i="1"/>
  <c r="T459" i="1"/>
  <c r="T2651" i="1"/>
  <c r="T2643" i="1"/>
  <c r="T2635" i="1"/>
  <c r="T2627" i="1"/>
  <c r="T1768" i="1"/>
  <c r="T51" i="1"/>
  <c r="T1632" i="1"/>
  <c r="T1624" i="1"/>
  <c r="T1616" i="1"/>
  <c r="T774" i="1"/>
  <c r="T766" i="1"/>
  <c r="T758" i="1"/>
  <c r="T750" i="1"/>
  <c r="T700" i="1"/>
  <c r="T364" i="1"/>
  <c r="T107" i="1"/>
  <c r="T99" i="1"/>
  <c r="T91" i="1"/>
  <c r="T1729" i="1"/>
  <c r="T1721" i="1"/>
  <c r="T1713" i="1"/>
  <c r="T1705" i="1"/>
  <c r="T328" i="1"/>
  <c r="T727" i="1"/>
  <c r="T410" i="1"/>
  <c r="T340" i="1"/>
  <c r="T1727" i="1"/>
  <c r="T1719" i="1"/>
  <c r="T1711" i="1"/>
  <c r="T1703" i="1"/>
  <c r="T1625" i="1"/>
  <c r="T1617" i="1"/>
  <c r="T1609" i="1"/>
  <c r="T356" i="1"/>
  <c r="T2419" i="1"/>
  <c r="T2371" i="1"/>
  <c r="T2275" i="1"/>
  <c r="T2227" i="1"/>
  <c r="T2179" i="1"/>
  <c r="T2131" i="1"/>
  <c r="T2051" i="1"/>
  <c r="T2019" i="1"/>
  <c r="T2649" i="1"/>
  <c r="T2641" i="1"/>
  <c r="T2633" i="1"/>
  <c r="T715" i="1"/>
  <c r="T707" i="1"/>
  <c r="T699" i="1"/>
  <c r="T332" i="1"/>
  <c r="T278" i="1"/>
  <c r="T212" i="1"/>
  <c r="T204" i="1"/>
  <c r="T106" i="1"/>
  <c r="T98" i="1"/>
  <c r="T90" i="1"/>
  <c r="T389" i="1"/>
  <c r="T1708" i="1"/>
  <c r="T1638" i="1"/>
  <c r="T1622" i="1"/>
  <c r="T1614" i="1"/>
  <c r="T1784" i="1"/>
  <c r="T778" i="1"/>
  <c r="T368" i="1"/>
  <c r="T311" i="1"/>
  <c r="T768" i="1"/>
  <c r="T760" i="1"/>
  <c r="T752" i="1"/>
  <c r="T723" i="1"/>
  <c r="T101" i="1"/>
  <c r="T93" i="1"/>
  <c r="T63" i="1"/>
  <c r="T47" i="1"/>
  <c r="T713" i="1"/>
  <c r="T705" i="1"/>
  <c r="T697" i="1"/>
  <c r="J1686" i="1"/>
  <c r="T2653" i="1"/>
  <c r="T2645" i="1"/>
  <c r="T2534" i="1"/>
  <c r="T2486" i="1"/>
  <c r="T2390" i="1"/>
  <c r="T2294" i="1"/>
  <c r="T2246" i="1"/>
  <c r="T2637" i="1"/>
  <c r="T2629" i="1"/>
  <c r="T2505" i="1"/>
  <c r="T2457" i="1"/>
  <c r="T2409" i="1"/>
  <c r="T2313" i="1"/>
  <c r="T2217" i="1"/>
  <c r="T2169" i="1"/>
  <c r="T2101" i="1"/>
  <c r="T2081" i="1"/>
  <c r="T2029" i="1"/>
  <c r="T2544" i="1"/>
  <c r="T2496" i="1"/>
  <c r="T2448" i="1"/>
  <c r="T2400" i="1"/>
  <c r="T2380" i="1"/>
  <c r="T2352" i="1"/>
  <c r="T2284" i="1"/>
  <c r="T2160" i="1"/>
  <c r="T2040" i="1"/>
  <c r="T2553" i="1"/>
  <c r="J571" i="1"/>
  <c r="T554" i="1"/>
  <c r="T416" i="1"/>
  <c r="T394" i="1"/>
  <c r="T2494" i="1"/>
  <c r="T2226" i="1"/>
  <c r="T2158" i="1"/>
  <c r="T2130" i="1"/>
  <c r="T773" i="1"/>
  <c r="T437" i="1"/>
  <c r="T2562" i="1"/>
  <c r="T2370" i="1"/>
  <c r="T371" i="1"/>
  <c r="T110" i="1"/>
  <c r="T102" i="1"/>
  <c r="T94" i="1"/>
  <c r="T2446" i="1"/>
  <c r="T2090" i="1"/>
  <c r="T2389" i="1"/>
  <c r="T2341" i="1"/>
  <c r="T2197" i="1"/>
  <c r="T1985" i="1"/>
  <c r="T694" i="1"/>
  <c r="T327" i="1"/>
  <c r="T2542" i="1"/>
  <c r="T2302" i="1"/>
  <c r="T2274" i="1"/>
  <c r="T2652" i="1"/>
  <c r="T2644" i="1"/>
  <c r="T2636" i="1"/>
  <c r="T2628" i="1"/>
  <c r="T2514" i="1"/>
  <c r="T2398" i="1"/>
  <c r="T2322" i="1"/>
  <c r="T2552" i="1"/>
  <c r="T2360" i="1"/>
  <c r="T2312" i="1"/>
  <c r="T2264" i="1"/>
  <c r="T2216" i="1"/>
  <c r="T2120" i="1"/>
  <c r="T2080" i="1"/>
  <c r="T2060" i="1"/>
  <c r="T1996" i="1"/>
  <c r="T339" i="1"/>
  <c r="T2110" i="1"/>
  <c r="T456" i="1"/>
  <c r="T253" i="1"/>
  <c r="T222" i="1"/>
  <c r="T2350" i="1"/>
  <c r="T2504" i="1"/>
  <c r="T2456" i="1"/>
  <c r="T2571" i="1"/>
  <c r="T2427" i="1"/>
  <c r="T2379" i="1"/>
  <c r="T2187" i="1"/>
  <c r="T2137" i="1"/>
  <c r="T2057" i="1"/>
  <c r="T1993" i="1"/>
  <c r="T622" i="1"/>
  <c r="T353" i="1"/>
  <c r="T344" i="1"/>
  <c r="T2156" i="1"/>
  <c r="T2004" i="1"/>
  <c r="T1723" i="1"/>
  <c r="T1629" i="1"/>
  <c r="T1621" i="1"/>
  <c r="T1613" i="1"/>
  <c r="T717" i="1"/>
  <c r="T709" i="1"/>
  <c r="T701" i="1"/>
  <c r="T693" i="1"/>
  <c r="T365" i="1"/>
  <c r="T603" i="1"/>
  <c r="T555" i="1"/>
  <c r="T321" i="1"/>
  <c r="T2425" i="1"/>
  <c r="T2127" i="1"/>
  <c r="T633" i="1"/>
  <c r="T521" i="1"/>
  <c r="T513" i="1"/>
  <c r="T505" i="1"/>
  <c r="T497" i="1"/>
  <c r="T284" i="1"/>
  <c r="T2550" i="1"/>
  <c r="T2166" i="1"/>
  <c r="T2118" i="1"/>
  <c r="T2098" i="1"/>
  <c r="T2078" i="1"/>
  <c r="T1758" i="1"/>
  <c r="H141" i="1"/>
  <c r="J141" i="1" s="1"/>
  <c r="H193" i="1"/>
  <c r="J193" i="1" s="1"/>
  <c r="H1763" i="1"/>
  <c r="J1763" i="1" s="1"/>
  <c r="U2538" i="1"/>
  <c r="J567" i="1"/>
  <c r="T2510" i="1"/>
  <c r="T2462" i="1"/>
  <c r="T2414" i="1"/>
  <c r="T2318" i="1"/>
  <c r="T2270" i="1"/>
  <c r="U1257" i="1"/>
  <c r="U1629" i="1"/>
  <c r="U1596" i="1"/>
  <c r="Z1596" i="1" s="1"/>
  <c r="U926" i="1"/>
  <c r="U1341" i="1"/>
  <c r="Y1341" i="1" s="1"/>
  <c r="U2147" i="1"/>
  <c r="X2147" i="1" s="1"/>
  <c r="U1705" i="1"/>
  <c r="Y1705" i="1" s="1"/>
  <c r="U1688" i="1"/>
  <c r="X1688" i="1" s="1"/>
  <c r="U1684" i="1"/>
  <c r="X1684" i="1" s="1"/>
  <c r="U1680" i="1"/>
  <c r="X1680" i="1" s="1"/>
  <c r="U1652" i="1"/>
  <c r="X1652" i="1" s="1"/>
  <c r="U1334" i="1"/>
  <c r="X1334" i="1" s="1"/>
  <c r="U1207" i="1"/>
  <c r="X1207" i="1" s="1"/>
  <c r="U1127" i="1"/>
  <c r="Z1127" i="1" s="1"/>
  <c r="U655" i="1"/>
  <c r="X655" i="1" s="1"/>
  <c r="U1130" i="1"/>
  <c r="P2664" i="1"/>
  <c r="U2309" i="1"/>
  <c r="W2313" i="1" s="1"/>
  <c r="U2277" i="1"/>
  <c r="U2198" i="1"/>
  <c r="U2182" i="1"/>
  <c r="U2178" i="1"/>
  <c r="T2174" i="1"/>
  <c r="T2086" i="1"/>
  <c r="T2066" i="1"/>
  <c r="T1822" i="1"/>
  <c r="U1218" i="1"/>
  <c r="U1214" i="1"/>
  <c r="T550" i="1"/>
  <c r="U132" i="1"/>
  <c r="T2577" i="1"/>
  <c r="T2529" i="1"/>
  <c r="T2481" i="1"/>
  <c r="U2317" i="1"/>
  <c r="T2193" i="1"/>
  <c r="T2045" i="1"/>
  <c r="T2013" i="1"/>
  <c r="U1421" i="1"/>
  <c r="X1421" i="1" s="1"/>
  <c r="T627" i="1"/>
  <c r="T446" i="1"/>
  <c r="T2655" i="1"/>
  <c r="T2647" i="1"/>
  <c r="T2639" i="1"/>
  <c r="T2631" i="1"/>
  <c r="T2520" i="1"/>
  <c r="T2452" i="1"/>
  <c r="U2444" i="1"/>
  <c r="T2424" i="1"/>
  <c r="T2404" i="1"/>
  <c r="T2356" i="1"/>
  <c r="T2308" i="1"/>
  <c r="T2260" i="1"/>
  <c r="T2232" i="1"/>
  <c r="T2212" i="1"/>
  <c r="T772" i="1"/>
  <c r="T2164" i="1"/>
  <c r="T2136" i="1"/>
  <c r="T2096" i="1"/>
  <c r="T2056" i="1"/>
  <c r="T2024" i="1"/>
  <c r="T1800" i="1"/>
  <c r="U1212" i="1"/>
  <c r="T2539" i="1"/>
  <c r="T2395" i="1"/>
  <c r="T2347" i="1"/>
  <c r="T2251" i="1"/>
  <c r="T608" i="1"/>
  <c r="U469" i="1"/>
  <c r="Y469" i="1" s="1"/>
  <c r="T435" i="1"/>
  <c r="T413" i="1"/>
  <c r="T2155" i="1"/>
  <c r="T2035" i="1"/>
  <c r="T1811" i="1"/>
  <c r="U1531" i="1"/>
  <c r="Z1531" i="1" s="1"/>
  <c r="U1239" i="1"/>
  <c r="X1239" i="1" s="1"/>
  <c r="U1223" i="1"/>
  <c r="U1447" i="1"/>
  <c r="U981" i="1"/>
  <c r="U658" i="1"/>
  <c r="U2568" i="1"/>
  <c r="U2544" i="1"/>
  <c r="U2273" i="1"/>
  <c r="Y2273" i="1" s="1"/>
  <c r="U2261" i="1"/>
  <c r="W2262" i="1" s="1"/>
  <c r="U1542" i="1"/>
  <c r="U1331" i="1"/>
  <c r="X1331" i="1" s="1"/>
  <c r="U1315" i="1"/>
  <c r="U397" i="1"/>
  <c r="U2650" i="1"/>
  <c r="U2642" i="1"/>
  <c r="U2617" i="1"/>
  <c r="Y2617" i="1" s="1"/>
  <c r="U2613" i="1"/>
  <c r="U2009" i="1"/>
  <c r="U1565" i="1"/>
  <c r="U1270" i="1"/>
  <c r="U1266" i="1"/>
  <c r="U1079" i="1"/>
  <c r="U634" i="1"/>
  <c r="U199" i="1"/>
  <c r="U2271" i="1"/>
  <c r="U2267" i="1"/>
  <c r="W2271" i="1" s="1"/>
  <c r="U1584" i="1"/>
  <c r="Y1584" i="1" s="1"/>
  <c r="U1540" i="1"/>
  <c r="Z1540" i="1" s="1"/>
  <c r="U1536" i="1"/>
  <c r="U1524" i="1"/>
  <c r="U1516" i="1"/>
  <c r="U1512" i="1"/>
  <c r="U1317" i="1"/>
  <c r="U1094" i="1"/>
  <c r="U539" i="1"/>
  <c r="U434" i="1"/>
  <c r="U2369" i="1"/>
  <c r="W2371" i="1" s="1"/>
  <c r="U2234" i="1"/>
  <c r="U2424" i="1"/>
  <c r="U2293" i="1"/>
  <c r="U2131" i="1"/>
  <c r="U1499" i="1"/>
  <c r="U1215" i="1"/>
  <c r="Y1215" i="1" s="1"/>
  <c r="U1135" i="1"/>
  <c r="U124" i="1"/>
  <c r="U2114" i="1"/>
  <c r="U1494" i="1"/>
  <c r="U1442" i="1"/>
  <c r="U1355" i="1"/>
  <c r="U1347" i="1"/>
  <c r="U1343" i="1"/>
  <c r="U1336" i="1"/>
  <c r="U1047" i="1"/>
  <c r="U2446" i="1"/>
  <c r="U2295" i="1"/>
  <c r="U1002" i="1"/>
  <c r="U795" i="1"/>
  <c r="U362" i="1"/>
  <c r="U2498" i="1"/>
  <c r="U2236" i="1"/>
  <c r="U2220" i="1"/>
  <c r="U2129" i="1"/>
  <c r="U1501" i="1"/>
  <c r="U1295" i="1"/>
  <c r="U1209" i="1"/>
  <c r="U1129" i="1"/>
  <c r="U326" i="1"/>
  <c r="U1628" i="1"/>
  <c r="U1476" i="1"/>
  <c r="U1456" i="1"/>
  <c r="U1357" i="1"/>
  <c r="U502" i="1"/>
  <c r="U76" i="1"/>
  <c r="U2104" i="1"/>
  <c r="U781" i="1"/>
  <c r="U202" i="1"/>
  <c r="T2265" i="1"/>
  <c r="U2265" i="1"/>
  <c r="U2218" i="1"/>
  <c r="T2218" i="1"/>
  <c r="T2323" i="1"/>
  <c r="U2323" i="1"/>
  <c r="U2319" i="1"/>
  <c r="U2315" i="1"/>
  <c r="U2134" i="1"/>
  <c r="U2499" i="1"/>
  <c r="U2400" i="1"/>
  <c r="U2522" i="1"/>
  <c r="U2514" i="1"/>
  <c r="U2439" i="1"/>
  <c r="U2416" i="1"/>
  <c r="U2392" i="1"/>
  <c r="U2349" i="1"/>
  <c r="U2333" i="1"/>
  <c r="U2329" i="1"/>
  <c r="U2289" i="1"/>
  <c r="T2289" i="1"/>
  <c r="U2383" i="1"/>
  <c r="U2344" i="1"/>
  <c r="U2528" i="1"/>
  <c r="U2524" i="1"/>
  <c r="U2437" i="1"/>
  <c r="U2339" i="1"/>
  <c r="U2335" i="1"/>
  <c r="U2327" i="1"/>
  <c r="U2222" i="1"/>
  <c r="U2098" i="1"/>
  <c r="U2066" i="1"/>
  <c r="U1876" i="1"/>
  <c r="U1836" i="1"/>
  <c r="U1828" i="1"/>
  <c r="U1784" i="1"/>
  <c r="U1752" i="1"/>
  <c r="U1683" i="1"/>
  <c r="U1574" i="1"/>
  <c r="U1480" i="1"/>
  <c r="U1382" i="1"/>
  <c r="U1366" i="1"/>
  <c r="U1323" i="1"/>
  <c r="U1319" i="1"/>
  <c r="U1292" i="1"/>
  <c r="U1196" i="1"/>
  <c r="U1192" i="1"/>
  <c r="U1136" i="1"/>
  <c r="U524" i="1"/>
  <c r="U319" i="1"/>
  <c r="X319" i="1" s="1"/>
  <c r="U2285" i="1"/>
  <c r="U1694" i="1"/>
  <c r="U1682" i="1"/>
  <c r="U1581" i="1"/>
  <c r="U1448" i="1"/>
  <c r="X1448" i="1" s="1"/>
  <c r="U1222" i="1"/>
  <c r="Y1222" i="1" s="1"/>
  <c r="U1120" i="1"/>
  <c r="U1108" i="1"/>
  <c r="U309" i="1"/>
  <c r="U32" i="1"/>
  <c r="Z32" i="1" s="1"/>
  <c r="T2547" i="1"/>
  <c r="T2317" i="1"/>
  <c r="T1619" i="1"/>
  <c r="H1849" i="1"/>
  <c r="J1849" i="1" s="1"/>
  <c r="U1502" i="1"/>
  <c r="U1483" i="1"/>
  <c r="U853" i="1"/>
  <c r="U802" i="1"/>
  <c r="U714" i="1"/>
  <c r="U2041" i="1"/>
  <c r="U2037" i="1"/>
  <c r="U1858" i="1"/>
  <c r="U1742" i="1"/>
  <c r="U1568" i="1"/>
  <c r="U1310" i="1"/>
  <c r="U1302" i="1"/>
  <c r="U1279" i="1"/>
  <c r="U1271" i="1"/>
  <c r="U1111" i="1"/>
  <c r="U1099" i="1"/>
  <c r="U873" i="1"/>
  <c r="U766" i="1"/>
  <c r="U705" i="1"/>
  <c r="U325" i="1"/>
  <c r="Z325" i="1" s="1"/>
  <c r="U114" i="1"/>
  <c r="U109" i="1"/>
  <c r="U101" i="1"/>
  <c r="U97" i="1"/>
  <c r="H2014" i="1"/>
  <c r="J2014" i="1" s="1"/>
  <c r="U30" i="1"/>
  <c r="U1446" i="1"/>
  <c r="U1415" i="1"/>
  <c r="U1383" i="1"/>
  <c r="U999" i="1"/>
  <c r="U591" i="1"/>
  <c r="U525" i="1"/>
  <c r="U205" i="1"/>
  <c r="Z205" i="1" s="1"/>
  <c r="U188" i="1"/>
  <c r="U2305" i="1"/>
  <c r="U2106" i="1"/>
  <c r="U2095" i="1"/>
  <c r="U2075" i="1"/>
  <c r="U1615" i="1"/>
  <c r="U1563" i="1"/>
  <c r="U1508" i="1"/>
  <c r="U1485" i="1"/>
  <c r="U1379" i="1"/>
  <c r="U1305" i="1"/>
  <c r="U1289" i="1"/>
  <c r="U1205" i="1"/>
  <c r="U1193" i="1"/>
  <c r="U765" i="1"/>
  <c r="U716" i="1"/>
  <c r="U708" i="1"/>
  <c r="U117" i="1"/>
  <c r="H2054" i="1"/>
  <c r="J2054" i="1" s="1"/>
  <c r="T2433" i="1"/>
  <c r="U2433" i="1"/>
  <c r="U70" i="1"/>
  <c r="T2259" i="1"/>
  <c r="U2259" i="1"/>
  <c r="U1510" i="1"/>
  <c r="U2491" i="1"/>
  <c r="U2311" i="1"/>
  <c r="U1225" i="1"/>
  <c r="U1556" i="1"/>
  <c r="U373" i="1"/>
  <c r="T2283" i="1"/>
  <c r="U2283" i="1"/>
  <c r="U1263" i="1"/>
  <c r="U983" i="1"/>
  <c r="U2414" i="1"/>
  <c r="U2321" i="1"/>
  <c r="U1034" i="1"/>
  <c r="H1668" i="1"/>
  <c r="J1668" i="1" s="1"/>
  <c r="H548" i="1"/>
  <c r="J548" i="1" s="1"/>
  <c r="U2351" i="1"/>
  <c r="U2235" i="1"/>
  <c r="U2102" i="1"/>
  <c r="U2043" i="1"/>
  <c r="U1810" i="1"/>
  <c r="T1798" i="1"/>
  <c r="U1637" i="1"/>
  <c r="U1559" i="1"/>
  <c r="U1363" i="1"/>
  <c r="U1303" i="1"/>
  <c r="U1273" i="1"/>
  <c r="U1255" i="1"/>
  <c r="U1247" i="1"/>
  <c r="T755" i="1"/>
  <c r="U751" i="1"/>
  <c r="U738" i="1"/>
  <c r="U681" i="1"/>
  <c r="U517" i="1"/>
  <c r="U477" i="1"/>
  <c r="T453" i="1"/>
  <c r="T423" i="1"/>
  <c r="U220" i="1"/>
  <c r="T209" i="1"/>
  <c r="H1974" i="1"/>
  <c r="J1974" i="1" s="1"/>
  <c r="H1878" i="1"/>
  <c r="J1878" i="1" s="1"/>
  <c r="H1817" i="1"/>
  <c r="J1817" i="1" s="1"/>
  <c r="T2630" i="1"/>
  <c r="U2394" i="1"/>
  <c r="U2382" i="1"/>
  <c r="U2378" i="1"/>
  <c r="T2374" i="1"/>
  <c r="U2362" i="1"/>
  <c r="U2331" i="1"/>
  <c r="T2307" i="1"/>
  <c r="T2278" i="1"/>
  <c r="U2254" i="1"/>
  <c r="T2250" i="1"/>
  <c r="U2238" i="1"/>
  <c r="U2231" i="1"/>
  <c r="U2181" i="1"/>
  <c r="U2112" i="1"/>
  <c r="T2105" i="1"/>
  <c r="U1657" i="1"/>
  <c r="U1645" i="1"/>
  <c r="U1547" i="1"/>
  <c r="U1543" i="1"/>
  <c r="U884" i="1"/>
  <c r="U872" i="1"/>
  <c r="U376" i="1"/>
  <c r="U350" i="1"/>
  <c r="U165" i="1"/>
  <c r="H1769" i="1"/>
  <c r="J1769" i="1" s="1"/>
  <c r="H1757" i="1"/>
  <c r="J1757" i="1" s="1"/>
  <c r="U2633" i="1"/>
  <c r="U2563" i="1"/>
  <c r="U2517" i="1"/>
  <c r="T2470" i="1"/>
  <c r="T2413" i="1"/>
  <c r="U2219" i="1"/>
  <c r="U2150" i="1"/>
  <c r="U2042" i="1"/>
  <c r="U2015" i="1"/>
  <c r="T1733" i="1"/>
  <c r="T1725" i="1"/>
  <c r="T1717" i="1"/>
  <c r="T1709" i="1"/>
  <c r="U1600" i="1"/>
  <c r="U1504" i="1"/>
  <c r="U1474" i="1"/>
  <c r="U1462" i="1"/>
  <c r="U1451" i="1"/>
  <c r="U1431" i="1"/>
  <c r="U1350" i="1"/>
  <c r="U1298" i="1"/>
  <c r="U1269" i="1"/>
  <c r="U1246" i="1"/>
  <c r="U1231" i="1"/>
  <c r="U1183" i="1"/>
  <c r="U672" i="1"/>
  <c r="U487" i="1"/>
  <c r="U430" i="1"/>
  <c r="T401" i="1"/>
  <c r="U383" i="1"/>
  <c r="U323" i="1"/>
  <c r="U308" i="1"/>
  <c r="U137" i="1"/>
  <c r="U2509" i="1"/>
  <c r="T2365" i="1"/>
  <c r="U2346" i="1"/>
  <c r="T2326" i="1"/>
  <c r="U2299" i="1"/>
  <c r="U2281" i="1"/>
  <c r="U2200" i="1"/>
  <c r="U2196" i="1"/>
  <c r="U2192" i="1"/>
  <c r="U2184" i="1"/>
  <c r="U2160" i="1"/>
  <c r="U2101" i="1"/>
  <c r="U2065" i="1"/>
  <c r="U2061" i="1"/>
  <c r="U2053" i="1"/>
  <c r="U2026" i="1"/>
  <c r="U1500" i="1"/>
  <c r="U1454" i="1"/>
  <c r="U1392" i="1"/>
  <c r="U1294" i="1"/>
  <c r="U1261" i="1"/>
  <c r="U1234" i="1"/>
  <c r="U1206" i="1"/>
  <c r="U1202" i="1"/>
  <c r="U1198" i="1"/>
  <c r="U1182" i="1"/>
  <c r="H2046" i="1"/>
  <c r="J2046" i="1" s="1"/>
  <c r="H1802" i="1"/>
  <c r="J1802" i="1" s="1"/>
  <c r="H532" i="1"/>
  <c r="J532" i="1" s="1"/>
  <c r="T2442" i="1"/>
  <c r="T1820" i="1"/>
  <c r="T1635" i="1"/>
  <c r="U949" i="1"/>
  <c r="U925" i="1"/>
  <c r="U843" i="1"/>
  <c r="U538" i="1"/>
  <c r="U479" i="1"/>
  <c r="T434" i="1"/>
  <c r="H1982" i="1"/>
  <c r="J1982" i="1" s="1"/>
  <c r="H1918" i="1"/>
  <c r="J1918" i="1" s="1"/>
  <c r="H1754" i="1"/>
  <c r="J1754" i="1" s="1"/>
  <c r="U2426" i="1"/>
  <c r="U2376" i="1"/>
  <c r="U2337" i="1"/>
  <c r="U2325" i="1"/>
  <c r="U2287" i="1"/>
  <c r="U2263" i="1"/>
  <c r="U2256" i="1"/>
  <c r="T2240" i="1"/>
  <c r="U2229" i="1"/>
  <c r="U2145" i="1"/>
  <c r="U2110" i="1"/>
  <c r="U2088" i="1"/>
  <c r="U1715" i="1"/>
  <c r="T1627" i="1"/>
  <c r="U1575" i="1"/>
  <c r="U1526" i="1"/>
  <c r="U1488" i="1"/>
  <c r="U1430" i="1"/>
  <c r="U1403" i="1"/>
  <c r="U1368" i="1"/>
  <c r="U1349" i="1"/>
  <c r="U1308" i="1"/>
  <c r="U1278" i="1"/>
  <c r="U1241" i="1"/>
  <c r="U889" i="1"/>
  <c r="U756" i="1"/>
  <c r="U748" i="1"/>
  <c r="U739" i="1"/>
  <c r="U728" i="1"/>
  <c r="U691" i="1"/>
  <c r="T412" i="1"/>
  <c r="U293" i="1"/>
  <c r="U111" i="1"/>
  <c r="U95" i="1"/>
  <c r="U91" i="1"/>
  <c r="T2538" i="1"/>
  <c r="U2515" i="1"/>
  <c r="U2492" i="1"/>
  <c r="T2480" i="1"/>
  <c r="U2464" i="1"/>
  <c r="T2403" i="1"/>
  <c r="U2367" i="1"/>
  <c r="U2355" i="1"/>
  <c r="U2301" i="1"/>
  <c r="U2297" i="1"/>
  <c r="U2279" i="1"/>
  <c r="U2251" i="1"/>
  <c r="T2221" i="1"/>
  <c r="U2125" i="1"/>
  <c r="U2117" i="1"/>
  <c r="T2044" i="1"/>
  <c r="U1822" i="1"/>
  <c r="T1637" i="1"/>
  <c r="T1611" i="1"/>
  <c r="U1525" i="1"/>
  <c r="U1406" i="1"/>
  <c r="U1394" i="1"/>
  <c r="U1375" i="1"/>
  <c r="U1360" i="1"/>
  <c r="U1333" i="1"/>
  <c r="U1244" i="1"/>
  <c r="U1229" i="1"/>
  <c r="U1153" i="1"/>
  <c r="U1149" i="1"/>
  <c r="U1097" i="1"/>
  <c r="U1093" i="1"/>
  <c r="U991" i="1"/>
  <c r="U980" i="1"/>
  <c r="U976" i="1"/>
  <c r="U666" i="1"/>
  <c r="U662" i="1"/>
  <c r="T616" i="1"/>
  <c r="T596" i="1"/>
  <c r="T517" i="1"/>
  <c r="U419" i="1"/>
  <c r="U403" i="1"/>
  <c r="T369" i="1"/>
  <c r="T217" i="1"/>
  <c r="U182" i="1"/>
  <c r="U178" i="1"/>
  <c r="U174" i="1"/>
  <c r="U170" i="1"/>
  <c r="U162" i="1"/>
  <c r="U154" i="1"/>
  <c r="U142" i="1"/>
  <c r="U2653" i="1"/>
  <c r="U2562" i="1"/>
  <c r="U2581" i="1"/>
  <c r="U2640" i="1"/>
  <c r="U2632" i="1"/>
  <c r="U2512" i="1"/>
  <c r="U2508" i="1"/>
  <c r="U2477" i="1"/>
  <c r="U2469" i="1"/>
  <c r="U2431" i="1"/>
  <c r="T2416" i="1"/>
  <c r="U2409" i="1"/>
  <c r="U2391" i="1"/>
  <c r="T2337" i="1"/>
  <c r="T2331" i="1"/>
  <c r="T2325" i="1"/>
  <c r="U2313" i="1"/>
  <c r="U2307" i="1"/>
  <c r="T2299" i="1"/>
  <c r="T2293" i="1"/>
  <c r="U2275" i="1"/>
  <c r="U2269" i="1"/>
  <c r="U2247" i="1"/>
  <c r="U2239" i="1"/>
  <c r="U2233" i="1"/>
  <c r="T2229" i="1"/>
  <c r="U2216" i="1"/>
  <c r="U2212" i="1"/>
  <c r="U2197" i="1"/>
  <c r="U2190" i="1"/>
  <c r="U2142" i="1"/>
  <c r="U2127" i="1"/>
  <c r="U2116" i="1"/>
  <c r="U2092" i="1"/>
  <c r="U2085" i="1"/>
  <c r="U2032" i="1"/>
  <c r="U2020" i="1"/>
  <c r="U1726" i="1"/>
  <c r="U1678" i="1"/>
  <c r="U1597" i="1"/>
  <c r="U1572" i="1"/>
  <c r="U1460" i="1"/>
  <c r="U1453" i="1"/>
  <c r="U1440" i="1"/>
  <c r="U1325" i="1"/>
  <c r="U1293" i="1"/>
  <c r="U1286" i="1"/>
  <c r="U1228" i="1"/>
  <c r="U1076" i="1"/>
  <c r="U1029" i="1"/>
  <c r="U971" i="1"/>
  <c r="U935" i="1"/>
  <c r="U2578" i="1"/>
  <c r="U2552" i="1"/>
  <c r="U2472" i="1"/>
  <c r="U2189" i="1"/>
  <c r="T2053" i="1"/>
  <c r="U1838" i="1"/>
  <c r="U1674" i="1"/>
  <c r="U1662" i="1"/>
  <c r="U1638" i="1"/>
  <c r="U1635" i="1"/>
  <c r="U1589" i="1"/>
  <c r="U1533" i="1"/>
  <c r="U1477" i="1"/>
  <c r="U1466" i="1"/>
  <c r="U1428" i="1"/>
  <c r="U1389" i="1"/>
  <c r="U1376" i="1"/>
  <c r="U1365" i="1"/>
  <c r="U1359" i="1"/>
  <c r="U1339" i="1"/>
  <c r="U1335" i="1"/>
  <c r="U1318" i="1"/>
  <c r="U1312" i="1"/>
  <c r="U1309" i="1"/>
  <c r="U1282" i="1"/>
  <c r="U1262" i="1"/>
  <c r="U1245" i="1"/>
  <c r="U1238" i="1"/>
  <c r="U1173" i="1"/>
  <c r="U1161" i="1"/>
  <c r="U1118" i="1"/>
  <c r="U1087" i="1"/>
  <c r="U1044" i="1"/>
  <c r="U1040" i="1"/>
  <c r="U797" i="1"/>
  <c r="U2232" i="1"/>
  <c r="U2166" i="1"/>
  <c r="U2080" i="1"/>
  <c r="U2016" i="1"/>
  <c r="U1993" i="1"/>
  <c r="U1989" i="1"/>
  <c r="U1800" i="1"/>
  <c r="U1725" i="1"/>
  <c r="U1721" i="1"/>
  <c r="U1522" i="1"/>
  <c r="U1410" i="1"/>
  <c r="U1396" i="1"/>
  <c r="U1352" i="1"/>
  <c r="U1328" i="1"/>
  <c r="U1285" i="1"/>
  <c r="U840" i="1"/>
  <c r="U836" i="1"/>
  <c r="U2626" i="1"/>
  <c r="U2506" i="1"/>
  <c r="U2455" i="1"/>
  <c r="U2422" i="1"/>
  <c r="T2382" i="1"/>
  <c r="U2368" i="1"/>
  <c r="U2360" i="1"/>
  <c r="U2353" i="1"/>
  <c r="U2241" i="1"/>
  <c r="U2203" i="1"/>
  <c r="U2195" i="1"/>
  <c r="U2188" i="1"/>
  <c r="U2177" i="1"/>
  <c r="U2173" i="1"/>
  <c r="U2140" i="1"/>
  <c r="U2111" i="1"/>
  <c r="U2012" i="1"/>
  <c r="U1807" i="1"/>
  <c r="U1788" i="1"/>
  <c r="U1764" i="1"/>
  <c r="U1727" i="1"/>
  <c r="U1532" i="1"/>
  <c r="U1518" i="1"/>
  <c r="U1434" i="1"/>
  <c r="U1420" i="1"/>
  <c r="U1395" i="1"/>
  <c r="U1388" i="1"/>
  <c r="U1351" i="1"/>
  <c r="U1327" i="1"/>
  <c r="U1230" i="1"/>
  <c r="U1213" i="1"/>
  <c r="U2407" i="1"/>
  <c r="U2248" i="1"/>
  <c r="U2187" i="1"/>
  <c r="U2048" i="1"/>
  <c r="U1860" i="1"/>
  <c r="U1664" i="1"/>
  <c r="U1622" i="1"/>
  <c r="U1602" i="1"/>
  <c r="U1538" i="1"/>
  <c r="U1472" i="1"/>
  <c r="U1464" i="1"/>
  <c r="U1461" i="1"/>
  <c r="U1398" i="1"/>
  <c r="U1367" i="1"/>
  <c r="U1344" i="1"/>
  <c r="U1320" i="1"/>
  <c r="U1050" i="1"/>
  <c r="U881" i="1"/>
  <c r="U877" i="1"/>
  <c r="U803" i="1"/>
  <c r="U2493" i="1"/>
  <c r="U2485" i="1"/>
  <c r="U2432" i="1"/>
  <c r="U2223" i="1"/>
  <c r="U2213" i="1"/>
  <c r="U2153" i="1"/>
  <c r="U2146" i="1"/>
  <c r="U2124" i="1"/>
  <c r="U2036" i="1"/>
  <c r="U2021" i="1"/>
  <c r="U2003" i="1"/>
  <c r="U1730" i="1"/>
  <c r="U1598" i="1"/>
  <c r="U1436" i="1"/>
  <c r="U1373" i="1"/>
  <c r="U1287" i="1"/>
  <c r="U1277" i="1"/>
  <c r="U1254" i="1"/>
  <c r="U1250" i="1"/>
  <c r="U1069" i="1"/>
  <c r="U1049" i="1"/>
  <c r="U977" i="1"/>
  <c r="U830" i="1"/>
  <c r="U783" i="1"/>
  <c r="U757" i="1"/>
  <c r="U715" i="1"/>
  <c r="U707" i="1"/>
  <c r="U640" i="1"/>
  <c r="U632" i="1"/>
  <c r="U616" i="1"/>
  <c r="U389" i="1"/>
  <c r="U213" i="1"/>
  <c r="U194" i="1"/>
  <c r="U190" i="1"/>
  <c r="U148" i="1"/>
  <c r="U130" i="1"/>
  <c r="U126" i="1"/>
  <c r="U65" i="1"/>
  <c r="P2666" i="1"/>
  <c r="Q1639" i="1"/>
  <c r="Q2664" i="1" s="1"/>
  <c r="Q467" i="1"/>
  <c r="T2522" i="1"/>
  <c r="T2311" i="1"/>
  <c r="T2263" i="1"/>
  <c r="T2138" i="1"/>
  <c r="T2089" i="1"/>
  <c r="T1615" i="1"/>
  <c r="T751" i="1"/>
  <c r="T698" i="1"/>
  <c r="T690" i="1"/>
  <c r="U608" i="1"/>
  <c r="U303" i="1"/>
  <c r="U186" i="1"/>
  <c r="U140" i="1"/>
  <c r="U122" i="1"/>
  <c r="U118" i="1"/>
  <c r="U107" i="1"/>
  <c r="U89" i="1"/>
  <c r="U49" i="1"/>
  <c r="T2578" i="1"/>
  <c r="T2569" i="1"/>
  <c r="T2444" i="1"/>
  <c r="T2329" i="1"/>
  <c r="T2319" i="1"/>
  <c r="T2281" i="1"/>
  <c r="T2271" i="1"/>
  <c r="T2194" i="1"/>
  <c r="T2047" i="1"/>
  <c r="T511" i="1"/>
  <c r="H1950" i="1"/>
  <c r="J1950" i="1" s="1"/>
  <c r="H1874" i="1"/>
  <c r="J1874" i="1" s="1"/>
  <c r="U936" i="1"/>
  <c r="U862" i="1"/>
  <c r="U837" i="1"/>
  <c r="U571" i="1"/>
  <c r="U452" i="1"/>
  <c r="U351" i="1"/>
  <c r="T2568" i="1"/>
  <c r="T2472" i="1"/>
  <c r="T2376" i="1"/>
  <c r="T95" i="1"/>
  <c r="H1886" i="1"/>
  <c r="J1886" i="1" s="1"/>
  <c r="H1799" i="1"/>
  <c r="J1799" i="1" s="1"/>
  <c r="H153" i="1"/>
  <c r="J153" i="1" s="1"/>
  <c r="U196" i="1"/>
  <c r="U166" i="1"/>
  <c r="U103" i="1"/>
  <c r="U99" i="1"/>
  <c r="U28" i="1"/>
  <c r="T756" i="1"/>
  <c r="U535" i="1"/>
  <c r="U287" i="1"/>
  <c r="U51" i="1"/>
  <c r="Q719" i="1"/>
  <c r="T2498" i="1"/>
  <c r="T2335" i="1"/>
  <c r="T2287" i="1"/>
  <c r="T2220" i="1"/>
  <c r="T1810" i="1"/>
  <c r="T635" i="1"/>
  <c r="H138" i="1"/>
  <c r="J138" i="1" s="1"/>
  <c r="U1078" i="1"/>
  <c r="U997" i="1"/>
  <c r="U907" i="1"/>
  <c r="U758" i="1"/>
  <c r="U754" i="1"/>
  <c r="U745" i="1"/>
  <c r="U722" i="1"/>
  <c r="U626" i="1"/>
  <c r="U622" i="1"/>
  <c r="U590" i="1"/>
  <c r="U534" i="1"/>
  <c r="U495" i="1"/>
  <c r="U387" i="1"/>
  <c r="U371" i="1"/>
  <c r="U207" i="1"/>
  <c r="U173" i="1"/>
  <c r="U116" i="1"/>
  <c r="U105" i="1"/>
  <c r="U47" i="1"/>
  <c r="T2439" i="1"/>
  <c r="T2295" i="1"/>
  <c r="T2199" i="1"/>
  <c r="T2151" i="1"/>
  <c r="T2083" i="1"/>
  <c r="T2041" i="1"/>
  <c r="T2031" i="1"/>
  <c r="T615" i="1"/>
  <c r="T346" i="1"/>
  <c r="T254" i="1"/>
  <c r="T201" i="1"/>
  <c r="H2038" i="1"/>
  <c r="J2038" i="1" s="1"/>
  <c r="U729" i="1"/>
  <c r="U586" i="1"/>
  <c r="U328" i="1"/>
  <c r="U180" i="1"/>
  <c r="U172" i="1"/>
  <c r="U134" i="1"/>
  <c r="U82" i="1"/>
  <c r="Q113" i="1"/>
  <c r="Q18" i="1"/>
  <c r="T2467" i="1"/>
  <c r="T2342" i="1"/>
  <c r="T2236" i="1"/>
  <c r="T1715" i="1"/>
  <c r="T1707" i="1"/>
  <c r="H147" i="1"/>
  <c r="J147" i="1" s="1"/>
  <c r="T2650" i="1"/>
  <c r="T2626" i="1"/>
  <c r="T2245" i="1"/>
  <c r="T2007" i="1"/>
  <c r="T545" i="1"/>
  <c r="T442" i="1"/>
  <c r="H476" i="1"/>
  <c r="J476" i="1" s="1"/>
  <c r="T2632" i="1"/>
  <c r="T2396" i="1"/>
  <c r="T2338" i="1"/>
  <c r="T2028" i="1"/>
  <c r="T721" i="1"/>
  <c r="T388" i="1"/>
  <c r="T219" i="1"/>
  <c r="T100" i="1"/>
  <c r="H2072" i="1"/>
  <c r="J2072" i="1" s="1"/>
  <c r="H2062" i="1"/>
  <c r="J2062" i="1" s="1"/>
  <c r="H2022" i="1"/>
  <c r="J2022" i="1" s="1"/>
  <c r="H1837" i="1"/>
  <c r="J1837" i="1" s="1"/>
  <c r="H1805" i="1"/>
  <c r="J1805" i="1" s="1"/>
  <c r="H1672" i="1"/>
  <c r="J1672" i="1" s="1"/>
  <c r="H1660" i="1"/>
  <c r="J1660" i="1" s="1"/>
  <c r="T2262" i="1"/>
  <c r="T64" i="1"/>
  <c r="H2112" i="1"/>
  <c r="J2112" i="1" s="1"/>
  <c r="H2102" i="1"/>
  <c r="J2102" i="1" s="1"/>
  <c r="H2042" i="1"/>
  <c r="J2042" i="1" s="1"/>
  <c r="H1990" i="1"/>
  <c r="J1990" i="1" s="1"/>
  <c r="H556" i="1"/>
  <c r="J556" i="1" s="1"/>
  <c r="H168" i="1"/>
  <c r="J168" i="1" s="1"/>
  <c r="T2473" i="1"/>
  <c r="T764" i="1"/>
  <c r="T503" i="1"/>
  <c r="T211" i="1"/>
  <c r="T2406" i="1"/>
  <c r="T1997" i="1"/>
  <c r="T711" i="1"/>
  <c r="T703" i="1"/>
  <c r="T695" i="1"/>
  <c r="T429" i="1"/>
  <c r="T48" i="1"/>
  <c r="H2050" i="1"/>
  <c r="J2050" i="1" s="1"/>
  <c r="H2030" i="1"/>
  <c r="J2030" i="1" s="1"/>
  <c r="H2010" i="1"/>
  <c r="J2010" i="1" s="1"/>
  <c r="H1998" i="1"/>
  <c r="J1998" i="1" s="1"/>
  <c r="H1958" i="1"/>
  <c r="J1958" i="1" s="1"/>
  <c r="H1782" i="1"/>
  <c r="J1782" i="1" s="1"/>
  <c r="H186" i="1"/>
  <c r="J186" i="1" s="1"/>
  <c r="T2252" i="1"/>
  <c r="T2348" i="1"/>
  <c r="T2176" i="1"/>
  <c r="T1812" i="1"/>
  <c r="T748" i="1"/>
  <c r="T640" i="1"/>
  <c r="T399" i="1"/>
  <c r="H2018" i="1"/>
  <c r="J2018" i="1" s="1"/>
  <c r="H2006" i="1"/>
  <c r="J2006" i="1" s="1"/>
  <c r="H1978" i="1"/>
  <c r="J1978" i="1" s="1"/>
  <c r="H1926" i="1"/>
  <c r="J1926" i="1" s="1"/>
  <c r="H1833" i="1"/>
  <c r="J1833" i="1" s="1"/>
  <c r="H1790" i="1"/>
  <c r="J1790" i="1" s="1"/>
  <c r="H486" i="1"/>
  <c r="J486" i="1" s="1"/>
  <c r="T2358" i="1"/>
  <c r="T2290" i="1"/>
  <c r="T2128" i="1"/>
  <c r="T620" i="1"/>
  <c r="T419" i="1"/>
  <c r="T203" i="1"/>
  <c r="H1986" i="1"/>
  <c r="J1986" i="1" s="1"/>
  <c r="H1966" i="1"/>
  <c r="J1966" i="1" s="1"/>
  <c r="H1946" i="1"/>
  <c r="J1946" i="1" s="1"/>
  <c r="H1934" i="1"/>
  <c r="J1934" i="1" s="1"/>
  <c r="H1894" i="1"/>
  <c r="J1894" i="1" s="1"/>
  <c r="H1853" i="1"/>
  <c r="J1853" i="1" s="1"/>
  <c r="H1821" i="1"/>
  <c r="J1821" i="1" s="1"/>
  <c r="H552" i="1"/>
  <c r="J552" i="1" s="1"/>
  <c r="H164" i="1"/>
  <c r="J164" i="1" s="1"/>
  <c r="T2300" i="1"/>
  <c r="T450" i="1"/>
  <c r="T92" i="1"/>
  <c r="T56" i="1"/>
  <c r="T2656" i="1"/>
  <c r="T2521" i="1"/>
  <c r="T2502" i="1"/>
  <c r="T2310" i="1"/>
  <c r="T651" i="1"/>
  <c r="T377" i="1"/>
  <c r="T268" i="1"/>
  <c r="T108" i="1"/>
  <c r="H1954" i="1"/>
  <c r="J1954" i="1" s="1"/>
  <c r="H1942" i="1"/>
  <c r="J1942" i="1" s="1"/>
  <c r="H1914" i="1"/>
  <c r="J1914" i="1" s="1"/>
  <c r="H1862" i="1"/>
  <c r="J1862" i="1" s="1"/>
  <c r="T2648" i="1"/>
  <c r="T2482" i="1"/>
  <c r="T2415" i="1"/>
  <c r="T2386" i="1"/>
  <c r="T2242" i="1"/>
  <c r="T2204" i="1"/>
  <c r="T2167" i="1"/>
  <c r="T1987" i="1"/>
  <c r="T1716" i="1"/>
  <c r="T303" i="1"/>
  <c r="T259" i="1"/>
  <c r="H1922" i="1"/>
  <c r="J1922" i="1" s="1"/>
  <c r="H1910" i="1"/>
  <c r="J1910" i="1" s="1"/>
  <c r="H1902" i="1"/>
  <c r="J1902" i="1" s="1"/>
  <c r="H1870" i="1"/>
  <c r="J1870" i="1" s="1"/>
  <c r="H724" i="1"/>
  <c r="J724" i="1" s="1"/>
  <c r="H190" i="1"/>
  <c r="J190" i="1" s="1"/>
  <c r="T407" i="1"/>
  <c r="T357" i="1"/>
  <c r="H2026" i="1"/>
  <c r="J2026" i="1" s="1"/>
  <c r="H1962" i="1"/>
  <c r="J1962" i="1" s="1"/>
  <c r="H1841" i="1"/>
  <c r="J1841" i="1" s="1"/>
  <c r="H1809" i="1"/>
  <c r="J1809" i="1" s="1"/>
  <c r="H1760" i="1"/>
  <c r="J1760" i="1" s="1"/>
  <c r="H156" i="1"/>
  <c r="J156" i="1" s="1"/>
  <c r="T2428" i="1"/>
  <c r="T2316" i="1"/>
  <c r="T2185" i="1"/>
  <c r="T398" i="1"/>
  <c r="H2034" i="1"/>
  <c r="J2034" i="1" s="1"/>
  <c r="H1970" i="1"/>
  <c r="J1970" i="1" s="1"/>
  <c r="H1906" i="1"/>
  <c r="J1906" i="1" s="1"/>
  <c r="H1858" i="1"/>
  <c r="J1858" i="1" s="1"/>
  <c r="H1829" i="1"/>
  <c r="J1829" i="1" s="1"/>
  <c r="H720" i="1"/>
  <c r="J720" i="1" s="1"/>
  <c r="H176" i="1"/>
  <c r="J176" i="1" s="1"/>
  <c r="H120" i="1"/>
  <c r="J120" i="1" s="1"/>
  <c r="T2576" i="1"/>
  <c r="T2324" i="1"/>
  <c r="T2052" i="1"/>
  <c r="T515" i="1"/>
  <c r="T418" i="1"/>
  <c r="T335" i="1"/>
  <c r="O20" i="1"/>
  <c r="H1866" i="1"/>
  <c r="J1866" i="1" s="1"/>
  <c r="H1766" i="1"/>
  <c r="J1766" i="1" s="1"/>
  <c r="H144" i="1"/>
  <c r="J144" i="1" s="1"/>
  <c r="T2420" i="1"/>
  <c r="T2332" i="1"/>
  <c r="T2298" i="1"/>
  <c r="T2272" i="1"/>
  <c r="T507" i="1"/>
  <c r="T2654" i="1"/>
  <c r="T2490" i="1"/>
  <c r="T2306" i="1"/>
  <c r="T2106" i="1"/>
  <c r="T1999" i="1"/>
  <c r="T1991" i="1"/>
  <c r="T617" i="1"/>
  <c r="T598" i="1"/>
  <c r="T586" i="1"/>
  <c r="T376" i="1"/>
  <c r="H2097" i="1"/>
  <c r="J2097" i="1" s="1"/>
  <c r="H2087" i="1"/>
  <c r="J2087" i="1" s="1"/>
  <c r="H2077" i="1"/>
  <c r="J2077" i="1" s="1"/>
  <c r="H2058" i="1"/>
  <c r="J2058" i="1" s="1"/>
  <c r="H1994" i="1"/>
  <c r="J1994" i="1" s="1"/>
  <c r="H1930" i="1"/>
  <c r="J1930" i="1" s="1"/>
  <c r="H1882" i="1"/>
  <c r="J1882" i="1" s="1"/>
  <c r="H1825" i="1"/>
  <c r="J1825" i="1" s="1"/>
  <c r="H1648" i="1"/>
  <c r="J1648" i="1" s="1"/>
  <c r="H491" i="1"/>
  <c r="J491" i="1" s="1"/>
  <c r="H172" i="1"/>
  <c r="J172" i="1" s="1"/>
  <c r="H150" i="1"/>
  <c r="J150" i="1" s="1"/>
  <c r="T2646" i="1"/>
  <c r="T2523" i="1"/>
  <c r="T2280" i="1"/>
  <c r="T2133" i="1"/>
  <c r="T2115" i="1"/>
  <c r="T1731" i="1"/>
  <c r="T775" i="1"/>
  <c r="T609" i="1"/>
  <c r="T499" i="1"/>
  <c r="T60" i="1"/>
  <c r="T52" i="1"/>
  <c r="H2002" i="1"/>
  <c r="J2002" i="1" s="1"/>
  <c r="H1938" i="1"/>
  <c r="J1938" i="1" s="1"/>
  <c r="H1890" i="1"/>
  <c r="J1890" i="1" s="1"/>
  <c r="H1845" i="1"/>
  <c r="J1845" i="1" s="1"/>
  <c r="H1813" i="1"/>
  <c r="J1813" i="1" s="1"/>
  <c r="H160" i="1"/>
  <c r="J160" i="1" s="1"/>
  <c r="T2638" i="1"/>
  <c r="T2437" i="1"/>
  <c r="T2288" i="1"/>
  <c r="T2168" i="1"/>
  <c r="T2088" i="1"/>
  <c r="T1806" i="1"/>
  <c r="T1631" i="1"/>
  <c r="T725" i="1"/>
  <c r="U654" i="1"/>
  <c r="T387" i="1"/>
  <c r="H1898" i="1"/>
  <c r="J1898" i="1" s="1"/>
  <c r="H471" i="1"/>
  <c r="J471" i="1" s="1"/>
  <c r="H2092" i="1"/>
  <c r="J2092" i="1" s="1"/>
  <c r="H2082" i="1"/>
  <c r="J2082" i="1" s="1"/>
  <c r="H1751" i="1"/>
  <c r="J1751" i="1" s="1"/>
  <c r="H2107" i="1"/>
  <c r="J2107" i="1" s="1"/>
  <c r="H1796" i="1"/>
  <c r="J1796" i="1" s="1"/>
  <c r="H2067" i="1"/>
  <c r="J2067" i="1" s="1"/>
  <c r="H1656" i="1"/>
  <c r="J1656" i="1" s="1"/>
  <c r="H481" i="1"/>
  <c r="J481" i="1" s="1"/>
  <c r="H1664" i="1"/>
  <c r="J1664" i="1" s="1"/>
  <c r="H544" i="1"/>
  <c r="J544" i="1" s="1"/>
  <c r="T2530" i="1"/>
  <c r="T2418" i="1"/>
  <c r="T2320" i="1"/>
  <c r="T1819" i="1"/>
  <c r="T417" i="1"/>
  <c r="T392" i="1"/>
  <c r="T334" i="1"/>
  <c r="T2516" i="1"/>
  <c r="T2385" i="1"/>
  <c r="T2328" i="1"/>
  <c r="T2099" i="1"/>
  <c r="T634" i="1"/>
  <c r="T584" i="1"/>
  <c r="T425" i="1"/>
  <c r="T383" i="1"/>
  <c r="T2336" i="1"/>
  <c r="T2230" i="1"/>
  <c r="T2214" i="1"/>
  <c r="T2206" i="1"/>
  <c r="T2132" i="1"/>
  <c r="T375" i="1"/>
  <c r="T350" i="1"/>
  <c r="T317" i="1"/>
  <c r="T309" i="1"/>
  <c r="T2443" i="1"/>
  <c r="T2402" i="1"/>
  <c r="T2149" i="1"/>
  <c r="T2108" i="1"/>
  <c r="T626" i="1"/>
  <c r="T610" i="1"/>
  <c r="T257" i="1"/>
  <c r="T2566" i="1"/>
  <c r="T2500" i="1"/>
  <c r="T2008" i="1"/>
  <c r="T602" i="1"/>
  <c r="T2434" i="1"/>
  <c r="T2296" i="1"/>
  <c r="T2238" i="1"/>
  <c r="T2000" i="1"/>
  <c r="T1992" i="1"/>
  <c r="T593" i="1"/>
  <c r="T549" i="1"/>
  <c r="T2532" i="1"/>
  <c r="T2451" i="1"/>
  <c r="T2304" i="1"/>
  <c r="T2222" i="1"/>
  <c r="T650" i="1"/>
  <c r="T316" i="1"/>
  <c r="T333" i="1"/>
  <c r="T2527" i="1"/>
  <c r="T2487" i="1"/>
  <c r="T2634" i="1"/>
  <c r="T2431" i="1"/>
  <c r="T2359" i="1"/>
  <c r="T2143" i="1"/>
  <c r="T2071" i="1"/>
  <c r="T443" i="1"/>
  <c r="T2511" i="1"/>
  <c r="T2463" i="1"/>
  <c r="T2551" i="1"/>
  <c r="T2503" i="1"/>
  <c r="T2479" i="1"/>
  <c r="T2407" i="1"/>
  <c r="T2023" i="1"/>
  <c r="T1628" i="1"/>
  <c r="T1620" i="1"/>
  <c r="T510" i="1"/>
  <c r="T272" i="1"/>
  <c r="T67" i="1"/>
  <c r="T59" i="1"/>
  <c r="T2559" i="1"/>
  <c r="T2367" i="1"/>
  <c r="T1636" i="1"/>
  <c r="T754" i="1"/>
  <c r="T551" i="1"/>
  <c r="T502" i="1"/>
  <c r="T400" i="1"/>
  <c r="T770" i="1"/>
  <c r="T424" i="1"/>
  <c r="T320" i="1"/>
  <c r="T296" i="1"/>
  <c r="T215" i="1"/>
  <c r="T2642" i="1"/>
  <c r="T2575" i="1"/>
  <c r="T2383" i="1"/>
  <c r="T2103" i="1"/>
  <c r="T1612" i="1"/>
  <c r="T762" i="1"/>
  <c r="T518" i="1"/>
  <c r="T352" i="1"/>
  <c r="T304" i="1"/>
  <c r="T264" i="1"/>
  <c r="T207" i="1"/>
  <c r="T109" i="1"/>
  <c r="U2547" i="1"/>
  <c r="U2520" i="1"/>
  <c r="U2501" i="1"/>
  <c r="T2491" i="1"/>
  <c r="U2482" i="1"/>
  <c r="T2466" i="1"/>
  <c r="U2466" i="1"/>
  <c r="U2459" i="1"/>
  <c r="U2423" i="1"/>
  <c r="U2410" i="1"/>
  <c r="U2390" i="1"/>
  <c r="U2644" i="1"/>
  <c r="U2546" i="1"/>
  <c r="U2570" i="1"/>
  <c r="U2531" i="1"/>
  <c r="T2528" i="1"/>
  <c r="U2525" i="1"/>
  <c r="T2515" i="1"/>
  <c r="T2506" i="1"/>
  <c r="U2475" i="1"/>
  <c r="T2475" i="1"/>
  <c r="T2432" i="1"/>
  <c r="U2425" i="1"/>
  <c r="U2385" i="1"/>
  <c r="U2366" i="1"/>
  <c r="T2366" i="1"/>
  <c r="U2646" i="1"/>
  <c r="U2530" i="1"/>
  <c r="T2499" i="1"/>
  <c r="U2490" i="1"/>
  <c r="U2488" i="1"/>
  <c r="U2474" i="1"/>
  <c r="U2454" i="1"/>
  <c r="T2454" i="1"/>
  <c r="U2450" i="1"/>
  <c r="U2445" i="1"/>
  <c r="U2401" i="1"/>
  <c r="T2368" i="1"/>
  <c r="U2634" i="1"/>
  <c r="T2563" i="1"/>
  <c r="U2554" i="1"/>
  <c r="T2512" i="1"/>
  <c r="U2375" i="1"/>
  <c r="T2361" i="1"/>
  <c r="U2361" i="1"/>
  <c r="U2656" i="1"/>
  <c r="U2649" i="1"/>
  <c r="T2640" i="1"/>
  <c r="U2637" i="1"/>
  <c r="T2460" i="1"/>
  <c r="U2460" i="1"/>
  <c r="T2438" i="1"/>
  <c r="U2438" i="1"/>
  <c r="T2408" i="1"/>
  <c r="U2408" i="1"/>
  <c r="U2398" i="1"/>
  <c r="U2343" i="1"/>
  <c r="U2655" i="1"/>
  <c r="U2643" i="1"/>
  <c r="U2536" i="1"/>
  <c r="U2496" i="1"/>
  <c r="T2384" i="1"/>
  <c r="U2384" i="1"/>
  <c r="T2377" i="1"/>
  <c r="U2377" i="1"/>
  <c r="U2374" i="1"/>
  <c r="T2440" i="1"/>
  <c r="U2440" i="1"/>
  <c r="U2417" i="1"/>
  <c r="T2154" i="1"/>
  <c r="U2154" i="1"/>
  <c r="U1281" i="1"/>
  <c r="U1267" i="1"/>
  <c r="U1065" i="1"/>
  <c r="U1035" i="1"/>
  <c r="U876" i="1"/>
  <c r="U825" i="1"/>
  <c r="U809" i="1"/>
  <c r="U791" i="1"/>
  <c r="Q779" i="1"/>
  <c r="Q2663" i="1" s="1"/>
  <c r="P2663" i="1"/>
  <c r="U2225" i="1"/>
  <c r="U2215" i="1"/>
  <c r="U2208" i="1"/>
  <c r="U2157" i="1"/>
  <c r="U2151" i="1"/>
  <c r="U2138" i="1"/>
  <c r="T2076" i="1"/>
  <c r="U2076" i="1"/>
  <c r="U2069" i="1"/>
  <c r="U2504" i="1"/>
  <c r="U2480" i="1"/>
  <c r="U2476" i="1"/>
  <c r="U2467" i="1"/>
  <c r="T2464" i="1"/>
  <c r="U2415" i="1"/>
  <c r="U2393" i="1"/>
  <c r="U2357" i="1"/>
  <c r="T2344" i="1"/>
  <c r="T2256" i="1"/>
  <c r="U2250" i="1"/>
  <c r="U2244" i="1"/>
  <c r="U2227" i="1"/>
  <c r="U2224" i="1"/>
  <c r="U2199" i="1"/>
  <c r="T2196" i="1"/>
  <c r="U2194" i="1"/>
  <c r="U2191" i="1"/>
  <c r="T2188" i="1"/>
  <c r="U2186" i="1"/>
  <c r="U2183" i="1"/>
  <c r="U2180" i="1"/>
  <c r="U2163" i="1"/>
  <c r="U2135" i="1"/>
  <c r="U2072" i="1"/>
  <c r="T2065" i="1"/>
  <c r="U2059" i="1"/>
  <c r="U2050" i="1"/>
  <c r="U2028" i="1"/>
  <c r="T2012" i="1"/>
  <c r="T2009" i="1"/>
  <c r="U2006" i="1"/>
  <c r="U1992" i="1"/>
  <c r="U1756" i="1"/>
  <c r="T1756" i="1"/>
  <c r="U1748" i="1"/>
  <c r="U1604" i="1"/>
  <c r="U1582" i="1"/>
  <c r="U1463" i="1"/>
  <c r="U2458" i="1"/>
  <c r="U2436" i="1"/>
  <c r="U2406" i="1"/>
  <c r="U2338" i="1"/>
  <c r="U2336" i="1"/>
  <c r="U2334" i="1"/>
  <c r="U2332" i="1"/>
  <c r="U2330" i="1"/>
  <c r="U2328" i="1"/>
  <c r="U2326" i="1"/>
  <c r="U2324" i="1"/>
  <c r="U2322" i="1"/>
  <c r="U2320" i="1"/>
  <c r="U2318" i="1"/>
  <c r="U2316" i="1"/>
  <c r="U2314" i="1"/>
  <c r="U2312" i="1"/>
  <c r="U2310" i="1"/>
  <c r="U2308" i="1"/>
  <c r="U2306" i="1"/>
  <c r="U2304" i="1"/>
  <c r="U2302" i="1"/>
  <c r="U2300" i="1"/>
  <c r="U2298" i="1"/>
  <c r="U2296" i="1"/>
  <c r="U2294" i="1"/>
  <c r="U2292" i="1"/>
  <c r="U2290" i="1"/>
  <c r="U2288" i="1"/>
  <c r="U2286" i="1"/>
  <c r="U2284" i="1"/>
  <c r="U2282" i="1"/>
  <c r="U2280" i="1"/>
  <c r="U2278" i="1"/>
  <c r="U2276" i="1"/>
  <c r="U2274" i="1"/>
  <c r="U2272" i="1"/>
  <c r="U2270" i="1"/>
  <c r="U2268" i="1"/>
  <c r="U2266" i="1"/>
  <c r="U2264" i="1"/>
  <c r="U2262" i="1"/>
  <c r="U2260" i="1"/>
  <c r="U2258" i="1"/>
  <c r="U2252" i="1"/>
  <c r="T2233" i="1"/>
  <c r="U2226" i="1"/>
  <c r="T2146" i="1"/>
  <c r="T2134" i="1"/>
  <c r="T2116" i="1"/>
  <c r="T2111" i="1"/>
  <c r="U2094" i="1"/>
  <c r="U2062" i="1"/>
  <c r="U2024" i="1"/>
  <c r="U2018" i="1"/>
  <c r="U1709" i="1"/>
  <c r="T1630" i="1"/>
  <c r="U1630" i="1"/>
  <c r="U1407" i="1"/>
  <c r="U2430" i="1"/>
  <c r="T2235" i="1"/>
  <c r="U2228" i="1"/>
  <c r="T2198" i="1"/>
  <c r="U2193" i="1"/>
  <c r="T2190" i="1"/>
  <c r="U2185" i="1"/>
  <c r="T2182" i="1"/>
  <c r="U2176" i="1"/>
  <c r="U2170" i="1"/>
  <c r="U2162" i="1"/>
  <c r="T2125" i="1"/>
  <c r="U2122" i="1"/>
  <c r="U2118" i="1"/>
  <c r="U2113" i="1"/>
  <c r="U2096" i="1"/>
  <c r="U2078" i="1"/>
  <c r="U2052" i="1"/>
  <c r="T2036" i="1"/>
  <c r="U2030" i="1"/>
  <c r="T1608" i="1"/>
  <c r="U1608" i="1"/>
  <c r="U2230" i="1"/>
  <c r="U2206" i="1"/>
  <c r="U2164" i="1"/>
  <c r="U2074" i="1"/>
  <c r="U2064" i="1"/>
  <c r="T1983" i="1"/>
  <c r="U1983" i="1"/>
  <c r="U1812" i="1"/>
  <c r="T1633" i="1"/>
  <c r="U1633" i="1"/>
  <c r="T2239" i="1"/>
  <c r="T2223" i="1"/>
  <c r="T2200" i="1"/>
  <c r="T2192" i="1"/>
  <c r="T2184" i="1"/>
  <c r="U2172" i="1"/>
  <c r="T2145" i="1"/>
  <c r="T2139" i="1"/>
  <c r="U2139" i="1"/>
  <c r="U2115" i="1"/>
  <c r="U2054" i="1"/>
  <c r="U1595" i="1"/>
  <c r="U2237" i="1"/>
  <c r="U2221" i="1"/>
  <c r="U2209" i="1"/>
  <c r="U2130" i="1"/>
  <c r="U2121" i="1"/>
  <c r="U2046" i="1"/>
  <c r="U2039" i="1"/>
  <c r="U1997" i="1"/>
  <c r="U1729" i="1"/>
  <c r="U1699" i="1"/>
  <c r="U1511" i="1"/>
  <c r="U1685" i="1"/>
  <c r="U1623" i="1"/>
  <c r="U1566" i="1"/>
  <c r="U1419" i="1"/>
  <c r="U1253" i="1"/>
  <c r="U986" i="1"/>
  <c r="U1804" i="1"/>
  <c r="U1740" i="1"/>
  <c r="U1665" i="1"/>
  <c r="U1607" i="1"/>
  <c r="U1550" i="1"/>
  <c r="U1391" i="1"/>
  <c r="U1301" i="1"/>
  <c r="U1249" i="1"/>
  <c r="U1235" i="1"/>
  <c r="T382" i="1"/>
  <c r="U382" i="1"/>
  <c r="U2161" i="1"/>
  <c r="U2158" i="1"/>
  <c r="U2143" i="1"/>
  <c r="U2137" i="1"/>
  <c r="U2126" i="1"/>
  <c r="U2123" i="1"/>
  <c r="U2119" i="1"/>
  <c r="U2058" i="1"/>
  <c r="U2047" i="1"/>
  <c r="U2040" i="1"/>
  <c r="U2031" i="1"/>
  <c r="U2025" i="1"/>
  <c r="U2007" i="1"/>
  <c r="U2004" i="1"/>
  <c r="U1874" i="1"/>
  <c r="U1852" i="1"/>
  <c r="U1796" i="1"/>
  <c r="U1711" i="1"/>
  <c r="U1681" i="1"/>
  <c r="U1658" i="1"/>
  <c r="U1648" i="1"/>
  <c r="U1642" i="1"/>
  <c r="U1619" i="1"/>
  <c r="U1613" i="1"/>
  <c r="U1590" i="1"/>
  <c r="U1552" i="1"/>
  <c r="U1549" i="1"/>
  <c r="U1534" i="1"/>
  <c r="U1527" i="1"/>
  <c r="U1515" i="1"/>
  <c r="U1496" i="1"/>
  <c r="U1482" i="1"/>
  <c r="U1479" i="1"/>
  <c r="U1470" i="1"/>
  <c r="U1468" i="1"/>
  <c r="U1445" i="1"/>
  <c r="U1424" i="1"/>
  <c r="U1418" i="1"/>
  <c r="U1412" i="1"/>
  <c r="U1397" i="1"/>
  <c r="U1369" i="1"/>
  <c r="U1353" i="1"/>
  <c r="U1337" i="1"/>
  <c r="U1321" i="1"/>
  <c r="U1297" i="1"/>
  <c r="U1283" i="1"/>
  <c r="U1260" i="1"/>
  <c r="U1221" i="1"/>
  <c r="U1041" i="1"/>
  <c r="U989" i="1"/>
  <c r="U606" i="1"/>
  <c r="U578" i="1"/>
  <c r="U527" i="1"/>
  <c r="T504" i="1"/>
  <c r="U504" i="1"/>
  <c r="U464" i="1"/>
  <c r="T464" i="1"/>
  <c r="U1621" i="1"/>
  <c r="U1490" i="1"/>
  <c r="U1478" i="1"/>
  <c r="U1399" i="1"/>
  <c r="U1217" i="1"/>
  <c r="U1203" i="1"/>
  <c r="U639" i="1"/>
  <c r="T639" i="1"/>
  <c r="U579" i="1"/>
  <c r="U1900" i="1"/>
  <c r="U1890" i="1"/>
  <c r="U1780" i="1"/>
  <c r="U1693" i="1"/>
  <c r="U1661" i="1"/>
  <c r="U1631" i="1"/>
  <c r="U1624" i="1"/>
  <c r="U1612" i="1"/>
  <c r="U1586" i="1"/>
  <c r="U1580" i="1"/>
  <c r="U1573" i="1"/>
  <c r="U1558" i="1"/>
  <c r="U1520" i="1"/>
  <c r="U1517" i="1"/>
  <c r="U1509" i="1"/>
  <c r="U1495" i="1"/>
  <c r="U1467" i="1"/>
  <c r="U1435" i="1"/>
  <c r="U1423" i="1"/>
  <c r="U1405" i="1"/>
  <c r="U1402" i="1"/>
  <c r="U1374" i="1"/>
  <c r="U1371" i="1"/>
  <c r="U1358" i="1"/>
  <c r="U1342" i="1"/>
  <c r="U1326" i="1"/>
  <c r="U1265" i="1"/>
  <c r="U1251" i="1"/>
  <c r="U1137" i="1"/>
  <c r="U1055" i="1"/>
  <c r="U992" i="1"/>
  <c r="U1768" i="1"/>
  <c r="U1713" i="1"/>
  <c r="U1660" i="1"/>
  <c r="U1650" i="1"/>
  <c r="U1588" i="1"/>
  <c r="U1570" i="1"/>
  <c r="U1564" i="1"/>
  <c r="U1557" i="1"/>
  <c r="U1506" i="1"/>
  <c r="U1498" i="1"/>
  <c r="U1492" i="1"/>
  <c r="U1486" i="1"/>
  <c r="U1484" i="1"/>
  <c r="U1444" i="1"/>
  <c r="U1438" i="1"/>
  <c r="U1432" i="1"/>
  <c r="U1426" i="1"/>
  <c r="U1411" i="1"/>
  <c r="U1299" i="1"/>
  <c r="U1276" i="1"/>
  <c r="U1237" i="1"/>
  <c r="U1014" i="1"/>
  <c r="U687" i="1"/>
  <c r="U664" i="1"/>
  <c r="U1733" i="1"/>
  <c r="U1719" i="1"/>
  <c r="U1666" i="1"/>
  <c r="U1617" i="1"/>
  <c r="U1614" i="1"/>
  <c r="U1591" i="1"/>
  <c r="U1579" i="1"/>
  <c r="U1554" i="1"/>
  <c r="U1548" i="1"/>
  <c r="U1541" i="1"/>
  <c r="U1514" i="1"/>
  <c r="U1469" i="1"/>
  <c r="U1452" i="1"/>
  <c r="U1416" i="1"/>
  <c r="U1413" i="1"/>
  <c r="U1404" i="1"/>
  <c r="U1377" i="1"/>
  <c r="U1361" i="1"/>
  <c r="U1345" i="1"/>
  <c r="U1329" i="1"/>
  <c r="U1313" i="1"/>
  <c r="U1233" i="1"/>
  <c r="U1219" i="1"/>
  <c r="U1151" i="1"/>
  <c r="U1062" i="1"/>
  <c r="U726" i="1"/>
  <c r="T726" i="1"/>
  <c r="U471" i="1"/>
  <c r="O2664" i="1"/>
  <c r="U1307" i="1"/>
  <c r="U1296" i="1"/>
  <c r="U1291" i="1"/>
  <c r="U1280" i="1"/>
  <c r="U1275" i="1"/>
  <c r="U1264" i="1"/>
  <c r="U1259" i="1"/>
  <c r="U1248" i="1"/>
  <c r="U1243" i="1"/>
  <c r="U1232" i="1"/>
  <c r="U1227" i="1"/>
  <c r="U1216" i="1"/>
  <c r="U1211" i="1"/>
  <c r="U1199" i="1"/>
  <c r="U1165" i="1"/>
  <c r="U1150" i="1"/>
  <c r="U1030" i="1"/>
  <c r="U1009" i="1"/>
  <c r="U985" i="1"/>
  <c r="U948" i="1"/>
  <c r="U801" i="1"/>
  <c r="U712" i="1"/>
  <c r="T712" i="1"/>
  <c r="U671" i="1"/>
  <c r="U656" i="1"/>
  <c r="T638" i="1"/>
  <c r="U638" i="1"/>
  <c r="U485" i="1"/>
  <c r="U193" i="1"/>
  <c r="Q1734" i="1"/>
  <c r="Q2665" i="1" s="1"/>
  <c r="P2665" i="1"/>
  <c r="Q68" i="1"/>
  <c r="P2661" i="1"/>
  <c r="P2670" i="1"/>
  <c r="P2659" i="1"/>
  <c r="U1390" i="1"/>
  <c r="U1384" i="1"/>
  <c r="U1142" i="1"/>
  <c r="U1139" i="1"/>
  <c r="U1008" i="1"/>
  <c r="U871" i="1"/>
  <c r="U696" i="1"/>
  <c r="T696" i="1"/>
  <c r="U663" i="1"/>
  <c r="T592" i="1"/>
  <c r="U592" i="1"/>
  <c r="U556" i="1"/>
  <c r="U533" i="1"/>
  <c r="T431" i="1"/>
  <c r="U431" i="1"/>
  <c r="U406" i="1"/>
  <c r="T406" i="1"/>
  <c r="U1378" i="1"/>
  <c r="U1370" i="1"/>
  <c r="U1362" i="1"/>
  <c r="U1354" i="1"/>
  <c r="U1346" i="1"/>
  <c r="U1338" i="1"/>
  <c r="U1330" i="1"/>
  <c r="U1322" i="1"/>
  <c r="U1314" i="1"/>
  <c r="U1300" i="1"/>
  <c r="U1284" i="1"/>
  <c r="U1268" i="1"/>
  <c r="U1252" i="1"/>
  <c r="U1236" i="1"/>
  <c r="U1220" i="1"/>
  <c r="U1204" i="1"/>
  <c r="U1186" i="1"/>
  <c r="U1157" i="1"/>
  <c r="U1133" i="1"/>
  <c r="U1105" i="1"/>
  <c r="U1101" i="1"/>
  <c r="U1082" i="1"/>
  <c r="U1053" i="1"/>
  <c r="U1022" i="1"/>
  <c r="U1015" i="1"/>
  <c r="U1005" i="1"/>
  <c r="U966" i="1"/>
  <c r="U920" i="1"/>
  <c r="U484" i="1"/>
  <c r="U422" i="1"/>
  <c r="Q223" i="1"/>
  <c r="U970" i="1"/>
  <c r="U835" i="1"/>
  <c r="U831" i="1"/>
  <c r="U823" i="1"/>
  <c r="U789" i="1"/>
  <c r="U630" i="1"/>
  <c r="U509" i="1"/>
  <c r="T509" i="1"/>
  <c r="U226" i="1"/>
  <c r="U1493" i="1"/>
  <c r="U1458" i="1"/>
  <c r="U1450" i="1"/>
  <c r="U1414" i="1"/>
  <c r="U1400" i="1"/>
  <c r="U1386" i="1"/>
  <c r="U1380" i="1"/>
  <c r="U1372" i="1"/>
  <c r="U1364" i="1"/>
  <c r="U1356" i="1"/>
  <c r="U1348" i="1"/>
  <c r="U1340" i="1"/>
  <c r="U1332" i="1"/>
  <c r="U1324" i="1"/>
  <c r="U1316" i="1"/>
  <c r="U1311" i="1"/>
  <c r="U1304" i="1"/>
  <c r="U1288" i="1"/>
  <c r="U1272" i="1"/>
  <c r="U1256" i="1"/>
  <c r="U1240" i="1"/>
  <c r="U1224" i="1"/>
  <c r="U1208" i="1"/>
  <c r="U1201" i="1"/>
  <c r="U1197" i="1"/>
  <c r="U1152" i="1"/>
  <c r="U1089" i="1"/>
  <c r="U1063" i="1"/>
  <c r="U973" i="1"/>
  <c r="U911" i="1"/>
  <c r="U772" i="1"/>
  <c r="U742" i="1"/>
  <c r="U706" i="1"/>
  <c r="U647" i="1"/>
  <c r="T647" i="1"/>
  <c r="U599" i="1"/>
  <c r="T599" i="1"/>
  <c r="T512" i="1"/>
  <c r="U512" i="1"/>
  <c r="T461" i="1"/>
  <c r="U461" i="1"/>
  <c r="U129" i="1"/>
  <c r="Q522" i="1"/>
  <c r="P2662" i="1"/>
  <c r="U1433" i="1"/>
  <c r="U1422" i="1"/>
  <c r="U1408" i="1"/>
  <c r="U1306" i="1"/>
  <c r="U1290" i="1"/>
  <c r="U1274" i="1"/>
  <c r="U1258" i="1"/>
  <c r="U1242" i="1"/>
  <c r="U1226" i="1"/>
  <c r="U1210" i="1"/>
  <c r="U1166" i="1"/>
  <c r="U1141" i="1"/>
  <c r="U1114" i="1"/>
  <c r="U1103" i="1"/>
  <c r="U1088" i="1"/>
  <c r="U1045" i="1"/>
  <c r="U996" i="1"/>
  <c r="T614" i="1"/>
  <c r="U614" i="1"/>
  <c r="U602" i="1"/>
  <c r="U566" i="1"/>
  <c r="U493" i="1"/>
  <c r="U476" i="1"/>
  <c r="U819" i="1"/>
  <c r="U763" i="1"/>
  <c r="U753" i="1"/>
  <c r="U720" i="1"/>
  <c r="U704" i="1"/>
  <c r="U607" i="1"/>
  <c r="U501" i="1"/>
  <c r="U462" i="1"/>
  <c r="U439" i="1"/>
  <c r="U380" i="1"/>
  <c r="T220" i="1"/>
  <c r="U217" i="1"/>
  <c r="T202" i="1"/>
  <c r="U189" i="1"/>
  <c r="U153" i="1"/>
  <c r="U125" i="1"/>
  <c r="U86" i="1"/>
  <c r="U67" i="1"/>
  <c r="U941" i="1"/>
  <c r="U896" i="1"/>
  <c r="U841" i="1"/>
  <c r="U808" i="1"/>
  <c r="U752" i="1"/>
  <c r="U737" i="1"/>
  <c r="U730" i="1"/>
  <c r="U699" i="1"/>
  <c r="U680" i="1"/>
  <c r="U650" i="1"/>
  <c r="U623" i="1"/>
  <c r="U583" i="1"/>
  <c r="U570" i="1"/>
  <c r="U548" i="1"/>
  <c r="U530" i="1"/>
  <c r="U458" i="1"/>
  <c r="U398" i="1"/>
  <c r="U364" i="1"/>
  <c r="U344" i="1"/>
  <c r="U340" i="1"/>
  <c r="U332" i="1"/>
  <c r="U301" i="1"/>
  <c r="U214" i="1"/>
  <c r="U211" i="1"/>
  <c r="U177" i="1"/>
  <c r="U164" i="1"/>
  <c r="U158" i="1"/>
  <c r="U149" i="1"/>
  <c r="U146" i="1"/>
  <c r="U93" i="1"/>
  <c r="U80" i="1"/>
  <c r="U74" i="1"/>
  <c r="U63" i="1"/>
  <c r="U36" i="1"/>
  <c r="Q2611" i="1"/>
  <c r="Q2666" i="1" s="1"/>
  <c r="U284" i="1"/>
  <c r="U198" i="1"/>
  <c r="U161" i="1"/>
  <c r="U133" i="1"/>
  <c r="U958" i="1"/>
  <c r="U951" i="1"/>
  <c r="U912" i="1"/>
  <c r="U888" i="1"/>
  <c r="U867" i="1"/>
  <c r="U824" i="1"/>
  <c r="U764" i="1"/>
  <c r="T691" i="1"/>
  <c r="U685" i="1"/>
  <c r="U679" i="1"/>
  <c r="U646" i="1"/>
  <c r="U631" i="1"/>
  <c r="U615" i="1"/>
  <c r="U598" i="1"/>
  <c r="T591" i="1"/>
  <c r="U334" i="1"/>
  <c r="U258" i="1"/>
  <c r="U157" i="1"/>
  <c r="U121" i="1"/>
  <c r="U965" i="1"/>
  <c r="U909" i="1"/>
  <c r="U897" i="1"/>
  <c r="U778" i="1"/>
  <c r="U747" i="1"/>
  <c r="U735" i="1"/>
  <c r="U721" i="1"/>
  <c r="U698" i="1"/>
  <c r="U674" i="1"/>
  <c r="U550" i="1"/>
  <c r="U492" i="1"/>
  <c r="U262" i="1"/>
  <c r="U210" i="1"/>
  <c r="U181" i="1"/>
  <c r="U145" i="1"/>
  <c r="U950" i="1"/>
  <c r="T763" i="1"/>
  <c r="U760" i="1"/>
  <c r="U750" i="1"/>
  <c r="T704" i="1"/>
  <c r="U697" i="1"/>
  <c r="U684" i="1"/>
  <c r="U648" i="1"/>
  <c r="U610" i="1"/>
  <c r="U510" i="1"/>
  <c r="T501" i="1"/>
  <c r="T462" i="1"/>
  <c r="U424" i="1"/>
  <c r="U404" i="1"/>
  <c r="U388" i="1"/>
  <c r="T380" i="1"/>
  <c r="U365" i="1"/>
  <c r="U341" i="1"/>
  <c r="U333" i="1"/>
  <c r="U230" i="1"/>
  <c r="U221" i="1"/>
  <c r="U215" i="1"/>
  <c r="U206" i="1"/>
  <c r="U203" i="1"/>
  <c r="U169" i="1"/>
  <c r="U156" i="1"/>
  <c r="U150" i="1"/>
  <c r="U141" i="1"/>
  <c r="U138" i="1"/>
  <c r="U84" i="1"/>
  <c r="U72" i="1"/>
  <c r="U61" i="1"/>
  <c r="U53" i="1"/>
  <c r="U2651" i="1"/>
  <c r="U2639" i="1"/>
  <c r="U2636" i="1"/>
  <c r="U2629" i="1"/>
  <c r="U2616" i="1"/>
  <c r="U2565" i="1"/>
  <c r="T2565" i="1"/>
  <c r="U2560" i="1"/>
  <c r="U2556" i="1"/>
  <c r="T2556" i="1"/>
  <c r="U2541" i="1"/>
  <c r="T2541" i="1"/>
  <c r="U2648" i="1"/>
  <c r="T2608" i="1"/>
  <c r="U2608" i="1"/>
  <c r="T2604" i="1"/>
  <c r="U2604" i="1"/>
  <c r="U2600" i="1"/>
  <c r="T2596" i="1"/>
  <c r="U2596" i="1"/>
  <c r="T2592" i="1"/>
  <c r="U2592" i="1"/>
  <c r="T2588" i="1"/>
  <c r="U2588" i="1"/>
  <c r="T2584" i="1"/>
  <c r="U2584" i="1"/>
  <c r="T2574" i="1"/>
  <c r="U2574" i="1"/>
  <c r="U2564" i="1"/>
  <c r="U2641" i="1"/>
  <c r="U2638" i="1"/>
  <c r="U2628" i="1"/>
  <c r="U2612" i="1"/>
  <c r="U2540" i="1"/>
  <c r="T2540" i="1"/>
  <c r="U2652" i="1"/>
  <c r="T2607" i="1"/>
  <c r="U2607" i="1"/>
  <c r="T2603" i="1"/>
  <c r="U2603" i="1"/>
  <c r="U2599" i="1"/>
  <c r="U2595" i="1"/>
  <c r="T2591" i="1"/>
  <c r="U2591" i="1"/>
  <c r="T2587" i="1"/>
  <c r="U2587" i="1"/>
  <c r="U2573" i="1"/>
  <c r="U2549" i="1"/>
  <c r="U2567" i="1"/>
  <c r="T2558" i="1"/>
  <c r="U2558" i="1"/>
  <c r="U2654" i="1"/>
  <c r="U2647" i="1"/>
  <c r="U2635" i="1"/>
  <c r="U2630" i="1"/>
  <c r="U2627" i="1"/>
  <c r="T2610" i="1"/>
  <c r="U2610" i="1"/>
  <c r="T2606" i="1"/>
  <c r="U2606" i="1"/>
  <c r="U2602" i="1"/>
  <c r="T2598" i="1"/>
  <c r="U2598" i="1"/>
  <c r="T2594" i="1"/>
  <c r="U2594" i="1"/>
  <c r="U2590" i="1"/>
  <c r="T2586" i="1"/>
  <c r="U2586" i="1"/>
  <c r="U2576" i="1"/>
  <c r="U2572" i="1"/>
  <c r="T2572" i="1"/>
  <c r="T2548" i="1"/>
  <c r="U2548" i="1"/>
  <c r="U2533" i="1"/>
  <c r="T2533" i="1"/>
  <c r="U2557" i="1"/>
  <c r="T2557" i="1"/>
  <c r="T2609" i="1"/>
  <c r="U2609" i="1"/>
  <c r="T2605" i="1"/>
  <c r="U2605" i="1"/>
  <c r="U2601" i="1"/>
  <c r="T2597" i="1"/>
  <c r="U2597" i="1"/>
  <c r="T2593" i="1"/>
  <c r="U2593" i="1"/>
  <c r="U2589" i="1"/>
  <c r="T2585" i="1"/>
  <c r="U2585" i="1"/>
  <c r="U2645" i="1"/>
  <c r="U2631" i="1"/>
  <c r="U2577" i="1"/>
  <c r="U2561" i="1"/>
  <c r="U2545" i="1"/>
  <c r="U2542" i="1"/>
  <c r="U2529" i="1"/>
  <c r="U2526" i="1"/>
  <c r="T2524" i="1"/>
  <c r="T2517" i="1"/>
  <c r="U2513" i="1"/>
  <c r="U2510" i="1"/>
  <c r="T2508" i="1"/>
  <c r="U2497" i="1"/>
  <c r="U2494" i="1"/>
  <c r="T2492" i="1"/>
  <c r="T2485" i="1"/>
  <c r="U2481" i="1"/>
  <c r="U2478" i="1"/>
  <c r="T2476" i="1"/>
  <c r="T2469" i="1"/>
  <c r="U2465" i="1"/>
  <c r="U2462" i="1"/>
  <c r="T2455" i="1"/>
  <c r="U2453" i="1"/>
  <c r="U2443" i="1"/>
  <c r="U2428" i="1"/>
  <c r="T2426" i="1"/>
  <c r="U2419" i="1"/>
  <c r="U2412" i="1"/>
  <c r="T2410" i="1"/>
  <c r="U2403" i="1"/>
  <c r="U2396" i="1"/>
  <c r="T2394" i="1"/>
  <c r="U2387" i="1"/>
  <c r="U2380" i="1"/>
  <c r="T2378" i="1"/>
  <c r="U2371" i="1"/>
  <c r="U2364" i="1"/>
  <c r="T2362" i="1"/>
  <c r="T2353" i="1"/>
  <c r="T2346" i="1"/>
  <c r="U2342" i="1"/>
  <c r="U2257" i="1"/>
  <c r="T2254" i="1"/>
  <c r="T2247" i="1"/>
  <c r="U2243" i="1"/>
  <c r="T2215" i="1"/>
  <c r="U2210" i="1"/>
  <c r="T2208" i="1"/>
  <c r="T2203" i="1"/>
  <c r="U2201" i="1"/>
  <c r="T2178" i="1"/>
  <c r="T2173" i="1"/>
  <c r="U2169" i="1"/>
  <c r="T2161" i="1"/>
  <c r="U2159" i="1"/>
  <c r="U2156" i="1"/>
  <c r="U2152" i="1"/>
  <c r="U2149" i="1"/>
  <c r="T2140" i="1"/>
  <c r="U2136" i="1"/>
  <c r="U2133" i="1"/>
  <c r="T2124" i="1"/>
  <c r="T2119" i="1"/>
  <c r="U2108" i="1"/>
  <c r="U2090" i="1"/>
  <c r="U2086" i="1"/>
  <c r="T2069" i="1"/>
  <c r="U2452" i="1"/>
  <c r="U2421" i="1"/>
  <c r="U2389" i="1"/>
  <c r="U2373" i="1"/>
  <c r="U2249" i="1"/>
  <c r="T2163" i="1"/>
  <c r="T2142" i="1"/>
  <c r="T2126" i="1"/>
  <c r="T2121" i="1"/>
  <c r="T2095" i="1"/>
  <c r="U2093" i="1"/>
  <c r="T2093" i="1"/>
  <c r="T2085" i="1"/>
  <c r="U2082" i="1"/>
  <c r="U2077" i="1"/>
  <c r="U2551" i="1"/>
  <c r="U2535" i="1"/>
  <c r="U2532" i="1"/>
  <c r="U2519" i="1"/>
  <c r="U2516" i="1"/>
  <c r="U2503" i="1"/>
  <c r="U2500" i="1"/>
  <c r="U2487" i="1"/>
  <c r="U2484" i="1"/>
  <c r="U2471" i="1"/>
  <c r="U2468" i="1"/>
  <c r="U2442" i="1"/>
  <c r="U2434" i="1"/>
  <c r="U2418" i="1"/>
  <c r="U2402" i="1"/>
  <c r="U2386" i="1"/>
  <c r="U2370" i="1"/>
  <c r="U2348" i="1"/>
  <c r="U2345" i="1"/>
  <c r="U2340" i="1"/>
  <c r="U2253" i="1"/>
  <c r="U2246" i="1"/>
  <c r="U2242" i="1"/>
  <c r="U2217" i="1"/>
  <c r="U2214" i="1"/>
  <c r="U2202" i="1"/>
  <c r="U2175" i="1"/>
  <c r="T2175" i="1"/>
  <c r="U2168" i="1"/>
  <c r="U2100" i="1"/>
  <c r="T2100" i="1"/>
  <c r="U2618" i="1"/>
  <c r="U2569" i="1"/>
  <c r="U2566" i="1"/>
  <c r="U2553" i="1"/>
  <c r="U2550" i="1"/>
  <c r="U2537" i="1"/>
  <c r="U2534" i="1"/>
  <c r="U2521" i="1"/>
  <c r="U2518" i="1"/>
  <c r="T2509" i="1"/>
  <c r="U2505" i="1"/>
  <c r="U2502" i="1"/>
  <c r="T2493" i="1"/>
  <c r="U2489" i="1"/>
  <c r="U2486" i="1"/>
  <c r="U2473" i="1"/>
  <c r="U2470" i="1"/>
  <c r="U2456" i="1"/>
  <c r="U2448" i="1"/>
  <c r="U2427" i="1"/>
  <c r="U2420" i="1"/>
  <c r="U2411" i="1"/>
  <c r="U2404" i="1"/>
  <c r="U2395" i="1"/>
  <c r="U2388" i="1"/>
  <c r="U2379" i="1"/>
  <c r="U2372" i="1"/>
  <c r="U2363" i="1"/>
  <c r="U2358" i="1"/>
  <c r="U2356" i="1"/>
  <c r="U2354" i="1"/>
  <c r="U2350" i="1"/>
  <c r="U2347" i="1"/>
  <c r="T2241" i="1"/>
  <c r="T2209" i="1"/>
  <c r="U2205" i="1"/>
  <c r="U2174" i="1"/>
  <c r="U2165" i="1"/>
  <c r="U2144" i="1"/>
  <c r="U2128" i="1"/>
  <c r="U2120" i="1"/>
  <c r="U2097" i="1"/>
  <c r="U2079" i="1"/>
  <c r="T2079" i="1"/>
  <c r="U2068" i="1"/>
  <c r="T2068" i="1"/>
  <c r="U2571" i="1"/>
  <c r="U2555" i="1"/>
  <c r="U2539" i="1"/>
  <c r="U2523" i="1"/>
  <c r="U2507" i="1"/>
  <c r="U2461" i="1"/>
  <c r="T2461" i="1"/>
  <c r="U2429" i="1"/>
  <c r="U2413" i="1"/>
  <c r="U2397" i="1"/>
  <c r="U2381" i="1"/>
  <c r="U2365" i="1"/>
  <c r="U2352" i="1"/>
  <c r="T2181" i="1"/>
  <c r="T2157" i="1"/>
  <c r="T2150" i="1"/>
  <c r="U2107" i="1"/>
  <c r="U2084" i="1"/>
  <c r="T2084" i="1"/>
  <c r="U2255" i="1"/>
  <c r="U2179" i="1"/>
  <c r="U2167" i="1"/>
  <c r="U2148" i="1"/>
  <c r="U2132" i="1"/>
  <c r="U2099" i="1"/>
  <c r="U2081" i="1"/>
  <c r="U2575" i="1"/>
  <c r="U2559" i="1"/>
  <c r="U2543" i="1"/>
  <c r="U2527" i="1"/>
  <c r="U2511" i="1"/>
  <c r="U2479" i="1"/>
  <c r="U2463" i="1"/>
  <c r="U2240" i="1"/>
  <c r="U2211" i="1"/>
  <c r="T2211" i="1"/>
  <c r="U2204" i="1"/>
  <c r="U2109" i="1"/>
  <c r="T2109" i="1"/>
  <c r="U2091" i="1"/>
  <c r="T2091" i="1"/>
  <c r="T2070" i="1"/>
  <c r="U2070" i="1"/>
  <c r="U2457" i="1"/>
  <c r="U2245" i="1"/>
  <c r="U2207" i="1"/>
  <c r="U2171" i="1"/>
  <c r="U2155" i="1"/>
  <c r="U2105" i="1"/>
  <c r="U2089" i="1"/>
  <c r="U2073" i="1"/>
  <c r="T2061" i="1"/>
  <c r="U2056" i="1"/>
  <c r="U2044" i="1"/>
  <c r="T2039" i="1"/>
  <c r="U2035" i="1"/>
  <c r="T2032" i="1"/>
  <c r="U2022" i="1"/>
  <c r="T2015" i="1"/>
  <c r="U2011" i="1"/>
  <c r="T2003" i="1"/>
  <c r="U1994" i="1"/>
  <c r="U1991" i="1"/>
  <c r="U1892" i="1"/>
  <c r="U2049" i="1"/>
  <c r="T2049" i="1"/>
  <c r="U1776" i="1"/>
  <c r="U1898" i="1"/>
  <c r="U1884" i="1"/>
  <c r="U2063" i="1"/>
  <c r="U2060" i="1"/>
  <c r="U2051" i="1"/>
  <c r="U2038" i="1"/>
  <c r="U2027" i="1"/>
  <c r="U2017" i="1"/>
  <c r="T2017" i="1"/>
  <c r="U2014" i="1"/>
  <c r="U2010" i="1"/>
  <c r="U2005" i="1"/>
  <c r="U2002" i="1"/>
  <c r="U2000" i="1"/>
  <c r="U1882" i="1"/>
  <c r="U1868" i="1"/>
  <c r="U1760" i="1"/>
  <c r="T2043" i="1"/>
  <c r="T2021" i="1"/>
  <c r="U1999" i="1"/>
  <c r="U1844" i="1"/>
  <c r="T1804" i="1"/>
  <c r="U2083" i="1"/>
  <c r="U2067" i="1"/>
  <c r="U2055" i="1"/>
  <c r="U2019" i="1"/>
  <c r="U2033" i="1"/>
  <c r="T2033" i="1"/>
  <c r="U1886" i="1"/>
  <c r="U2103" i="1"/>
  <c r="U2087" i="1"/>
  <c r="T2075" i="1"/>
  <c r="U2071" i="1"/>
  <c r="T2059" i="1"/>
  <c r="U2057" i="1"/>
  <c r="T2037" i="1"/>
  <c r="T2025" i="1"/>
  <c r="U2023" i="1"/>
  <c r="U2008" i="1"/>
  <c r="U1792" i="1"/>
  <c r="U2045" i="1"/>
  <c r="U2029" i="1"/>
  <c r="U2013" i="1"/>
  <c r="U1842" i="1"/>
  <c r="U1820" i="1"/>
  <c r="T1764" i="1"/>
  <c r="T1726" i="1"/>
  <c r="U1703" i="1"/>
  <c r="U1696" i="1"/>
  <c r="U1677" i="1"/>
  <c r="U1668" i="1"/>
  <c r="U1649" i="1"/>
  <c r="U1646" i="1"/>
  <c r="U1632" i="1"/>
  <c r="U1625" i="1"/>
  <c r="T1623" i="1"/>
  <c r="U1616" i="1"/>
  <c r="U1609" i="1"/>
  <c r="T1607" i="1"/>
  <c r="U1599" i="1"/>
  <c r="U1592" i="1"/>
  <c r="U1583" i="1"/>
  <c r="U1576" i="1"/>
  <c r="U1567" i="1"/>
  <c r="U1560" i="1"/>
  <c r="U1551" i="1"/>
  <c r="U1544" i="1"/>
  <c r="U1535" i="1"/>
  <c r="U1528" i="1"/>
  <c r="U1519" i="1"/>
  <c r="U1503" i="1"/>
  <c r="U1487" i="1"/>
  <c r="U1471" i="1"/>
  <c r="U1455" i="1"/>
  <c r="U1439" i="1"/>
  <c r="U1425" i="1"/>
  <c r="U1417" i="1"/>
  <c r="U1409" i="1"/>
  <c r="U1401" i="1"/>
  <c r="U1393" i="1"/>
  <c r="U1385" i="1"/>
  <c r="U1039" i="1"/>
  <c r="U1018" i="1"/>
  <c r="U519" i="1"/>
  <c r="T519" i="1"/>
  <c r="U475" i="1"/>
  <c r="U454" i="1"/>
  <c r="T454" i="1"/>
  <c r="U1731" i="1"/>
  <c r="U1723" i="1"/>
  <c r="U1717" i="1"/>
  <c r="U1690" i="1"/>
  <c r="U1676" i="1"/>
  <c r="U1654" i="1"/>
  <c r="U1640" i="1"/>
  <c r="U1634" i="1"/>
  <c r="U1627" i="1"/>
  <c r="U1618" i="1"/>
  <c r="U1611" i="1"/>
  <c r="U1601" i="1"/>
  <c r="U1594" i="1"/>
  <c r="U1585" i="1"/>
  <c r="U1578" i="1"/>
  <c r="U1569" i="1"/>
  <c r="U1562" i="1"/>
  <c r="U1553" i="1"/>
  <c r="U1546" i="1"/>
  <c r="U1537" i="1"/>
  <c r="U1530" i="1"/>
  <c r="U1521" i="1"/>
  <c r="U1505" i="1"/>
  <c r="U1489" i="1"/>
  <c r="U1473" i="1"/>
  <c r="U1457" i="1"/>
  <c r="U1441" i="1"/>
  <c r="U1636" i="1"/>
  <c r="U1620" i="1"/>
  <c r="U1603" i="1"/>
  <c r="U1587" i="1"/>
  <c r="U1571" i="1"/>
  <c r="U1555" i="1"/>
  <c r="U1539" i="1"/>
  <c r="U1523" i="1"/>
  <c r="U1507" i="1"/>
  <c r="U1491" i="1"/>
  <c r="U1475" i="1"/>
  <c r="U1459" i="1"/>
  <c r="U1443" i="1"/>
  <c r="U1427" i="1"/>
  <c r="U1387" i="1"/>
  <c r="U1826" i="1"/>
  <c r="U1708" i="1"/>
  <c r="U1702" i="1"/>
  <c r="U1698" i="1"/>
  <c r="U1692" i="1"/>
  <c r="U1673" i="1"/>
  <c r="U1670" i="1"/>
  <c r="U1656" i="1"/>
  <c r="U1429" i="1"/>
  <c r="U1381" i="1"/>
  <c r="U1806" i="1"/>
  <c r="U1716" i="1"/>
  <c r="U1710" i="1"/>
  <c r="U1707" i="1"/>
  <c r="U1700" i="1"/>
  <c r="U1689" i="1"/>
  <c r="U1686" i="1"/>
  <c r="U1675" i="1"/>
  <c r="U1672" i="1"/>
  <c r="U1653" i="1"/>
  <c r="U1644" i="1"/>
  <c r="U1626" i="1"/>
  <c r="U1610" i="1"/>
  <c r="U1593" i="1"/>
  <c r="U1577" i="1"/>
  <c r="U1561" i="1"/>
  <c r="U1545" i="1"/>
  <c r="U1529" i="1"/>
  <c r="U1513" i="1"/>
  <c r="U1497" i="1"/>
  <c r="U1481" i="1"/>
  <c r="U1465" i="1"/>
  <c r="U1449" i="1"/>
  <c r="U1718" i="1"/>
  <c r="U1691" i="1"/>
  <c r="U1669" i="1"/>
  <c r="U1641" i="1"/>
  <c r="U1437" i="1"/>
  <c r="U119" i="1"/>
  <c r="U1178" i="1"/>
  <c r="U1021" i="1"/>
  <c r="U923" i="1"/>
  <c r="U903" i="1"/>
  <c r="T776" i="1"/>
  <c r="U776" i="1"/>
  <c r="T718" i="1"/>
  <c r="U718" i="1"/>
  <c r="U1181" i="1"/>
  <c r="U1159" i="1"/>
  <c r="U1073" i="1"/>
  <c r="U1024" i="1"/>
  <c r="U1057" i="1"/>
  <c r="U1168" i="1"/>
  <c r="U1067" i="1"/>
  <c r="U1175" i="1"/>
  <c r="U1033" i="1"/>
  <c r="U1167" i="1"/>
  <c r="U1124" i="1"/>
  <c r="U1121" i="1"/>
  <c r="U1115" i="1"/>
  <c r="U1109" i="1"/>
  <c r="U1085" i="1"/>
  <c r="U1072" i="1"/>
  <c r="U1060" i="1"/>
  <c r="U1056" i="1"/>
  <c r="U1038" i="1"/>
  <c r="U1023" i="1"/>
  <c r="U1017" i="1"/>
  <c r="U807" i="1"/>
  <c r="U740" i="1"/>
  <c r="U710" i="1"/>
  <c r="T710" i="1"/>
  <c r="U692" i="1"/>
  <c r="T692" i="1"/>
  <c r="U669" i="1"/>
  <c r="U653" i="1"/>
  <c r="T653" i="1"/>
  <c r="U589" i="1"/>
  <c r="U1102" i="1"/>
  <c r="U1066" i="1"/>
  <c r="U821" i="1"/>
  <c r="U702" i="1"/>
  <c r="T702" i="1"/>
  <c r="U682" i="1"/>
  <c r="U637" i="1"/>
  <c r="U573" i="1"/>
  <c r="U537" i="1"/>
  <c r="U1189" i="1"/>
  <c r="U1031" i="1"/>
  <c r="U1007" i="1"/>
  <c r="U1001" i="1"/>
  <c r="U982" i="1"/>
  <c r="U969" i="1"/>
  <c r="U939" i="1"/>
  <c r="U880" i="1"/>
  <c r="U856" i="1"/>
  <c r="U771" i="1"/>
  <c r="T771" i="1"/>
  <c r="U732" i="1"/>
  <c r="U605" i="1"/>
  <c r="T605" i="1"/>
  <c r="U581" i="1"/>
  <c r="T581" i="1"/>
  <c r="T547" i="1"/>
  <c r="U547" i="1"/>
  <c r="U1147" i="1"/>
  <c r="U1143" i="1"/>
  <c r="U1117" i="1"/>
  <c r="U1104" i="1"/>
  <c r="U1098" i="1"/>
  <c r="U1095" i="1"/>
  <c r="U1071" i="1"/>
  <c r="U1046" i="1"/>
  <c r="U975" i="1"/>
  <c r="U954" i="1"/>
  <c r="U859" i="1"/>
  <c r="U621" i="1"/>
  <c r="T621" i="1"/>
  <c r="U1200" i="1"/>
  <c r="U1194" i="1"/>
  <c r="U1191" i="1"/>
  <c r="U1188" i="1"/>
  <c r="U1185" i="1"/>
  <c r="U1169" i="1"/>
  <c r="U1162" i="1"/>
  <c r="U1146" i="1"/>
  <c r="U1119" i="1"/>
  <c r="U1110" i="1"/>
  <c r="U1086" i="1"/>
  <c r="U1013" i="1"/>
  <c r="U998" i="1"/>
  <c r="U957" i="1"/>
  <c r="U724" i="1"/>
  <c r="U661" i="1"/>
  <c r="U1172" i="1"/>
  <c r="U1156" i="1"/>
  <c r="U1140" i="1"/>
  <c r="U1134" i="1"/>
  <c r="U1092" i="1"/>
  <c r="U1077" i="1"/>
  <c r="U1006" i="1"/>
  <c r="U990" i="1"/>
  <c r="U987" i="1"/>
  <c r="U931" i="1"/>
  <c r="U914" i="1"/>
  <c r="U869" i="1"/>
  <c r="U645" i="1"/>
  <c r="T645" i="1"/>
  <c r="U597" i="1"/>
  <c r="T597" i="1"/>
  <c r="U1190" i="1"/>
  <c r="U1184" i="1"/>
  <c r="U1125" i="1"/>
  <c r="U1070" i="1"/>
  <c r="U1054" i="1"/>
  <c r="U1051" i="1"/>
  <c r="U1012" i="1"/>
  <c r="U1003" i="1"/>
  <c r="U993" i="1"/>
  <c r="U960" i="1"/>
  <c r="U945" i="1"/>
  <c r="U815" i="1"/>
  <c r="U759" i="1"/>
  <c r="T759" i="1"/>
  <c r="U749" i="1"/>
  <c r="T749" i="1"/>
  <c r="U629" i="1"/>
  <c r="T629" i="1"/>
  <c r="U613" i="1"/>
  <c r="U1061" i="1"/>
  <c r="U1037" i="1"/>
  <c r="U1028" i="1"/>
  <c r="U1025" i="1"/>
  <c r="U1019" i="1"/>
  <c r="U974" i="1"/>
  <c r="U959" i="1"/>
  <c r="U953" i="1"/>
  <c r="U944" i="1"/>
  <c r="U938" i="1"/>
  <c r="U933" i="1"/>
  <c r="U919" i="1"/>
  <c r="U913" i="1"/>
  <c r="U879" i="1"/>
  <c r="U861" i="1"/>
  <c r="U855" i="1"/>
  <c r="U850" i="1"/>
  <c r="U847" i="1"/>
  <c r="U844" i="1"/>
  <c r="U829" i="1"/>
  <c r="U818" i="1"/>
  <c r="U798" i="1"/>
  <c r="U792" i="1"/>
  <c r="U784" i="1"/>
  <c r="U773" i="1"/>
  <c r="X773" i="1" s="1"/>
  <c r="U770" i="1"/>
  <c r="U768" i="1"/>
  <c r="U761" i="1"/>
  <c r="U717" i="1"/>
  <c r="U709" i="1"/>
  <c r="U701" i="1"/>
  <c r="U694" i="1"/>
  <c r="U676" i="1"/>
  <c r="U668" i="1"/>
  <c r="U660" i="1"/>
  <c r="U652" i="1"/>
  <c r="U644" i="1"/>
  <c r="U636" i="1"/>
  <c r="U628" i="1"/>
  <c r="U620" i="1"/>
  <c r="U612" i="1"/>
  <c r="U604" i="1"/>
  <c r="U596" i="1"/>
  <c r="U588" i="1"/>
  <c r="U580" i="1"/>
  <c r="U572" i="1"/>
  <c r="U563" i="1"/>
  <c r="U559" i="1"/>
  <c r="U543" i="1"/>
  <c r="T500" i="1"/>
  <c r="U500" i="1"/>
  <c r="U208" i="1"/>
  <c r="T208" i="1"/>
  <c r="U143" i="1"/>
  <c r="T765" i="1"/>
  <c r="T753" i="1"/>
  <c r="U723" i="1"/>
  <c r="T714" i="1"/>
  <c r="T706" i="1"/>
  <c r="U693" i="1"/>
  <c r="U536" i="1"/>
  <c r="U523" i="1"/>
  <c r="U312" i="1"/>
  <c r="U294" i="1"/>
  <c r="U167" i="1"/>
  <c r="T55" i="1"/>
  <c r="U55" i="1"/>
  <c r="U967" i="1"/>
  <c r="U930" i="1"/>
  <c r="U927" i="1"/>
  <c r="U908" i="1"/>
  <c r="U905" i="1"/>
  <c r="U893" i="1"/>
  <c r="U891" i="1"/>
  <c r="U820" i="1"/>
  <c r="U814" i="1"/>
  <c r="U775" i="1"/>
  <c r="U762" i="1"/>
  <c r="U711" i="1"/>
  <c r="U703" i="1"/>
  <c r="U695" i="1"/>
  <c r="U678" i="1"/>
  <c r="U670" i="1"/>
  <c r="U582" i="1"/>
  <c r="U574" i="1"/>
  <c r="U555" i="1"/>
  <c r="U526" i="1"/>
  <c r="U483" i="1"/>
  <c r="U367" i="1"/>
  <c r="U191" i="1"/>
  <c r="U127" i="1"/>
  <c r="U943" i="1"/>
  <c r="U937" i="1"/>
  <c r="U929" i="1"/>
  <c r="U901" i="1"/>
  <c r="U813" i="1"/>
  <c r="U785" i="1"/>
  <c r="T757" i="1"/>
  <c r="T747" i="1"/>
  <c r="U725" i="1"/>
  <c r="T722" i="1"/>
  <c r="T716" i="1"/>
  <c r="T708" i="1"/>
  <c r="U683" i="1"/>
  <c r="U673" i="1"/>
  <c r="U665" i="1"/>
  <c r="U657" i="1"/>
  <c r="U649" i="1"/>
  <c r="U641" i="1"/>
  <c r="U633" i="1"/>
  <c r="U625" i="1"/>
  <c r="U617" i="1"/>
  <c r="U609" i="1"/>
  <c r="U601" i="1"/>
  <c r="U593" i="1"/>
  <c r="U585" i="1"/>
  <c r="U528" i="1"/>
  <c r="T508" i="1"/>
  <c r="U508" i="1"/>
  <c r="U460" i="1"/>
  <c r="T460" i="1"/>
  <c r="T445" i="1"/>
  <c r="U445" i="1"/>
  <c r="T405" i="1"/>
  <c r="U405" i="1"/>
  <c r="U358" i="1"/>
  <c r="T358" i="1"/>
  <c r="U216" i="1"/>
  <c r="T216" i="1"/>
  <c r="U151" i="1"/>
  <c r="U964" i="1"/>
  <c r="U961" i="1"/>
  <c r="U955" i="1"/>
  <c r="U917" i="1"/>
  <c r="U895" i="1"/>
  <c r="U860" i="1"/>
  <c r="U857" i="1"/>
  <c r="U852" i="1"/>
  <c r="U845" i="1"/>
  <c r="U816" i="1"/>
  <c r="U811" i="1"/>
  <c r="U805" i="1"/>
  <c r="U774" i="1"/>
  <c r="U767" i="1"/>
  <c r="U755" i="1"/>
  <c r="U713" i="1"/>
  <c r="U600" i="1"/>
  <c r="U584" i="1"/>
  <c r="U576" i="1"/>
  <c r="U564" i="1"/>
  <c r="U541" i="1"/>
  <c r="U466" i="1"/>
  <c r="T466" i="1"/>
  <c r="U448" i="1"/>
  <c r="T448" i="1"/>
  <c r="U408" i="1"/>
  <c r="U175" i="1"/>
  <c r="U38" i="1"/>
  <c r="U887" i="1"/>
  <c r="U875" i="1"/>
  <c r="U727" i="1"/>
  <c r="U700" i="1"/>
  <c r="U675" i="1"/>
  <c r="U667" i="1"/>
  <c r="U659" i="1"/>
  <c r="U651" i="1"/>
  <c r="U643" i="1"/>
  <c r="U635" i="1"/>
  <c r="U627" i="1"/>
  <c r="U619" i="1"/>
  <c r="U611" i="1"/>
  <c r="U603" i="1"/>
  <c r="U595" i="1"/>
  <c r="U587" i="1"/>
  <c r="U491" i="1"/>
  <c r="U318" i="1"/>
  <c r="U200" i="1"/>
  <c r="T200" i="1"/>
  <c r="U135" i="1"/>
  <c r="U942" i="1"/>
  <c r="U865" i="1"/>
  <c r="U769" i="1"/>
  <c r="U690" i="1"/>
  <c r="U557" i="1"/>
  <c r="U554" i="1"/>
  <c r="U540" i="1"/>
  <c r="T516" i="1"/>
  <c r="U516" i="1"/>
  <c r="T451" i="1"/>
  <c r="U451" i="1"/>
  <c r="U159" i="1"/>
  <c r="U545" i="1"/>
  <c r="U531" i="1"/>
  <c r="U513" i="1"/>
  <c r="U505" i="1"/>
  <c r="U497" i="1"/>
  <c r="U488" i="1"/>
  <c r="U480" i="1"/>
  <c r="U472" i="1"/>
  <c r="U459" i="1"/>
  <c r="U442" i="1"/>
  <c r="U435" i="1"/>
  <c r="U413" i="1"/>
  <c r="U394" i="1"/>
  <c r="U374" i="1"/>
  <c r="U357" i="1"/>
  <c r="U317" i="1"/>
  <c r="U292" i="1"/>
  <c r="U242" i="1"/>
  <c r="U218" i="1"/>
  <c r="U57" i="1"/>
  <c r="U40" i="1"/>
  <c r="U521" i="1"/>
  <c r="U515" i="1"/>
  <c r="U507" i="1"/>
  <c r="U499" i="1"/>
  <c r="U490" i="1"/>
  <c r="U482" i="1"/>
  <c r="U474" i="1"/>
  <c r="U456" i="1"/>
  <c r="U450" i="1"/>
  <c r="U444" i="1"/>
  <c r="U437" i="1"/>
  <c r="U416" i="1"/>
  <c r="U412" i="1"/>
  <c r="U410" i="1"/>
  <c r="U316" i="1"/>
  <c r="U314" i="1"/>
  <c r="U310" i="1"/>
  <c r="U274" i="1"/>
  <c r="U238" i="1"/>
  <c r="U219" i="1"/>
  <c r="U532" i="1"/>
  <c r="U514" i="1"/>
  <c r="U506" i="1"/>
  <c r="U498" i="1"/>
  <c r="U489" i="1"/>
  <c r="U481" i="1"/>
  <c r="U473" i="1"/>
  <c r="T458" i="1"/>
  <c r="U443" i="1"/>
  <c r="U436" i="1"/>
  <c r="U425" i="1"/>
  <c r="T422" i="1"/>
  <c r="U418" i="1"/>
  <c r="U415" i="1"/>
  <c r="U399" i="1"/>
  <c r="U392" i="1"/>
  <c r="T362" i="1"/>
  <c r="U346" i="1"/>
  <c r="U335" i="1"/>
  <c r="U330" i="1"/>
  <c r="T326" i="1"/>
  <c r="U296" i="1"/>
  <c r="U234" i="1"/>
  <c r="U222" i="1"/>
  <c r="T214" i="1"/>
  <c r="U212" i="1"/>
  <c r="U209" i="1"/>
  <c r="T206" i="1"/>
  <c r="U204" i="1"/>
  <c r="U201" i="1"/>
  <c r="T198" i="1"/>
  <c r="U195" i="1"/>
  <c r="U192" i="1"/>
  <c r="U187" i="1"/>
  <c r="U184" i="1"/>
  <c r="U179" i="1"/>
  <c r="U176" i="1"/>
  <c r="U171" i="1"/>
  <c r="U168" i="1"/>
  <c r="U163" i="1"/>
  <c r="U160" i="1"/>
  <c r="U155" i="1"/>
  <c r="U152" i="1"/>
  <c r="U147" i="1"/>
  <c r="U144" i="1"/>
  <c r="U139" i="1"/>
  <c r="U136" i="1"/>
  <c r="U128" i="1"/>
  <c r="U123" i="1"/>
  <c r="U120" i="1"/>
  <c r="U115" i="1"/>
  <c r="U59" i="1"/>
  <c r="U43" i="1"/>
  <c r="U26" i="1"/>
  <c r="U446" i="1"/>
  <c r="U429" i="1"/>
  <c r="U381" i="1"/>
  <c r="U356" i="1"/>
  <c r="U349" i="1"/>
  <c r="U339" i="1"/>
  <c r="U307" i="1"/>
  <c r="U542" i="1"/>
  <c r="U529" i="1"/>
  <c r="U511" i="1"/>
  <c r="U503" i="1"/>
  <c r="U494" i="1"/>
  <c r="U486" i="1"/>
  <c r="U478" i="1"/>
  <c r="U470" i="1"/>
  <c r="U414" i="1"/>
  <c r="U402" i="1"/>
  <c r="U378" i="1"/>
  <c r="U355" i="1"/>
  <c r="U285" i="1"/>
  <c r="U254" i="1"/>
  <c r="U250" i="1"/>
  <c r="U1990" i="1"/>
  <c r="U1825" i="1"/>
  <c r="T1816" i="1"/>
  <c r="U1816" i="1"/>
  <c r="U1902" i="1"/>
  <c r="U1887" i="1"/>
  <c r="U1998" i="1"/>
  <c r="T1981" i="1"/>
  <c r="U1981" i="1"/>
  <c r="T1984" i="1"/>
  <c r="U1984" i="1"/>
  <c r="T1977" i="1"/>
  <c r="U1977" i="1"/>
  <c r="T1973" i="1"/>
  <c r="U1973" i="1"/>
  <c r="T1969" i="1"/>
  <c r="U1969" i="1"/>
  <c r="T1965" i="1"/>
  <c r="U1965" i="1"/>
  <c r="T1961" i="1"/>
  <c r="U1961" i="1"/>
  <c r="T1957" i="1"/>
  <c r="U1957" i="1"/>
  <c r="T1953" i="1"/>
  <c r="U1953" i="1"/>
  <c r="T1949" i="1"/>
  <c r="U1949" i="1"/>
  <c r="T1945" i="1"/>
  <c r="U1945" i="1"/>
  <c r="U1941" i="1"/>
  <c r="U1937" i="1"/>
  <c r="U1933" i="1"/>
  <c r="U1929" i="1"/>
  <c r="U1925" i="1"/>
  <c r="U1921" i="1"/>
  <c r="U1917" i="1"/>
  <c r="U1913" i="1"/>
  <c r="U1909" i="1"/>
  <c r="U1905" i="1"/>
  <c r="U1896" i="1"/>
  <c r="U1863" i="1"/>
  <c r="U1839" i="1"/>
  <c r="U1834" i="1"/>
  <c r="U1830" i="1"/>
  <c r="U1794" i="1"/>
  <c r="U1791" i="1"/>
  <c r="U1778" i="1"/>
  <c r="U1775" i="1"/>
  <c r="T1762" i="1"/>
  <c r="U1762" i="1"/>
  <c r="T1759" i="1"/>
  <c r="U1759" i="1"/>
  <c r="U1746" i="1"/>
  <c r="U1743" i="1"/>
  <c r="U1697" i="1"/>
  <c r="T1980" i="1"/>
  <c r="U1980" i="1"/>
  <c r="U1857" i="1"/>
  <c r="U1848" i="1"/>
  <c r="U1815" i="1"/>
  <c r="T1815" i="1"/>
  <c r="U1732" i="1"/>
  <c r="T1732" i="1"/>
  <c r="U1986" i="1"/>
  <c r="U1979" i="1"/>
  <c r="T1976" i="1"/>
  <c r="U1976" i="1"/>
  <c r="T1972" i="1"/>
  <c r="U1972" i="1"/>
  <c r="T1968" i="1"/>
  <c r="U1968" i="1"/>
  <c r="T1964" i="1"/>
  <c r="U1964" i="1"/>
  <c r="T1960" i="1"/>
  <c r="U1960" i="1"/>
  <c r="T1956" i="1"/>
  <c r="U1956" i="1"/>
  <c r="T1952" i="1"/>
  <c r="U1952" i="1"/>
  <c r="T1948" i="1"/>
  <c r="U1948" i="1"/>
  <c r="T1944" i="1"/>
  <c r="U1944" i="1"/>
  <c r="U1895" i="1"/>
  <c r="U1871" i="1"/>
  <c r="U1866" i="1"/>
  <c r="U1809" i="1"/>
  <c r="U1706" i="1"/>
  <c r="T1706" i="1"/>
  <c r="U2451" i="1"/>
  <c r="U2449" i="1"/>
  <c r="U2447" i="1"/>
  <c r="U2441" i="1"/>
  <c r="U2435" i="1"/>
  <c r="U2359" i="1"/>
  <c r="U2341" i="1"/>
  <c r="U2001" i="1"/>
  <c r="U1996" i="1"/>
  <c r="U1988" i="1"/>
  <c r="U1985" i="1"/>
  <c r="U1889" i="1"/>
  <c r="U1880" i="1"/>
  <c r="U1870" i="1"/>
  <c r="U1847" i="1"/>
  <c r="U1823" i="1"/>
  <c r="T1823" i="1"/>
  <c r="U1818" i="1"/>
  <c r="T1814" i="1"/>
  <c r="U1814" i="1"/>
  <c r="U1982" i="1"/>
  <c r="T1975" i="1"/>
  <c r="U1975" i="1"/>
  <c r="T1971" i="1"/>
  <c r="U1971" i="1"/>
  <c r="T1967" i="1"/>
  <c r="U1967" i="1"/>
  <c r="T1963" i="1"/>
  <c r="U1963" i="1"/>
  <c r="T1959" i="1"/>
  <c r="U1959" i="1"/>
  <c r="T1955" i="1"/>
  <c r="U1955" i="1"/>
  <c r="T1951" i="1"/>
  <c r="U1951" i="1"/>
  <c r="T1947" i="1"/>
  <c r="U1947" i="1"/>
  <c r="T1943" i="1"/>
  <c r="U1943" i="1"/>
  <c r="U1939" i="1"/>
  <c r="U1935" i="1"/>
  <c r="U1931" i="1"/>
  <c r="U1927" i="1"/>
  <c r="U1923" i="1"/>
  <c r="U1919" i="1"/>
  <c r="U1915" i="1"/>
  <c r="U1911" i="1"/>
  <c r="U1907" i="1"/>
  <c r="U1903" i="1"/>
  <c r="U1894" i="1"/>
  <c r="U1841" i="1"/>
  <c r="U1832" i="1"/>
  <c r="U1802" i="1"/>
  <c r="U1799" i="1"/>
  <c r="U1786" i="1"/>
  <c r="T1783" i="1"/>
  <c r="U1783" i="1"/>
  <c r="T1770" i="1"/>
  <c r="U1770" i="1"/>
  <c r="T1767" i="1"/>
  <c r="U1767" i="1"/>
  <c r="U1754" i="1"/>
  <c r="U1751" i="1"/>
  <c r="U1738" i="1"/>
  <c r="U1735" i="1"/>
  <c r="U1714" i="1"/>
  <c r="T1714" i="1"/>
  <c r="U1195" i="1"/>
  <c r="U1879" i="1"/>
  <c r="U1855" i="1"/>
  <c r="U1850" i="1"/>
  <c r="U1846" i="1"/>
  <c r="U1995" i="1"/>
  <c r="U1987" i="1"/>
  <c r="U1978" i="1"/>
  <c r="U1974" i="1"/>
  <c r="U1970" i="1"/>
  <c r="U1966" i="1"/>
  <c r="U1962" i="1"/>
  <c r="U1958" i="1"/>
  <c r="U1954" i="1"/>
  <c r="U1950" i="1"/>
  <c r="U1946" i="1"/>
  <c r="U1942" i="1"/>
  <c r="U1873" i="1"/>
  <c r="U1864" i="1"/>
  <c r="U1854" i="1"/>
  <c r="U1831" i="1"/>
  <c r="U1722" i="1"/>
  <c r="T1722" i="1"/>
  <c r="U1897" i="1"/>
  <c r="U1881" i="1"/>
  <c r="U1865" i="1"/>
  <c r="U1849" i="1"/>
  <c r="U1833" i="1"/>
  <c r="U1817" i="1"/>
  <c r="T1803" i="1"/>
  <c r="U1803" i="1"/>
  <c r="U1795" i="1"/>
  <c r="U1787" i="1"/>
  <c r="U1779" i="1"/>
  <c r="T1771" i="1"/>
  <c r="U1771" i="1"/>
  <c r="U1763" i="1"/>
  <c r="T1755" i="1"/>
  <c r="U1755" i="1"/>
  <c r="U1747" i="1"/>
  <c r="U1739" i="1"/>
  <c r="U1724" i="1"/>
  <c r="U1899" i="1"/>
  <c r="U1883" i="1"/>
  <c r="U1867" i="1"/>
  <c r="U1851" i="1"/>
  <c r="U1835" i="1"/>
  <c r="U1819" i="1"/>
  <c r="T1807" i="1"/>
  <c r="T1730" i="1"/>
  <c r="T1718" i="1"/>
  <c r="T1710" i="1"/>
  <c r="T1702" i="1"/>
  <c r="U1667" i="1"/>
  <c r="U1659" i="1"/>
  <c r="U1651" i="1"/>
  <c r="U1643" i="1"/>
  <c r="U1187" i="1"/>
  <c r="U1901" i="1"/>
  <c r="U1885" i="1"/>
  <c r="U1869" i="1"/>
  <c r="U1853" i="1"/>
  <c r="U1837" i="1"/>
  <c r="U1821" i="1"/>
  <c r="U1805" i="1"/>
  <c r="T1797" i="1"/>
  <c r="U1797" i="1"/>
  <c r="U1789" i="1"/>
  <c r="U1781" i="1"/>
  <c r="U1773" i="1"/>
  <c r="T1765" i="1"/>
  <c r="U1765" i="1"/>
  <c r="U1757" i="1"/>
  <c r="U1749" i="1"/>
  <c r="U1741" i="1"/>
  <c r="U1728" i="1"/>
  <c r="U1940" i="1"/>
  <c r="U1938" i="1"/>
  <c r="U1936" i="1"/>
  <c r="U1934" i="1"/>
  <c r="U1932" i="1"/>
  <c r="U1930" i="1"/>
  <c r="U1928" i="1"/>
  <c r="U1926" i="1"/>
  <c r="U1924" i="1"/>
  <c r="U1922" i="1"/>
  <c r="U1920" i="1"/>
  <c r="U1918" i="1"/>
  <c r="U1916" i="1"/>
  <c r="U1914" i="1"/>
  <c r="U1912" i="1"/>
  <c r="U1910" i="1"/>
  <c r="U1908" i="1"/>
  <c r="U1906" i="1"/>
  <c r="U1904" i="1"/>
  <c r="U1891" i="1"/>
  <c r="U1888" i="1"/>
  <c r="U1875" i="1"/>
  <c r="U1872" i="1"/>
  <c r="U1859" i="1"/>
  <c r="U1856" i="1"/>
  <c r="U1843" i="1"/>
  <c r="U1840" i="1"/>
  <c r="U1827" i="1"/>
  <c r="U1824" i="1"/>
  <c r="U1811" i="1"/>
  <c r="U1808" i="1"/>
  <c r="U1798" i="1"/>
  <c r="U1790" i="1"/>
  <c r="U1782" i="1"/>
  <c r="U1774" i="1"/>
  <c r="U1766" i="1"/>
  <c r="U1758" i="1"/>
  <c r="U1750" i="1"/>
  <c r="U1720" i="1"/>
  <c r="U1712" i="1"/>
  <c r="U1704" i="1"/>
  <c r="U1695" i="1"/>
  <c r="U1687" i="1"/>
  <c r="U1679" i="1"/>
  <c r="U1671" i="1"/>
  <c r="U1663" i="1"/>
  <c r="U1655" i="1"/>
  <c r="U1647" i="1"/>
  <c r="U1893" i="1"/>
  <c r="U1877" i="1"/>
  <c r="U1861" i="1"/>
  <c r="U1845" i="1"/>
  <c r="U1829" i="1"/>
  <c r="U1813" i="1"/>
  <c r="T1801" i="1"/>
  <c r="U1801" i="1"/>
  <c r="U1793" i="1"/>
  <c r="T1785" i="1"/>
  <c r="U1785" i="1"/>
  <c r="U1777" i="1"/>
  <c r="U1769" i="1"/>
  <c r="T1761" i="1"/>
  <c r="U1761" i="1"/>
  <c r="T1753" i="1"/>
  <c r="U1753" i="1"/>
  <c r="U1745" i="1"/>
  <c r="U1737" i="1"/>
  <c r="T1724" i="1"/>
  <c r="U1170" i="1"/>
  <c r="U1106" i="1"/>
  <c r="U1100" i="1"/>
  <c r="U1011" i="1"/>
  <c r="U972" i="1"/>
  <c r="U851" i="1"/>
  <c r="U827" i="1"/>
  <c r="U793" i="1"/>
  <c r="T338" i="1"/>
  <c r="U338" i="1"/>
  <c r="T315" i="1"/>
  <c r="U315" i="1"/>
  <c r="U306" i="1"/>
  <c r="U246" i="1"/>
  <c r="U1164" i="1"/>
  <c r="U1158" i="1"/>
  <c r="U1155" i="1"/>
  <c r="U1138" i="1"/>
  <c r="U1132" i="1"/>
  <c r="U1126" i="1"/>
  <c r="U1123" i="1"/>
  <c r="U1091" i="1"/>
  <c r="U1052" i="1"/>
  <c r="U963" i="1"/>
  <c r="U928" i="1"/>
  <c r="U892" i="1"/>
  <c r="U1081" i="1"/>
  <c r="U1043" i="1"/>
  <c r="U1004" i="1"/>
  <c r="U1177" i="1"/>
  <c r="U1090" i="1"/>
  <c r="U1084" i="1"/>
  <c r="U995" i="1"/>
  <c r="U956" i="1"/>
  <c r="U868" i="1"/>
  <c r="U858" i="1"/>
  <c r="U1180" i="1"/>
  <c r="U1174" i="1"/>
  <c r="U1171" i="1"/>
  <c r="U1163" i="1"/>
  <c r="U1145" i="1"/>
  <c r="U1131" i="1"/>
  <c r="U1113" i="1"/>
  <c r="U1075" i="1"/>
  <c r="U1036" i="1"/>
  <c r="U947" i="1"/>
  <c r="U846" i="1"/>
  <c r="U817" i="1"/>
  <c r="U1154" i="1"/>
  <c r="U1148" i="1"/>
  <c r="U1122" i="1"/>
  <c r="U1116" i="1"/>
  <c r="U1027" i="1"/>
  <c r="U988" i="1"/>
  <c r="U921" i="1"/>
  <c r="U885" i="1"/>
  <c r="U834" i="1"/>
  <c r="U800" i="1"/>
  <c r="U1107" i="1"/>
  <c r="U1083" i="1"/>
  <c r="U1068" i="1"/>
  <c r="U979" i="1"/>
  <c r="U940" i="1"/>
  <c r="U904" i="1"/>
  <c r="U863" i="1"/>
  <c r="U1179" i="1"/>
  <c r="U1059" i="1"/>
  <c r="U1020" i="1"/>
  <c r="U839" i="1"/>
  <c r="U1074" i="1"/>
  <c r="U1058" i="1"/>
  <c r="U1042" i="1"/>
  <c r="U1026" i="1"/>
  <c r="U1010" i="1"/>
  <c r="U994" i="1"/>
  <c r="U978" i="1"/>
  <c r="U962" i="1"/>
  <c r="U946" i="1"/>
  <c r="U916" i="1"/>
  <c r="U906" i="1"/>
  <c r="U899" i="1"/>
  <c r="U894" i="1"/>
  <c r="U882" i="1"/>
  <c r="U848" i="1"/>
  <c r="U833" i="1"/>
  <c r="U812" i="1"/>
  <c r="U799" i="1"/>
  <c r="U788" i="1"/>
  <c r="U777" i="1"/>
  <c r="T465" i="1"/>
  <c r="U465" i="1"/>
  <c r="U826" i="1"/>
  <c r="U780" i="1"/>
  <c r="U440" i="1"/>
  <c r="U874" i="1"/>
  <c r="U1176" i="1"/>
  <c r="U1160" i="1"/>
  <c r="U1144" i="1"/>
  <c r="U1128" i="1"/>
  <c r="U1112" i="1"/>
  <c r="U1096" i="1"/>
  <c r="U1080" i="1"/>
  <c r="U1064" i="1"/>
  <c r="U1048" i="1"/>
  <c r="U1032" i="1"/>
  <c r="U1016" i="1"/>
  <c r="U1000" i="1"/>
  <c r="U984" i="1"/>
  <c r="U968" i="1"/>
  <c r="U952" i="1"/>
  <c r="U932" i="1"/>
  <c r="U922" i="1"/>
  <c r="U915" i="1"/>
  <c r="U910" i="1"/>
  <c r="U898" i="1"/>
  <c r="U864" i="1"/>
  <c r="U849" i="1"/>
  <c r="U828" i="1"/>
  <c r="U804" i="1"/>
  <c r="U794" i="1"/>
  <c r="U787" i="1"/>
  <c r="U782" i="1"/>
  <c r="U569" i="1"/>
  <c r="T520" i="1"/>
  <c r="U520" i="1"/>
  <c r="T449" i="1"/>
  <c r="U449" i="1"/>
  <c r="U842" i="1"/>
  <c r="U562" i="1"/>
  <c r="T553" i="1"/>
  <c r="U553" i="1"/>
  <c r="T546" i="1"/>
  <c r="U546" i="1"/>
  <c r="U924" i="1"/>
  <c r="U900" i="1"/>
  <c r="U890" i="1"/>
  <c r="U883" i="1"/>
  <c r="U878" i="1"/>
  <c r="U866" i="1"/>
  <c r="U832" i="1"/>
  <c r="U796" i="1"/>
  <c r="U810" i="1"/>
  <c r="U786" i="1"/>
  <c r="T457" i="1"/>
  <c r="U457" i="1"/>
  <c r="U934" i="1"/>
  <c r="U918" i="1"/>
  <c r="U902" i="1"/>
  <c r="U886" i="1"/>
  <c r="U870" i="1"/>
  <c r="U854" i="1"/>
  <c r="U838" i="1"/>
  <c r="U822" i="1"/>
  <c r="U806" i="1"/>
  <c r="U790" i="1"/>
  <c r="U568" i="1"/>
  <c r="U552" i="1"/>
  <c r="U427" i="1"/>
  <c r="T370" i="1"/>
  <c r="U370" i="1"/>
  <c r="T347" i="1"/>
  <c r="U347" i="1"/>
  <c r="U331" i="1"/>
  <c r="U300" i="1"/>
  <c r="U453" i="1"/>
  <c r="U565" i="1"/>
  <c r="U549" i="1"/>
  <c r="T386" i="1"/>
  <c r="U386" i="1"/>
  <c r="T363" i="1"/>
  <c r="U363" i="1"/>
  <c r="U266" i="1"/>
  <c r="U567" i="1"/>
  <c r="U558" i="1"/>
  <c r="U551" i="1"/>
  <c r="U518" i="1"/>
  <c r="U463" i="1"/>
  <c r="U455" i="1"/>
  <c r="U447" i="1"/>
  <c r="U438" i="1"/>
  <c r="U379" i="1"/>
  <c r="U279" i="1"/>
  <c r="U560" i="1"/>
  <c r="U544" i="1"/>
  <c r="T395" i="1"/>
  <c r="U395" i="1"/>
  <c r="T290" i="1"/>
  <c r="U290" i="1"/>
  <c r="T322" i="1"/>
  <c r="U322" i="1"/>
  <c r="T299" i="1"/>
  <c r="U299" i="1"/>
  <c r="U276" i="1"/>
  <c r="T428" i="1"/>
  <c r="U428" i="1"/>
  <c r="U421" i="1"/>
  <c r="T411" i="1"/>
  <c r="U411" i="1"/>
  <c r="U433" i="1"/>
  <c r="U417" i="1"/>
  <c r="U401" i="1"/>
  <c r="U385" i="1"/>
  <c r="U369" i="1"/>
  <c r="U353" i="1"/>
  <c r="U337" i="1"/>
  <c r="U321" i="1"/>
  <c r="U305" i="1"/>
  <c r="U298" i="1"/>
  <c r="U289" i="1"/>
  <c r="T269" i="1"/>
  <c r="U269" i="1"/>
  <c r="T258" i="1"/>
  <c r="U265" i="1"/>
  <c r="U302" i="1"/>
  <c r="U286" i="1"/>
  <c r="U423" i="1"/>
  <c r="U407" i="1"/>
  <c r="U400" i="1"/>
  <c r="U375" i="1"/>
  <c r="U368" i="1"/>
  <c r="U359" i="1"/>
  <c r="U352" i="1"/>
  <c r="U343" i="1"/>
  <c r="U327" i="1"/>
  <c r="U320" i="1"/>
  <c r="U311" i="1"/>
  <c r="U304" i="1"/>
  <c r="U295" i="1"/>
  <c r="T281" i="1"/>
  <c r="U281" i="1"/>
  <c r="U278" i="1"/>
  <c r="U409" i="1"/>
  <c r="U393" i="1"/>
  <c r="U377" i="1"/>
  <c r="U361" i="1"/>
  <c r="U345" i="1"/>
  <c r="U329" i="1"/>
  <c r="U313" i="1"/>
  <c r="U277" i="1"/>
  <c r="U273" i="1"/>
  <c r="U283" i="1"/>
  <c r="U280" i="1"/>
  <c r="T267" i="1"/>
  <c r="U267" i="1"/>
  <c r="U264" i="1"/>
  <c r="U248" i="1"/>
  <c r="T263" i="1"/>
  <c r="U263" i="1"/>
  <c r="U260" i="1"/>
  <c r="U244" i="1"/>
  <c r="T275" i="1"/>
  <c r="U275" i="1"/>
  <c r="U272" i="1"/>
  <c r="U256" i="1"/>
  <c r="U240" i="1"/>
  <c r="U224" i="1"/>
  <c r="U271" i="1"/>
  <c r="U268" i="1"/>
  <c r="U252" i="1"/>
  <c r="U236" i="1"/>
  <c r="U261" i="1"/>
  <c r="U259" i="1"/>
  <c r="U257" i="1"/>
  <c r="U253" i="1"/>
  <c r="U251" i="1"/>
  <c r="U249" i="1"/>
  <c r="U247" i="1"/>
  <c r="U245" i="1"/>
  <c r="U243" i="1"/>
  <c r="U241" i="1"/>
  <c r="U239" i="1"/>
  <c r="U237" i="1"/>
  <c r="U235" i="1"/>
  <c r="U233" i="1"/>
  <c r="U229" i="1"/>
  <c r="U225" i="1"/>
  <c r="U112" i="1"/>
  <c r="U110" i="1"/>
  <c r="U108" i="1"/>
  <c r="U106" i="1"/>
  <c r="U104" i="1"/>
  <c r="U102" i="1"/>
  <c r="U100" i="1"/>
  <c r="U98" i="1"/>
  <c r="U96" i="1"/>
  <c r="U94" i="1"/>
  <c r="U92" i="1"/>
  <c r="U90" i="1"/>
  <c r="U88" i="1"/>
  <c r="U85" i="1"/>
  <c r="U83" i="1"/>
  <c r="U81" i="1"/>
  <c r="U79" i="1"/>
  <c r="U77" i="1"/>
  <c r="U75" i="1"/>
  <c r="U73" i="1"/>
  <c r="U69" i="1"/>
  <c r="U19" i="1"/>
  <c r="U66" i="1"/>
  <c r="U64" i="1"/>
  <c r="U62" i="1"/>
  <c r="U60" i="1"/>
  <c r="U58" i="1"/>
  <c r="U56" i="1"/>
  <c r="U54" i="1"/>
  <c r="U52" i="1"/>
  <c r="U50" i="1"/>
  <c r="U48" i="1"/>
  <c r="U46" i="1"/>
  <c r="U44" i="1"/>
  <c r="U41" i="1"/>
  <c r="U39" i="1"/>
  <c r="U35" i="1"/>
  <c r="U33" i="1"/>
  <c r="U31" i="1"/>
  <c r="U29" i="1"/>
  <c r="U27" i="1"/>
  <c r="U25" i="1"/>
  <c r="U23" i="1"/>
  <c r="U21" i="1"/>
  <c r="Z20" i="1" l="1"/>
  <c r="Y20" i="1"/>
  <c r="Q2662" i="1"/>
  <c r="Z2271" i="1"/>
  <c r="Z1331" i="1"/>
  <c r="Z1688" i="1"/>
  <c r="Z1421" i="1"/>
  <c r="Z2147" i="1"/>
  <c r="Y1207" i="1"/>
  <c r="Y1448" i="1"/>
  <c r="Z1207" i="1"/>
  <c r="Y1127" i="1"/>
  <c r="W2152" i="1"/>
  <c r="Z2152" i="1" s="1"/>
  <c r="W2268" i="1"/>
  <c r="Y2268" i="1" s="1"/>
  <c r="X1341" i="1"/>
  <c r="Z1652" i="1"/>
  <c r="Y1596" i="1"/>
  <c r="W2314" i="1"/>
  <c r="Z2314" i="1" s="1"/>
  <c r="X2271" i="1"/>
  <c r="X325" i="1"/>
  <c r="Y1334" i="1"/>
  <c r="Y2271" i="1"/>
  <c r="Y325" i="1"/>
  <c r="Z1341" i="1"/>
  <c r="Y1652" i="1"/>
  <c r="X1596" i="1"/>
  <c r="Y2309" i="1"/>
  <c r="W2264" i="1"/>
  <c r="X2264" i="1" s="1"/>
  <c r="Y205" i="1"/>
  <c r="Z469" i="1"/>
  <c r="X32" i="1"/>
  <c r="X1127" i="1"/>
  <c r="Y1629" i="1"/>
  <c r="Z1629" i="1"/>
  <c r="X1629" i="1"/>
  <c r="Z1257" i="1"/>
  <c r="X1257" i="1"/>
  <c r="Y1257" i="1"/>
  <c r="X469" i="1"/>
  <c r="Z1705" i="1"/>
  <c r="Z655" i="1"/>
  <c r="X2267" i="1"/>
  <c r="W2151" i="1"/>
  <c r="X2151" i="1" s="1"/>
  <c r="W2150" i="1"/>
  <c r="X2150" i="1" s="1"/>
  <c r="Z1680" i="1"/>
  <c r="Z2267" i="1"/>
  <c r="W2148" i="1"/>
  <c r="Y1680" i="1"/>
  <c r="Y2147" i="1"/>
  <c r="Z926" i="1"/>
  <c r="X926" i="1"/>
  <c r="Y926" i="1"/>
  <c r="W2149" i="1"/>
  <c r="Y1688" i="1"/>
  <c r="X1705" i="1"/>
  <c r="Y2261" i="1"/>
  <c r="Y1331" i="1"/>
  <c r="W2277" i="1"/>
  <c r="Y655" i="1"/>
  <c r="Z1684" i="1"/>
  <c r="Y1684" i="1"/>
  <c r="Z1334" i="1"/>
  <c r="X1130" i="1"/>
  <c r="Y1130" i="1"/>
  <c r="Z1130" i="1"/>
  <c r="Z2313" i="1"/>
  <c r="X2313" i="1"/>
  <c r="Y2313" i="1"/>
  <c r="Y1421" i="1"/>
  <c r="W327" i="1"/>
  <c r="X327" i="1" s="1"/>
  <c r="W2270" i="1"/>
  <c r="X2270" i="1" s="1"/>
  <c r="Z2261" i="1"/>
  <c r="X1531" i="1"/>
  <c r="W2274" i="1"/>
  <c r="Z2274" i="1" s="1"/>
  <c r="Y1531" i="1"/>
  <c r="W2312" i="1"/>
  <c r="Y2312" i="1" s="1"/>
  <c r="X2309" i="1"/>
  <c r="Z2309" i="1"/>
  <c r="W2310" i="1"/>
  <c r="Z2310" i="1" s="1"/>
  <c r="W2311" i="1"/>
  <c r="W2275" i="1"/>
  <c r="W2269" i="1"/>
  <c r="Z2269" i="1" s="1"/>
  <c r="Z2273" i="1"/>
  <c r="Z2371" i="1"/>
  <c r="Y2371" i="1"/>
  <c r="Z1584" i="1"/>
  <c r="X2371" i="1"/>
  <c r="X1584" i="1"/>
  <c r="X1223" i="1"/>
  <c r="Z1223" i="1"/>
  <c r="Y1223" i="1"/>
  <c r="U354" i="1"/>
  <c r="Y1214" i="1"/>
  <c r="Z1214" i="1"/>
  <c r="X1214" i="1"/>
  <c r="Z1239" i="1"/>
  <c r="X1218" i="1"/>
  <c r="Y1218" i="1"/>
  <c r="Z1218" i="1"/>
  <c r="Y1239" i="1"/>
  <c r="Y1212" i="1"/>
  <c r="Z1212" i="1"/>
  <c r="X132" i="1"/>
  <c r="Y132" i="1"/>
  <c r="Z132" i="1"/>
  <c r="X1212" i="1"/>
  <c r="Y2262" i="1"/>
  <c r="X2262" i="1"/>
  <c r="W2266" i="1"/>
  <c r="X2273" i="1"/>
  <c r="X1317" i="1"/>
  <c r="Y1317" i="1"/>
  <c r="Z1317" i="1"/>
  <c r="Y1542" i="1"/>
  <c r="X1542" i="1"/>
  <c r="Z1542" i="1"/>
  <c r="Y1512" i="1"/>
  <c r="Z1512" i="1"/>
  <c r="X1512" i="1"/>
  <c r="X199" i="1"/>
  <c r="Z199" i="1"/>
  <c r="Y199" i="1"/>
  <c r="X2613" i="1"/>
  <c r="Z2613" i="1"/>
  <c r="Y2613" i="1"/>
  <c r="Z1516" i="1"/>
  <c r="Y1516" i="1"/>
  <c r="X1516" i="1"/>
  <c r="Z2617" i="1"/>
  <c r="X2617" i="1"/>
  <c r="Z1524" i="1"/>
  <c r="X1524" i="1"/>
  <c r="X2642" i="1"/>
  <c r="Z2642" i="1"/>
  <c r="Y2642" i="1"/>
  <c r="Z2262" i="1"/>
  <c r="W2272" i="1"/>
  <c r="Y2267" i="1"/>
  <c r="Y32" i="1"/>
  <c r="X2261" i="1"/>
  <c r="W2276" i="1"/>
  <c r="Y1536" i="1"/>
  <c r="X1536" i="1"/>
  <c r="Z1536" i="1"/>
  <c r="Y1079" i="1"/>
  <c r="Z1079" i="1"/>
  <c r="X1079" i="1"/>
  <c r="Y2650" i="1"/>
  <c r="Z2650" i="1"/>
  <c r="X2650" i="1"/>
  <c r="W2263" i="1"/>
  <c r="W2265" i="1"/>
  <c r="Y1540" i="1"/>
  <c r="X1540" i="1"/>
  <c r="X1266" i="1"/>
  <c r="Z1266" i="1"/>
  <c r="Y1266" i="1"/>
  <c r="Z397" i="1"/>
  <c r="W398" i="1"/>
  <c r="W402" i="1"/>
  <c r="Y402" i="1" s="1"/>
  <c r="W399" i="1"/>
  <c r="Z399" i="1" s="1"/>
  <c r="W400" i="1"/>
  <c r="Y400" i="1" s="1"/>
  <c r="W401" i="1"/>
  <c r="X401" i="1" s="1"/>
  <c r="X397" i="1"/>
  <c r="Y397" i="1"/>
  <c r="X658" i="1"/>
  <c r="Y658" i="1"/>
  <c r="Z658" i="1"/>
  <c r="Z2266" i="1"/>
  <c r="W2278" i="1"/>
  <c r="Z2278" i="1" s="1"/>
  <c r="Z539" i="1"/>
  <c r="X539" i="1"/>
  <c r="Y539" i="1"/>
  <c r="X1270" i="1"/>
  <c r="Y1270" i="1"/>
  <c r="Z1270" i="1"/>
  <c r="Z1315" i="1"/>
  <c r="X1315" i="1"/>
  <c r="Y1315" i="1"/>
  <c r="Y981" i="1"/>
  <c r="X981" i="1"/>
  <c r="Z981" i="1"/>
  <c r="Z319" i="1"/>
  <c r="Y1524" i="1"/>
  <c r="X1094" i="1"/>
  <c r="Y1094" i="1"/>
  <c r="Z1094" i="1"/>
  <c r="X1565" i="1"/>
  <c r="Z1565" i="1"/>
  <c r="Y1565" i="1"/>
  <c r="Z1447" i="1"/>
  <c r="X1447" i="1"/>
  <c r="Y1447" i="1"/>
  <c r="Z1448" i="1"/>
  <c r="Y319" i="1"/>
  <c r="X1357" i="1"/>
  <c r="Y1357" i="1"/>
  <c r="Z1357" i="1"/>
  <c r="Y1501" i="1"/>
  <c r="X1501" i="1"/>
  <c r="Z1501" i="1"/>
  <c r="X1494" i="1"/>
  <c r="Y1494" i="1"/>
  <c r="Z1494" i="1"/>
  <c r="W2372" i="1"/>
  <c r="X2372" i="1" s="1"/>
  <c r="W2373" i="1"/>
  <c r="Y2369" i="1"/>
  <c r="W2374" i="1"/>
  <c r="Z2374" i="1" s="1"/>
  <c r="X2369" i="1"/>
  <c r="Z2369" i="1"/>
  <c r="W2370" i="1"/>
  <c r="X1456" i="1"/>
  <c r="Y1456" i="1"/>
  <c r="Z1456" i="1"/>
  <c r="W2132" i="1"/>
  <c r="X2132" i="1" s="1"/>
  <c r="W2131" i="1"/>
  <c r="W2134" i="1"/>
  <c r="X2129" i="1"/>
  <c r="Y2129" i="1"/>
  <c r="Z2129" i="1"/>
  <c r="W2130" i="1"/>
  <c r="Z1476" i="1"/>
  <c r="X1476" i="1"/>
  <c r="Y1476" i="1"/>
  <c r="Y1047" i="1"/>
  <c r="X1047" i="1"/>
  <c r="Z1047" i="1"/>
  <c r="Z124" i="1"/>
  <c r="X124" i="1"/>
  <c r="Y124" i="1"/>
  <c r="X205" i="1"/>
  <c r="X202" i="1"/>
  <c r="Y202" i="1"/>
  <c r="Z202" i="1"/>
  <c r="Y1628" i="1"/>
  <c r="Z1628" i="1"/>
  <c r="X1628" i="1"/>
  <c r="X1336" i="1"/>
  <c r="Y1336" i="1"/>
  <c r="Z1336" i="1"/>
  <c r="X781" i="1"/>
  <c r="Y781" i="1"/>
  <c r="Z781" i="1"/>
  <c r="X1343" i="1"/>
  <c r="Y1343" i="1"/>
  <c r="Z1343" i="1"/>
  <c r="Z1135" i="1"/>
  <c r="X1135" i="1"/>
  <c r="Y1135" i="1"/>
  <c r="W2133" i="1"/>
  <c r="X1129" i="1"/>
  <c r="Z1129" i="1"/>
  <c r="Y1129" i="1"/>
  <c r="X1347" i="1"/>
  <c r="Y1347" i="1"/>
  <c r="Z1347" i="1"/>
  <c r="Z1215" i="1"/>
  <c r="X1215" i="1"/>
  <c r="W320" i="1"/>
  <c r="X320" i="1" s="1"/>
  <c r="X76" i="1"/>
  <c r="Y76" i="1"/>
  <c r="Z76" i="1"/>
  <c r="Z1209" i="1"/>
  <c r="X1209" i="1"/>
  <c r="Y1209" i="1"/>
  <c r="Z795" i="1"/>
  <c r="X795" i="1"/>
  <c r="Y795" i="1"/>
  <c r="Y1355" i="1"/>
  <c r="Z1355" i="1"/>
  <c r="X1355" i="1"/>
  <c r="Y1499" i="1"/>
  <c r="Z1499" i="1"/>
  <c r="X1499" i="1"/>
  <c r="X502" i="1"/>
  <c r="Y502" i="1"/>
  <c r="Z502" i="1"/>
  <c r="X1295" i="1"/>
  <c r="Y1295" i="1"/>
  <c r="Z1295" i="1"/>
  <c r="X1002" i="1"/>
  <c r="Y1002" i="1"/>
  <c r="Z1002" i="1"/>
  <c r="X1442" i="1"/>
  <c r="Y1442" i="1"/>
  <c r="Z1442" i="1"/>
  <c r="U255" i="1"/>
  <c r="W321" i="1"/>
  <c r="X1205" i="1"/>
  <c r="Y1205" i="1"/>
  <c r="Z1205" i="1"/>
  <c r="X101" i="1"/>
  <c r="Y101" i="1"/>
  <c r="Z101" i="1"/>
  <c r="X1111" i="1"/>
  <c r="Y1111" i="1"/>
  <c r="Z1111" i="1"/>
  <c r="X1120" i="1"/>
  <c r="Y1120" i="1"/>
  <c r="Z1120" i="1"/>
  <c r="X524" i="1"/>
  <c r="Y524" i="1"/>
  <c r="Z524" i="1"/>
  <c r="X1382" i="1"/>
  <c r="Y1382" i="1"/>
  <c r="Z1382" i="1"/>
  <c r="Z1289" i="1"/>
  <c r="X1289" i="1"/>
  <c r="Y1289" i="1"/>
  <c r="Z999" i="1"/>
  <c r="X999" i="1"/>
  <c r="Y999" i="1"/>
  <c r="Z109" i="1"/>
  <c r="X109" i="1"/>
  <c r="Y109" i="1"/>
  <c r="X1271" i="1"/>
  <c r="Y1271" i="1"/>
  <c r="Z1271" i="1"/>
  <c r="X1222" i="1"/>
  <c r="Z1222" i="1"/>
  <c r="Z1136" i="1"/>
  <c r="X1136" i="1"/>
  <c r="Y1136" i="1"/>
  <c r="Z1480" i="1"/>
  <c r="X1480" i="1"/>
  <c r="Y1480" i="1"/>
  <c r="W2336" i="1"/>
  <c r="X2336" i="1" s="1"/>
  <c r="W2334" i="1"/>
  <c r="W2335" i="1"/>
  <c r="W2337" i="1"/>
  <c r="W2338" i="1"/>
  <c r="Y2338" i="1" s="1"/>
  <c r="X2333" i="1"/>
  <c r="Y2333" i="1"/>
  <c r="Z2333" i="1"/>
  <c r="Z1305" i="1"/>
  <c r="X1305" i="1"/>
  <c r="Y1305" i="1"/>
  <c r="Z1383" i="1"/>
  <c r="X1383" i="1"/>
  <c r="Y1383" i="1"/>
  <c r="Z114" i="1"/>
  <c r="X114" i="1"/>
  <c r="Y114" i="1"/>
  <c r="Y1279" i="1"/>
  <c r="X1279" i="1"/>
  <c r="Z1279" i="1"/>
  <c r="X714" i="1"/>
  <c r="Y714" i="1"/>
  <c r="Z714" i="1"/>
  <c r="X1192" i="1"/>
  <c r="Y1192" i="1"/>
  <c r="Z1192" i="1"/>
  <c r="Z1574" i="1"/>
  <c r="X1574" i="1"/>
  <c r="Y1574" i="1"/>
  <c r="X117" i="1"/>
  <c r="Y117" i="1"/>
  <c r="Z117" i="1"/>
  <c r="Z1379" i="1"/>
  <c r="X1379" i="1"/>
  <c r="Y1379" i="1"/>
  <c r="X1415" i="1"/>
  <c r="Y1415" i="1"/>
  <c r="Z1415" i="1"/>
  <c r="W328" i="1"/>
  <c r="W329" i="1"/>
  <c r="X329" i="1" s="1"/>
  <c r="W330" i="1"/>
  <c r="Y330" i="1" s="1"/>
  <c r="X1302" i="1"/>
  <c r="Y1302" i="1"/>
  <c r="Z1302" i="1"/>
  <c r="X802" i="1"/>
  <c r="Y802" i="1"/>
  <c r="Z802" i="1"/>
  <c r="Y1581" i="1"/>
  <c r="X1581" i="1"/>
  <c r="Z1581" i="1"/>
  <c r="Y1196" i="1"/>
  <c r="X1196" i="1"/>
  <c r="Z1196" i="1"/>
  <c r="Y1683" i="1"/>
  <c r="Z1683" i="1"/>
  <c r="X1683" i="1"/>
  <c r="W2318" i="1"/>
  <c r="Y2318" i="1" s="1"/>
  <c r="Y2315" i="1"/>
  <c r="Z2315" i="1"/>
  <c r="W2316" i="1"/>
  <c r="W2317" i="1"/>
  <c r="W2320" i="1"/>
  <c r="X2315" i="1"/>
  <c r="W2319" i="1"/>
  <c r="X330" i="1"/>
  <c r="W326" i="1"/>
  <c r="Z708" i="1"/>
  <c r="Y708" i="1"/>
  <c r="X708" i="1"/>
  <c r="Z1485" i="1"/>
  <c r="X1485" i="1"/>
  <c r="Y1485" i="1"/>
  <c r="Z1446" i="1"/>
  <c r="X1446" i="1"/>
  <c r="Y1446" i="1"/>
  <c r="X705" i="1"/>
  <c r="Y705" i="1"/>
  <c r="Z705" i="1"/>
  <c r="Z1310" i="1"/>
  <c r="X1310" i="1"/>
  <c r="Y1310" i="1"/>
  <c r="X853" i="1"/>
  <c r="Y853" i="1"/>
  <c r="Z853" i="1"/>
  <c r="X1682" i="1"/>
  <c r="Z1682" i="1"/>
  <c r="Y1682" i="1"/>
  <c r="Y1292" i="1"/>
  <c r="X1292" i="1"/>
  <c r="Z1292" i="1"/>
  <c r="W2330" i="1"/>
  <c r="W2332" i="1"/>
  <c r="X2332" i="1" s="1"/>
  <c r="W2328" i="1"/>
  <c r="Z2328" i="1" s="1"/>
  <c r="W2329" i="1"/>
  <c r="W2331" i="1"/>
  <c r="X2331" i="1" s="1"/>
  <c r="X2327" i="1"/>
  <c r="Y2327" i="1"/>
  <c r="Z2327" i="1"/>
  <c r="X716" i="1"/>
  <c r="Y716" i="1"/>
  <c r="Z716" i="1"/>
  <c r="X1508" i="1"/>
  <c r="Y1508" i="1"/>
  <c r="Z1508" i="1"/>
  <c r="Y30" i="1"/>
  <c r="X30" i="1"/>
  <c r="Z30" i="1"/>
  <c r="X766" i="1"/>
  <c r="Y766" i="1"/>
  <c r="Z766" i="1"/>
  <c r="X1568" i="1"/>
  <c r="Y1568" i="1"/>
  <c r="Z1568" i="1"/>
  <c r="Z1483" i="1"/>
  <c r="X1483" i="1"/>
  <c r="Y1483" i="1"/>
  <c r="X1694" i="1"/>
  <c r="Y1694" i="1"/>
  <c r="Z1694" i="1"/>
  <c r="X1319" i="1"/>
  <c r="Y1319" i="1"/>
  <c r="Z1319" i="1"/>
  <c r="Y765" i="1"/>
  <c r="X765" i="1"/>
  <c r="Z765" i="1"/>
  <c r="Z1563" i="1"/>
  <c r="X1563" i="1"/>
  <c r="Y1563" i="1"/>
  <c r="X873" i="1"/>
  <c r="Z873" i="1"/>
  <c r="Y873" i="1"/>
  <c r="Z1742" i="1"/>
  <c r="X1742" i="1"/>
  <c r="Y1742" i="1"/>
  <c r="X1502" i="1"/>
  <c r="Y1502" i="1"/>
  <c r="Z1502" i="1"/>
  <c r="W2288" i="1"/>
  <c r="Z2288" i="1" s="1"/>
  <c r="X2285" i="1"/>
  <c r="Y2285" i="1"/>
  <c r="W2286" i="1"/>
  <c r="Z2285" i="1"/>
  <c r="W2287" i="1"/>
  <c r="W2289" i="1"/>
  <c r="W2290" i="1"/>
  <c r="X2290" i="1" s="1"/>
  <c r="Z1323" i="1"/>
  <c r="X1323" i="1"/>
  <c r="Y1323" i="1"/>
  <c r="W2342" i="1"/>
  <c r="W2344" i="1"/>
  <c r="Y2339" i="1"/>
  <c r="Z2339" i="1"/>
  <c r="W2340" i="1"/>
  <c r="X2340" i="1" s="1"/>
  <c r="W2341" i="1"/>
  <c r="Z2341" i="1" s="1"/>
  <c r="W2343" i="1"/>
  <c r="Z2343" i="1" s="1"/>
  <c r="X2339" i="1"/>
  <c r="X1193" i="1"/>
  <c r="Y1193" i="1"/>
  <c r="Z1193" i="1"/>
  <c r="X1615" i="1"/>
  <c r="Y1615" i="1"/>
  <c r="Z1615" i="1"/>
  <c r="X525" i="1"/>
  <c r="Y525" i="1"/>
  <c r="Z525" i="1"/>
  <c r="X97" i="1"/>
  <c r="Y97" i="1"/>
  <c r="Z97" i="1"/>
  <c r="Y1099" i="1"/>
  <c r="X1099" i="1"/>
  <c r="Z1099" i="1"/>
  <c r="W1859" i="1"/>
  <c r="Z1859" i="1" s="1"/>
  <c r="Y1858" i="1"/>
  <c r="Z1858" i="1"/>
  <c r="W1860" i="1"/>
  <c r="W1861" i="1"/>
  <c r="X1861" i="1" s="1"/>
  <c r="X1858" i="1"/>
  <c r="X1108" i="1"/>
  <c r="Y1108" i="1"/>
  <c r="Z1108" i="1"/>
  <c r="W322" i="1"/>
  <c r="Z322" i="1" s="1"/>
  <c r="W323" i="1"/>
  <c r="W324" i="1"/>
  <c r="Z1366" i="1"/>
  <c r="X1366" i="1"/>
  <c r="Y1366" i="1"/>
  <c r="X1093" i="1"/>
  <c r="Y1093" i="1"/>
  <c r="Z1093" i="1"/>
  <c r="W2300" i="1"/>
  <c r="Z2300" i="1" s="1"/>
  <c r="Y2297" i="1"/>
  <c r="W2301" i="1"/>
  <c r="W2302" i="1"/>
  <c r="Z2302" i="1" s="1"/>
  <c r="X2297" i="1"/>
  <c r="Z2297" i="1"/>
  <c r="W2298" i="1"/>
  <c r="Z2298" i="1" s="1"/>
  <c r="W2299" i="1"/>
  <c r="X728" i="1"/>
  <c r="Y728" i="1"/>
  <c r="Z728" i="1"/>
  <c r="Y1403" i="1"/>
  <c r="Z1403" i="1"/>
  <c r="X1403" i="1"/>
  <c r="X1231" i="1"/>
  <c r="Y1231" i="1"/>
  <c r="Z1231" i="1"/>
  <c r="X872" i="1"/>
  <c r="Y872" i="1"/>
  <c r="Z872" i="1"/>
  <c r="X1255" i="1"/>
  <c r="Y1255" i="1"/>
  <c r="Z1255" i="1"/>
  <c r="Y1034" i="1"/>
  <c r="Z1034" i="1"/>
  <c r="X1034" i="1"/>
  <c r="X70" i="1"/>
  <c r="Y70" i="1"/>
  <c r="Z70" i="1"/>
  <c r="X1097" i="1"/>
  <c r="Y1097" i="1"/>
  <c r="Z1097" i="1"/>
  <c r="X1360" i="1"/>
  <c r="Y1360" i="1"/>
  <c r="Z1360" i="1"/>
  <c r="X739" i="1"/>
  <c r="Y739" i="1"/>
  <c r="Z739" i="1"/>
  <c r="X1430" i="1"/>
  <c r="Y1430" i="1"/>
  <c r="Z1430" i="1"/>
  <c r="Z538" i="1"/>
  <c r="X538" i="1"/>
  <c r="Y538" i="1"/>
  <c r="X1261" i="1"/>
  <c r="Y1261" i="1"/>
  <c r="Z1261" i="1"/>
  <c r="Z1246" i="1"/>
  <c r="X1246" i="1"/>
  <c r="Y1246" i="1"/>
  <c r="Z1474" i="1"/>
  <c r="X1474" i="1"/>
  <c r="Y1474" i="1"/>
  <c r="X884" i="1"/>
  <c r="Y884" i="1"/>
  <c r="Z884" i="1"/>
  <c r="X1273" i="1"/>
  <c r="Y1273" i="1"/>
  <c r="Z1273" i="1"/>
  <c r="W2323" i="1"/>
  <c r="W2324" i="1"/>
  <c r="Z2324" i="1" s="1"/>
  <c r="X2321" i="1"/>
  <c r="W2325" i="1"/>
  <c r="W2326" i="1"/>
  <c r="Y2321" i="1"/>
  <c r="Z2321" i="1"/>
  <c r="W2322" i="1"/>
  <c r="Y2322" i="1" s="1"/>
  <c r="X1510" i="1"/>
  <c r="Y1510" i="1"/>
  <c r="Z1510" i="1"/>
  <c r="X182" i="1"/>
  <c r="Y182" i="1"/>
  <c r="Z182" i="1"/>
  <c r="Y662" i="1"/>
  <c r="Z662" i="1"/>
  <c r="X662" i="1"/>
  <c r="X1149" i="1"/>
  <c r="Y1149" i="1"/>
  <c r="Z1149" i="1"/>
  <c r="Z1375" i="1"/>
  <c r="Y1375" i="1"/>
  <c r="X1375" i="1"/>
  <c r="X91" i="1"/>
  <c r="Y91" i="1"/>
  <c r="Z91" i="1"/>
  <c r="X1488" i="1"/>
  <c r="Y1488" i="1"/>
  <c r="Z1488" i="1"/>
  <c r="Z843" i="1"/>
  <c r="X843" i="1"/>
  <c r="Y843" i="1"/>
  <c r="X1294" i="1"/>
  <c r="Y1294" i="1"/>
  <c r="Z1294" i="1"/>
  <c r="X1269" i="1"/>
  <c r="Y1269" i="1"/>
  <c r="Z1269" i="1"/>
  <c r="Z1504" i="1"/>
  <c r="X1504" i="1"/>
  <c r="Y1504" i="1"/>
  <c r="X2042" i="1"/>
  <c r="Y2042" i="1"/>
  <c r="Z2042" i="1"/>
  <c r="W2043" i="1"/>
  <c r="W2044" i="1"/>
  <c r="W2045" i="1"/>
  <c r="X2633" i="1"/>
  <c r="Y2633" i="1"/>
  <c r="Z2633" i="1"/>
  <c r="Z517" i="1"/>
  <c r="X517" i="1"/>
  <c r="Y517" i="1"/>
  <c r="X1303" i="1"/>
  <c r="Y1303" i="1"/>
  <c r="Z1303" i="1"/>
  <c r="X666" i="1"/>
  <c r="Y666" i="1"/>
  <c r="Z666" i="1"/>
  <c r="X1153" i="1"/>
  <c r="Y1153" i="1"/>
  <c r="Z1153" i="1"/>
  <c r="X1394" i="1"/>
  <c r="Y1394" i="1"/>
  <c r="Z1394" i="1"/>
  <c r="W2120" i="1"/>
  <c r="W2121" i="1"/>
  <c r="Y2121" i="1" s="1"/>
  <c r="W2122" i="1"/>
  <c r="X2122" i="1" s="1"/>
  <c r="X2117" i="1"/>
  <c r="Y2117" i="1"/>
  <c r="Z2117" i="1"/>
  <c r="W2118" i="1"/>
  <c r="Z2118" i="1" s="1"/>
  <c r="W2119" i="1"/>
  <c r="X95" i="1"/>
  <c r="Y95" i="1"/>
  <c r="Z95" i="1"/>
  <c r="X748" i="1"/>
  <c r="Y748" i="1"/>
  <c r="Z748" i="1"/>
  <c r="Z1241" i="1"/>
  <c r="X1241" i="1"/>
  <c r="Y1241" i="1"/>
  <c r="X1526" i="1"/>
  <c r="Y1526" i="1"/>
  <c r="Z1526" i="1"/>
  <c r="X925" i="1"/>
  <c r="Y925" i="1"/>
  <c r="Z925" i="1"/>
  <c r="X1182" i="1"/>
  <c r="Y1182" i="1"/>
  <c r="Z1182" i="1"/>
  <c r="X1392" i="1"/>
  <c r="Y1392" i="1"/>
  <c r="Z1392" i="1"/>
  <c r="Z1298" i="1"/>
  <c r="X1298" i="1"/>
  <c r="Y1298" i="1"/>
  <c r="X1600" i="1"/>
  <c r="Y1600" i="1"/>
  <c r="Z1600" i="1"/>
  <c r="W2114" i="1"/>
  <c r="W2113" i="1"/>
  <c r="W2115" i="1"/>
  <c r="W2116" i="1"/>
  <c r="X2112" i="1"/>
  <c r="Y2112" i="1"/>
  <c r="Z2112" i="1"/>
  <c r="X681" i="1"/>
  <c r="Y681" i="1"/>
  <c r="Z681" i="1"/>
  <c r="Z1363" i="1"/>
  <c r="X1363" i="1"/>
  <c r="Y1363" i="1"/>
  <c r="Z2102" i="1"/>
  <c r="W2103" i="1"/>
  <c r="W2104" i="1"/>
  <c r="W2105" i="1"/>
  <c r="Z2105" i="1" s="1"/>
  <c r="W2106" i="1"/>
  <c r="X2102" i="1"/>
  <c r="Y2102" i="1"/>
  <c r="U297" i="1"/>
  <c r="X976" i="1"/>
  <c r="Y976" i="1"/>
  <c r="Z976" i="1"/>
  <c r="X1229" i="1"/>
  <c r="Y1229" i="1"/>
  <c r="Z1229" i="1"/>
  <c r="X1406" i="1"/>
  <c r="Y1406" i="1"/>
  <c r="Z1406" i="1"/>
  <c r="Y111" i="1"/>
  <c r="Z111" i="1"/>
  <c r="X111" i="1"/>
  <c r="Y756" i="1"/>
  <c r="Z756" i="1"/>
  <c r="X756" i="1"/>
  <c r="Z1278" i="1"/>
  <c r="X1278" i="1"/>
  <c r="Y1278" i="1"/>
  <c r="Y949" i="1"/>
  <c r="Z949" i="1"/>
  <c r="X949" i="1"/>
  <c r="Y1198" i="1"/>
  <c r="Z1198" i="1"/>
  <c r="X1198" i="1"/>
  <c r="Z1454" i="1"/>
  <c r="X1454" i="1"/>
  <c r="Y1454" i="1"/>
  <c r="X1350" i="1"/>
  <c r="Y1350" i="1"/>
  <c r="Z1350" i="1"/>
  <c r="W2224" i="1"/>
  <c r="Y2224" i="1" s="1"/>
  <c r="X2219" i="1"/>
  <c r="Y2219" i="1"/>
  <c r="Z2219" i="1"/>
  <c r="W2220" i="1"/>
  <c r="W2222" i="1"/>
  <c r="W2221" i="1"/>
  <c r="Z2221" i="1" s="1"/>
  <c r="W2223" i="1"/>
  <c r="X1543" i="1"/>
  <c r="Y1543" i="1"/>
  <c r="Z1543" i="1"/>
  <c r="X738" i="1"/>
  <c r="Y738" i="1"/>
  <c r="Z738" i="1"/>
  <c r="X1225" i="1"/>
  <c r="Y1225" i="1"/>
  <c r="Z1225" i="1"/>
  <c r="X403" i="1"/>
  <c r="Y403" i="1"/>
  <c r="Z403" i="1"/>
  <c r="W404" i="1"/>
  <c r="W405" i="1"/>
  <c r="W408" i="1"/>
  <c r="Y408" i="1" s="1"/>
  <c r="W406" i="1"/>
  <c r="W407" i="1"/>
  <c r="X980" i="1"/>
  <c r="Y980" i="1"/>
  <c r="Z980" i="1"/>
  <c r="X1244" i="1"/>
  <c r="Y1244" i="1"/>
  <c r="Z1244" i="1"/>
  <c r="X1308" i="1"/>
  <c r="Y1308" i="1"/>
  <c r="Z1308" i="1"/>
  <c r="X1575" i="1"/>
  <c r="Y1575" i="1"/>
  <c r="Z1575" i="1"/>
  <c r="X1202" i="1"/>
  <c r="Y1202" i="1"/>
  <c r="Z1202" i="1"/>
  <c r="X1500" i="1"/>
  <c r="Y1500" i="1"/>
  <c r="Z1500" i="1"/>
  <c r="X672" i="1"/>
  <c r="Y672" i="1"/>
  <c r="Z672" i="1"/>
  <c r="Z1431" i="1"/>
  <c r="X1431" i="1"/>
  <c r="Y1431" i="1"/>
  <c r="X1547" i="1"/>
  <c r="Y1547" i="1"/>
  <c r="Z1547" i="1"/>
  <c r="X2231" i="1"/>
  <c r="W2236" i="1"/>
  <c r="Y2231" i="1"/>
  <c r="Z2231" i="1"/>
  <c r="W2232" i="1"/>
  <c r="W2233" i="1"/>
  <c r="X2233" i="1" s="1"/>
  <c r="W2234" i="1"/>
  <c r="W2235" i="1"/>
  <c r="X751" i="1"/>
  <c r="Y751" i="1"/>
  <c r="Z751" i="1"/>
  <c r="W2353" i="1"/>
  <c r="W2354" i="1"/>
  <c r="X2351" i="1"/>
  <c r="W2355" i="1"/>
  <c r="W2356" i="1"/>
  <c r="Y2356" i="1" s="1"/>
  <c r="Y2351" i="1"/>
  <c r="Z2351" i="1"/>
  <c r="W2352" i="1"/>
  <c r="Y2352" i="1" s="1"/>
  <c r="Z991" i="1"/>
  <c r="X991" i="1"/>
  <c r="Y991" i="1"/>
  <c r="Y1525" i="1"/>
  <c r="Z1525" i="1"/>
  <c r="X1525" i="1"/>
  <c r="Z889" i="1"/>
  <c r="X889" i="1"/>
  <c r="Y889" i="1"/>
  <c r="Z1349" i="1"/>
  <c r="X1349" i="1"/>
  <c r="Y1349" i="1"/>
  <c r="X1206" i="1"/>
  <c r="Y1206" i="1"/>
  <c r="Z1206" i="1"/>
  <c r="X2026" i="1"/>
  <c r="Y2026" i="1"/>
  <c r="Z2026" i="1"/>
  <c r="W2027" i="1"/>
  <c r="X2027" i="1" s="1"/>
  <c r="W2028" i="1"/>
  <c r="Z2028" i="1" s="1"/>
  <c r="W2029" i="1"/>
  <c r="Y2029" i="1" s="1"/>
  <c r="Z137" i="1"/>
  <c r="X137" i="1"/>
  <c r="Y137" i="1"/>
  <c r="X1451" i="1"/>
  <c r="Y1451" i="1"/>
  <c r="Z1451" i="1"/>
  <c r="X220" i="1"/>
  <c r="Y220" i="1"/>
  <c r="Z220" i="1"/>
  <c r="X1559" i="1"/>
  <c r="Y1559" i="1"/>
  <c r="Z1559" i="1"/>
  <c r="X983" i="1"/>
  <c r="Y983" i="1"/>
  <c r="Z983" i="1"/>
  <c r="X373" i="1"/>
  <c r="Y373" i="1"/>
  <c r="Z373" i="1"/>
  <c r="W374" i="1"/>
  <c r="W375" i="1"/>
  <c r="W376" i="1"/>
  <c r="W377" i="1"/>
  <c r="X377" i="1" s="1"/>
  <c r="W378" i="1"/>
  <c r="Y378" i="1" s="1"/>
  <c r="Z1333" i="1"/>
  <c r="X1333" i="1"/>
  <c r="Y1333" i="1"/>
  <c r="W2282" i="1"/>
  <c r="W2283" i="1"/>
  <c r="W2284" i="1"/>
  <c r="X2279" i="1"/>
  <c r="Y2279" i="1"/>
  <c r="Z2279" i="1"/>
  <c r="W2280" i="1"/>
  <c r="W2281" i="1"/>
  <c r="Z691" i="1"/>
  <c r="X691" i="1"/>
  <c r="Y691" i="1"/>
  <c r="X1368" i="1"/>
  <c r="Y1368" i="1"/>
  <c r="Z1368" i="1"/>
  <c r="Z1715" i="1"/>
  <c r="X1715" i="1"/>
  <c r="Y1715" i="1"/>
  <c r="X1234" i="1"/>
  <c r="Y1234" i="1"/>
  <c r="Z1234" i="1"/>
  <c r="X1183" i="1"/>
  <c r="Y1183" i="1"/>
  <c r="Z1183" i="1"/>
  <c r="Z1462" i="1"/>
  <c r="X1462" i="1"/>
  <c r="Y1462" i="1"/>
  <c r="X1645" i="1"/>
  <c r="Y1645" i="1"/>
  <c r="Z1645" i="1"/>
  <c r="X1247" i="1"/>
  <c r="Y1247" i="1"/>
  <c r="Z1247" i="1"/>
  <c r="X1637" i="1"/>
  <c r="Y1637" i="1"/>
  <c r="Z1637" i="1"/>
  <c r="X1263" i="1"/>
  <c r="Y1263" i="1"/>
  <c r="Z1263" i="1"/>
  <c r="Y1556" i="1"/>
  <c r="Z1556" i="1"/>
  <c r="X1556" i="1"/>
  <c r="X180" i="1"/>
  <c r="Y180" i="1"/>
  <c r="Z180" i="1"/>
  <c r="X495" i="1"/>
  <c r="Y495" i="1"/>
  <c r="Z495" i="1"/>
  <c r="Z754" i="1"/>
  <c r="X754" i="1"/>
  <c r="Y754" i="1"/>
  <c r="X103" i="1"/>
  <c r="Y103" i="1"/>
  <c r="Z103" i="1"/>
  <c r="Y213" i="1"/>
  <c r="Z213" i="1"/>
  <c r="X213" i="1"/>
  <c r="X715" i="1"/>
  <c r="Y715" i="1"/>
  <c r="Z715" i="1"/>
  <c r="X1250" i="1"/>
  <c r="Y1250" i="1"/>
  <c r="Z1250" i="1"/>
  <c r="X1538" i="1"/>
  <c r="Y1538" i="1"/>
  <c r="Z1538" i="1"/>
  <c r="Y1434" i="1"/>
  <c r="X1434" i="1"/>
  <c r="Z1434" i="1"/>
  <c r="W2198" i="1"/>
  <c r="W2200" i="1"/>
  <c r="X2195" i="1"/>
  <c r="Y2195" i="1"/>
  <c r="Z2195" i="1"/>
  <c r="W2196" i="1"/>
  <c r="W2197" i="1"/>
  <c r="W2199" i="1"/>
  <c r="X2199" i="1" s="1"/>
  <c r="Y1352" i="1"/>
  <c r="X1352" i="1"/>
  <c r="Z1352" i="1"/>
  <c r="Y1044" i="1"/>
  <c r="Z1044" i="1"/>
  <c r="X1044" i="1"/>
  <c r="X1282" i="1"/>
  <c r="Y1282" i="1"/>
  <c r="Z1282" i="1"/>
  <c r="X1376" i="1"/>
  <c r="Y1376" i="1"/>
  <c r="Z1376" i="1"/>
  <c r="X1635" i="1"/>
  <c r="Y1635" i="1"/>
  <c r="Z1635" i="1"/>
  <c r="X1228" i="1"/>
  <c r="Y1228" i="1"/>
  <c r="Z1228" i="1"/>
  <c r="X1460" i="1"/>
  <c r="Y1460" i="1"/>
  <c r="Z1460" i="1"/>
  <c r="Z2632" i="1"/>
  <c r="X2632" i="1"/>
  <c r="Y2632" i="1"/>
  <c r="Z47" i="1"/>
  <c r="X47" i="1"/>
  <c r="Y47" i="1"/>
  <c r="Y758" i="1"/>
  <c r="X758" i="1"/>
  <c r="Z758" i="1"/>
  <c r="X49" i="1"/>
  <c r="Y49" i="1"/>
  <c r="Z49" i="1"/>
  <c r="X1254" i="1"/>
  <c r="Y1254" i="1"/>
  <c r="Z1254" i="1"/>
  <c r="Y1320" i="1"/>
  <c r="Z1320" i="1"/>
  <c r="X1320" i="1"/>
  <c r="X1602" i="1"/>
  <c r="Y1602" i="1"/>
  <c r="Z1602" i="1"/>
  <c r="X1213" i="1"/>
  <c r="Y1213" i="1"/>
  <c r="Z1213" i="1"/>
  <c r="X1518" i="1"/>
  <c r="Y1518" i="1"/>
  <c r="Z1518" i="1"/>
  <c r="Z1396" i="1"/>
  <c r="X1396" i="1"/>
  <c r="Y1396" i="1"/>
  <c r="X1087" i="1"/>
  <c r="Y1087" i="1"/>
  <c r="Z1087" i="1"/>
  <c r="X1309" i="1"/>
  <c r="Y1309" i="1"/>
  <c r="Z1309" i="1"/>
  <c r="Z1389" i="1"/>
  <c r="X1389" i="1"/>
  <c r="Y1389" i="1"/>
  <c r="X1638" i="1"/>
  <c r="Y1638" i="1"/>
  <c r="Z1638" i="1"/>
  <c r="Z2092" i="1"/>
  <c r="W2096" i="1"/>
  <c r="X2092" i="1"/>
  <c r="Y2092" i="1"/>
  <c r="W2093" i="1"/>
  <c r="W2094" i="1"/>
  <c r="W2095" i="1"/>
  <c r="X2640" i="1"/>
  <c r="Y2640" i="1"/>
  <c r="Z2640" i="1"/>
  <c r="X105" i="1"/>
  <c r="Y105" i="1"/>
  <c r="Z105" i="1"/>
  <c r="X907" i="1"/>
  <c r="Y907" i="1"/>
  <c r="Z907" i="1"/>
  <c r="X196" i="1"/>
  <c r="Y196" i="1"/>
  <c r="Z196" i="1"/>
  <c r="X452" i="1"/>
  <c r="Y452" i="1"/>
  <c r="Z452" i="1"/>
  <c r="X89" i="1"/>
  <c r="Y89" i="1"/>
  <c r="Z89" i="1"/>
  <c r="Y65" i="1"/>
  <c r="X65" i="1"/>
  <c r="Z65" i="1"/>
  <c r="X757" i="1"/>
  <c r="Y757" i="1"/>
  <c r="Z757" i="1"/>
  <c r="X1277" i="1"/>
  <c r="Y1277" i="1"/>
  <c r="Z1277" i="1"/>
  <c r="X1344" i="1"/>
  <c r="Y1344" i="1"/>
  <c r="Z1344" i="1"/>
  <c r="X1622" i="1"/>
  <c r="Y1622" i="1"/>
  <c r="Z1622" i="1"/>
  <c r="Y1230" i="1"/>
  <c r="X1230" i="1"/>
  <c r="Z1230" i="1"/>
  <c r="Y1532" i="1"/>
  <c r="X1532" i="1"/>
  <c r="Z1532" i="1"/>
  <c r="X2626" i="1"/>
  <c r="Y2626" i="1"/>
  <c r="Z2626" i="1"/>
  <c r="X1410" i="1"/>
  <c r="Y1410" i="1"/>
  <c r="Z1410" i="1"/>
  <c r="Y1118" i="1"/>
  <c r="X1118" i="1"/>
  <c r="Z1118" i="1"/>
  <c r="X1312" i="1"/>
  <c r="Y1312" i="1"/>
  <c r="Z1312" i="1"/>
  <c r="Z1428" i="1"/>
  <c r="X1428" i="1"/>
  <c r="Y1428" i="1"/>
  <c r="X1286" i="1"/>
  <c r="Y1286" i="1"/>
  <c r="Z1286" i="1"/>
  <c r="Z1572" i="1"/>
  <c r="X1572" i="1"/>
  <c r="Y1572" i="1"/>
  <c r="Y2581" i="1"/>
  <c r="Z2581" i="1"/>
  <c r="X2581" i="1"/>
  <c r="X729" i="1"/>
  <c r="Y729" i="1"/>
  <c r="Z729" i="1"/>
  <c r="Y116" i="1"/>
  <c r="X116" i="1"/>
  <c r="Z116" i="1"/>
  <c r="X997" i="1"/>
  <c r="Z997" i="1"/>
  <c r="Y997" i="1"/>
  <c r="X571" i="1"/>
  <c r="Z571" i="1"/>
  <c r="Y571" i="1"/>
  <c r="X107" i="1"/>
  <c r="Y107" i="1"/>
  <c r="Z107" i="1"/>
  <c r="Y126" i="1"/>
  <c r="Z126" i="1"/>
  <c r="X126" i="1"/>
  <c r="Y783" i="1"/>
  <c r="Z783" i="1"/>
  <c r="X783" i="1"/>
  <c r="X1287" i="1"/>
  <c r="Y1287" i="1"/>
  <c r="Z1287" i="1"/>
  <c r="Y1367" i="1"/>
  <c r="X1367" i="1"/>
  <c r="Z1367" i="1"/>
  <c r="X1664" i="1"/>
  <c r="Y1664" i="1"/>
  <c r="Z1664" i="1"/>
  <c r="W1665" i="1"/>
  <c r="Z1665" i="1" s="1"/>
  <c r="W1666" i="1"/>
  <c r="W1667" i="1"/>
  <c r="Y1327" i="1"/>
  <c r="Z1327" i="1"/>
  <c r="X1327" i="1"/>
  <c r="X1727" i="1"/>
  <c r="Y1727" i="1"/>
  <c r="Z1727" i="1"/>
  <c r="Y836" i="1"/>
  <c r="Z836" i="1"/>
  <c r="X836" i="1"/>
  <c r="X1522" i="1"/>
  <c r="Z1522" i="1"/>
  <c r="Y1522" i="1"/>
  <c r="X1161" i="1"/>
  <c r="Y1161" i="1"/>
  <c r="Z1161" i="1"/>
  <c r="X1318" i="1"/>
  <c r="Y1318" i="1"/>
  <c r="Z1318" i="1"/>
  <c r="Y1466" i="1"/>
  <c r="Z1466" i="1"/>
  <c r="X1466" i="1"/>
  <c r="X935" i="1"/>
  <c r="Y935" i="1"/>
  <c r="Z935" i="1"/>
  <c r="X1293" i="1"/>
  <c r="Y1293" i="1"/>
  <c r="Z1293" i="1"/>
  <c r="X1597" i="1"/>
  <c r="Y1597" i="1"/>
  <c r="Z1597" i="1"/>
  <c r="Y2477" i="1"/>
  <c r="Z2477" i="1"/>
  <c r="W2479" i="1"/>
  <c r="W2480" i="1"/>
  <c r="W2481" i="1"/>
  <c r="W2482" i="1"/>
  <c r="Y2482" i="1" s="1"/>
  <c r="X2477" i="1"/>
  <c r="W2478" i="1"/>
  <c r="Y2478" i="1" s="1"/>
  <c r="Y1078" i="1"/>
  <c r="Z1078" i="1"/>
  <c r="X1078" i="1"/>
  <c r="X837" i="1"/>
  <c r="Y837" i="1"/>
  <c r="Z837" i="1"/>
  <c r="X118" i="1"/>
  <c r="Y118" i="1"/>
  <c r="Z118" i="1"/>
  <c r="Z130" i="1"/>
  <c r="X130" i="1"/>
  <c r="Y130" i="1"/>
  <c r="X830" i="1"/>
  <c r="Y830" i="1"/>
  <c r="Z830" i="1"/>
  <c r="X1373" i="1"/>
  <c r="Y1373" i="1"/>
  <c r="Z1373" i="1"/>
  <c r="Y803" i="1"/>
  <c r="X803" i="1"/>
  <c r="Z803" i="1"/>
  <c r="X1398" i="1"/>
  <c r="Y1398" i="1"/>
  <c r="Z1398" i="1"/>
  <c r="Z1351" i="1"/>
  <c r="X1351" i="1"/>
  <c r="Y1351" i="1"/>
  <c r="X1721" i="1"/>
  <c r="Y1721" i="1"/>
  <c r="Z1721" i="1"/>
  <c r="X1173" i="1"/>
  <c r="Y1173" i="1"/>
  <c r="Z1173" i="1"/>
  <c r="Z1335" i="1"/>
  <c r="X1335" i="1"/>
  <c r="Y1335" i="1"/>
  <c r="X1477" i="1"/>
  <c r="Y1477" i="1"/>
  <c r="Z1477" i="1"/>
  <c r="X971" i="1"/>
  <c r="Y971" i="1"/>
  <c r="Z971" i="1"/>
  <c r="Y1325" i="1"/>
  <c r="X1325" i="1"/>
  <c r="Z1325" i="1"/>
  <c r="X1678" i="1"/>
  <c r="Y1678" i="1"/>
  <c r="Z1678" i="1"/>
  <c r="Z2653" i="1"/>
  <c r="X2653" i="1"/>
  <c r="Y2653" i="1"/>
  <c r="X82" i="1"/>
  <c r="Y82" i="1"/>
  <c r="Z82" i="1"/>
  <c r="X207" i="1"/>
  <c r="Y207" i="1"/>
  <c r="Z207" i="1"/>
  <c r="X51" i="1"/>
  <c r="Y51" i="1"/>
  <c r="Z51" i="1"/>
  <c r="X862" i="1"/>
  <c r="Y862" i="1"/>
  <c r="Z862" i="1"/>
  <c r="X977" i="1"/>
  <c r="Y977" i="1"/>
  <c r="Z977" i="1"/>
  <c r="X1436" i="1"/>
  <c r="Y1436" i="1"/>
  <c r="Z1436" i="1"/>
  <c r="W2156" i="1"/>
  <c r="W2155" i="1"/>
  <c r="W2157" i="1"/>
  <c r="W2158" i="1"/>
  <c r="X2153" i="1"/>
  <c r="Y2153" i="1"/>
  <c r="Z2153" i="1"/>
  <c r="W2154" i="1"/>
  <c r="X877" i="1"/>
  <c r="Y877" i="1"/>
  <c r="Z877" i="1"/>
  <c r="Z1461" i="1"/>
  <c r="X1461" i="1"/>
  <c r="Y1461" i="1"/>
  <c r="Y1388" i="1"/>
  <c r="X1388" i="1"/>
  <c r="Z1388" i="1"/>
  <c r="X840" i="1"/>
  <c r="Y840" i="1"/>
  <c r="Z840" i="1"/>
  <c r="Z1725" i="1"/>
  <c r="X1725" i="1"/>
  <c r="Y1725" i="1"/>
  <c r="X797" i="1"/>
  <c r="Y797" i="1"/>
  <c r="Z797" i="1"/>
  <c r="X1238" i="1"/>
  <c r="Y1238" i="1"/>
  <c r="Z1238" i="1"/>
  <c r="Y1339" i="1"/>
  <c r="X1339" i="1"/>
  <c r="Z1339" i="1"/>
  <c r="Y1029" i="1"/>
  <c r="Z1029" i="1"/>
  <c r="X1029" i="1"/>
  <c r="X1440" i="1"/>
  <c r="Y1440" i="1"/>
  <c r="Z1440" i="1"/>
  <c r="Y1726" i="1"/>
  <c r="Z1726" i="1"/>
  <c r="X1726" i="1"/>
  <c r="Y134" i="1"/>
  <c r="Z134" i="1"/>
  <c r="X134" i="1"/>
  <c r="Y28" i="1"/>
  <c r="Z28" i="1"/>
  <c r="X28" i="1"/>
  <c r="X936" i="1"/>
  <c r="Y936" i="1"/>
  <c r="Z936" i="1"/>
  <c r="W192" i="1"/>
  <c r="Y192" i="1" s="1"/>
  <c r="X190" i="1"/>
  <c r="Y190" i="1"/>
  <c r="Z190" i="1"/>
  <c r="W191" i="1"/>
  <c r="Z191" i="1" s="1"/>
  <c r="X1049" i="1"/>
  <c r="Y1049" i="1"/>
  <c r="Z1049" i="1"/>
  <c r="Z1598" i="1"/>
  <c r="Y1598" i="1"/>
  <c r="X1598" i="1"/>
  <c r="W2214" i="1"/>
  <c r="X2213" i="1"/>
  <c r="Y2213" i="1"/>
  <c r="Z2213" i="1"/>
  <c r="W2215" i="1"/>
  <c r="W2216" i="1"/>
  <c r="W2217" i="1"/>
  <c r="Z2217" i="1" s="1"/>
  <c r="W2218" i="1"/>
  <c r="X881" i="1"/>
  <c r="Y881" i="1"/>
  <c r="Z881" i="1"/>
  <c r="X1464" i="1"/>
  <c r="Y1464" i="1"/>
  <c r="Z1464" i="1"/>
  <c r="Y1395" i="1"/>
  <c r="Z1395" i="1"/>
  <c r="X1395" i="1"/>
  <c r="W2180" i="1"/>
  <c r="W2182" i="1"/>
  <c r="X2177" i="1"/>
  <c r="Y2177" i="1"/>
  <c r="Z2177" i="1"/>
  <c r="W2178" i="1"/>
  <c r="W2179" i="1"/>
  <c r="W2181" i="1"/>
  <c r="Z1285" i="1"/>
  <c r="X1285" i="1"/>
  <c r="Y1285" i="1"/>
  <c r="X1245" i="1"/>
  <c r="Y1245" i="1"/>
  <c r="Z1245" i="1"/>
  <c r="X1359" i="1"/>
  <c r="Y1359" i="1"/>
  <c r="Z1359" i="1"/>
  <c r="Y1533" i="1"/>
  <c r="Z1533" i="1"/>
  <c r="X1533" i="1"/>
  <c r="W2192" i="1"/>
  <c r="X2189" i="1"/>
  <c r="Y2189" i="1"/>
  <c r="Z2189" i="1"/>
  <c r="W2190" i="1"/>
  <c r="W2191" i="1"/>
  <c r="W2193" i="1"/>
  <c r="W2194" i="1"/>
  <c r="X1076" i="1"/>
  <c r="Y1076" i="1"/>
  <c r="Z1076" i="1"/>
  <c r="W173" i="1"/>
  <c r="W174" i="1"/>
  <c r="X172" i="1"/>
  <c r="Y172" i="1"/>
  <c r="Z172" i="1"/>
  <c r="X745" i="1"/>
  <c r="Y745" i="1"/>
  <c r="Z745" i="1"/>
  <c r="Y99" i="1"/>
  <c r="X99" i="1"/>
  <c r="Z99" i="1"/>
  <c r="Z186" i="1"/>
  <c r="X186" i="1"/>
  <c r="Y186" i="1"/>
  <c r="W187" i="1"/>
  <c r="W188" i="1"/>
  <c r="Y707" i="1"/>
  <c r="Z707" i="1"/>
  <c r="X707" i="1"/>
  <c r="Z1069" i="1"/>
  <c r="X1069" i="1"/>
  <c r="Y1069" i="1"/>
  <c r="Y1730" i="1"/>
  <c r="X1730" i="1"/>
  <c r="Z1730" i="1"/>
  <c r="Y1050" i="1"/>
  <c r="Z1050" i="1"/>
  <c r="X1050" i="1"/>
  <c r="Y1472" i="1"/>
  <c r="X1472" i="1"/>
  <c r="Z1472" i="1"/>
  <c r="X1420" i="1"/>
  <c r="Y1420" i="1"/>
  <c r="Z1420" i="1"/>
  <c r="Y1788" i="1"/>
  <c r="Z1788" i="1"/>
  <c r="X1788" i="1"/>
  <c r="X1328" i="1"/>
  <c r="Y1328" i="1"/>
  <c r="Z1328" i="1"/>
  <c r="Y1040" i="1"/>
  <c r="X1040" i="1"/>
  <c r="Z1040" i="1"/>
  <c r="Z1262" i="1"/>
  <c r="X1262" i="1"/>
  <c r="Y1262" i="1"/>
  <c r="X1365" i="1"/>
  <c r="Y1365" i="1"/>
  <c r="Z1365" i="1"/>
  <c r="Z1589" i="1"/>
  <c r="X1589" i="1"/>
  <c r="Y1589" i="1"/>
  <c r="Y1453" i="1"/>
  <c r="X1453" i="1"/>
  <c r="Z1453" i="1"/>
  <c r="X84" i="1"/>
  <c r="Y84" i="1"/>
  <c r="Z84" i="1"/>
  <c r="X206" i="1"/>
  <c r="Y206" i="1"/>
  <c r="Z206" i="1"/>
  <c r="Y897" i="1"/>
  <c r="Z897" i="1"/>
  <c r="X897" i="1"/>
  <c r="Y679" i="1"/>
  <c r="Z679" i="1"/>
  <c r="X679" i="1"/>
  <c r="X888" i="1"/>
  <c r="Z888" i="1"/>
  <c r="Y888" i="1"/>
  <c r="X198" i="1"/>
  <c r="Y198" i="1"/>
  <c r="Z198" i="1"/>
  <c r="X80" i="1"/>
  <c r="Y80" i="1"/>
  <c r="Z80" i="1"/>
  <c r="X214" i="1"/>
  <c r="Y214" i="1"/>
  <c r="Z214" i="1"/>
  <c r="X458" i="1"/>
  <c r="Y458" i="1"/>
  <c r="Z458" i="1"/>
  <c r="X699" i="1"/>
  <c r="Y699" i="1"/>
  <c r="Z699" i="1"/>
  <c r="X941" i="1"/>
  <c r="Y941" i="1"/>
  <c r="Z941" i="1"/>
  <c r="Y217" i="1"/>
  <c r="Z217" i="1"/>
  <c r="X217" i="1"/>
  <c r="X720" i="1"/>
  <c r="Y720" i="1"/>
  <c r="Z720" i="1"/>
  <c r="W721" i="1"/>
  <c r="W722" i="1"/>
  <c r="W723" i="1"/>
  <c r="Z1088" i="1"/>
  <c r="X1088" i="1"/>
  <c r="Y1088" i="1"/>
  <c r="X1258" i="1"/>
  <c r="Y1258" i="1"/>
  <c r="Z1258" i="1"/>
  <c r="X1208" i="1"/>
  <c r="Y1208" i="1"/>
  <c r="Z1208" i="1"/>
  <c r="X1316" i="1"/>
  <c r="Y1316" i="1"/>
  <c r="Z1316" i="1"/>
  <c r="X1380" i="1"/>
  <c r="Y1380" i="1"/>
  <c r="Z1380" i="1"/>
  <c r="X823" i="1"/>
  <c r="Y823" i="1"/>
  <c r="Z823" i="1"/>
  <c r="X966" i="1"/>
  <c r="Y966" i="1"/>
  <c r="Z966" i="1"/>
  <c r="X1133" i="1"/>
  <c r="Y1133" i="1"/>
  <c r="Z1133" i="1"/>
  <c r="X1284" i="1"/>
  <c r="Y1284" i="1"/>
  <c r="Z1284" i="1"/>
  <c r="X1362" i="1"/>
  <c r="Y1362" i="1"/>
  <c r="Z1362" i="1"/>
  <c r="W558" i="1"/>
  <c r="W559" i="1"/>
  <c r="Z559" i="1" s="1"/>
  <c r="X556" i="1"/>
  <c r="Y556" i="1"/>
  <c r="Z556" i="1"/>
  <c r="W557" i="1"/>
  <c r="Z557" i="1" s="1"/>
  <c r="Z871" i="1"/>
  <c r="Y871" i="1"/>
  <c r="X871" i="1"/>
  <c r="X485" i="1"/>
  <c r="Y485" i="1"/>
  <c r="Z485" i="1"/>
  <c r="X1030" i="1"/>
  <c r="Y1030" i="1"/>
  <c r="Z1030" i="1"/>
  <c r="X1243" i="1"/>
  <c r="Y1243" i="1"/>
  <c r="Z1243" i="1"/>
  <c r="X1307" i="1"/>
  <c r="Y1307" i="1"/>
  <c r="Z1307" i="1"/>
  <c r="X1514" i="1"/>
  <c r="Y1514" i="1"/>
  <c r="Z1514" i="1"/>
  <c r="X1617" i="1"/>
  <c r="Y1617" i="1"/>
  <c r="Z1617" i="1"/>
  <c r="X1492" i="1"/>
  <c r="Y1492" i="1"/>
  <c r="Z1492" i="1"/>
  <c r="W1661" i="1"/>
  <c r="W1663" i="1"/>
  <c r="Z1663" i="1" s="1"/>
  <c r="X1660" i="1"/>
  <c r="Y1660" i="1"/>
  <c r="Z1660" i="1"/>
  <c r="W1662" i="1"/>
  <c r="X1251" i="1"/>
  <c r="Y1251" i="1"/>
  <c r="Z1251" i="1"/>
  <c r="Z1374" i="1"/>
  <c r="X1374" i="1"/>
  <c r="Y1374" i="1"/>
  <c r="X1509" i="1"/>
  <c r="Y1509" i="1"/>
  <c r="Z1509" i="1"/>
  <c r="X1612" i="1"/>
  <c r="Y1612" i="1"/>
  <c r="Z1612" i="1"/>
  <c r="Y1321" i="1"/>
  <c r="Z1321" i="1"/>
  <c r="X1321" i="1"/>
  <c r="Y1397" i="1"/>
  <c r="Z1397" i="1"/>
  <c r="X1397" i="1"/>
  <c r="X1470" i="1"/>
  <c r="Y1470" i="1"/>
  <c r="Z1470" i="1"/>
  <c r="X1549" i="1"/>
  <c r="Y1549" i="1"/>
  <c r="Z1549" i="1"/>
  <c r="Y1249" i="1"/>
  <c r="Z1249" i="1"/>
  <c r="X1249" i="1"/>
  <c r="X1740" i="1"/>
  <c r="Y1740" i="1"/>
  <c r="Z1740" i="1"/>
  <c r="X1623" i="1"/>
  <c r="Y1623" i="1"/>
  <c r="Z1623" i="1"/>
  <c r="Y2030" i="1"/>
  <c r="X2030" i="1"/>
  <c r="Z2030" i="1"/>
  <c r="W2031" i="1"/>
  <c r="W2032" i="1"/>
  <c r="W2033" i="1"/>
  <c r="Z1630" i="1"/>
  <c r="X1630" i="1"/>
  <c r="Y1630" i="1"/>
  <c r="X1748" i="1"/>
  <c r="Y1748" i="1"/>
  <c r="Z1748" i="1"/>
  <c r="W2187" i="1"/>
  <c r="W2185" i="1"/>
  <c r="W2186" i="1"/>
  <c r="W2188" i="1"/>
  <c r="X2183" i="1"/>
  <c r="Y2183" i="1"/>
  <c r="Z2183" i="1"/>
  <c r="W2184" i="1"/>
  <c r="Y876" i="1"/>
  <c r="Z876" i="1"/>
  <c r="X876" i="1"/>
  <c r="Z2375" i="1"/>
  <c r="W2376" i="1"/>
  <c r="W2377" i="1"/>
  <c r="W2378" i="1"/>
  <c r="W2379" i="1"/>
  <c r="W2380" i="1"/>
  <c r="Y2380" i="1" s="1"/>
  <c r="X2375" i="1"/>
  <c r="Y2375" i="1"/>
  <c r="Z2531" i="1"/>
  <c r="W2532" i="1"/>
  <c r="Y2532" i="1" s="1"/>
  <c r="W2534" i="1"/>
  <c r="Y2531" i="1"/>
  <c r="W2533" i="1"/>
  <c r="Y2533" i="1" s="1"/>
  <c r="W2535" i="1"/>
  <c r="Y2535" i="1" s="1"/>
  <c r="W2536" i="1"/>
  <c r="X2531" i="1"/>
  <c r="Z2459" i="1"/>
  <c r="W2460" i="1"/>
  <c r="W2461" i="1"/>
  <c r="W2462" i="1"/>
  <c r="X2462" i="1" s="1"/>
  <c r="W2463" i="1"/>
  <c r="W2464" i="1"/>
  <c r="X2459" i="1"/>
  <c r="Y2459" i="1"/>
  <c r="U288" i="1"/>
  <c r="X138" i="1"/>
  <c r="W167" i="1"/>
  <c r="X167" i="1" s="1"/>
  <c r="W175" i="1"/>
  <c r="X175" i="1" s="1"/>
  <c r="Y138" i="1"/>
  <c r="W159" i="1"/>
  <c r="X159" i="1" s="1"/>
  <c r="W171" i="1"/>
  <c r="X171" i="1" s="1"/>
  <c r="W179" i="1"/>
  <c r="Z179" i="1" s="1"/>
  <c r="Z138" i="1"/>
  <c r="W163" i="1"/>
  <c r="X163" i="1" s="1"/>
  <c r="W139" i="1"/>
  <c r="X139" i="1" s="1"/>
  <c r="W140" i="1"/>
  <c r="W189" i="1"/>
  <c r="X215" i="1"/>
  <c r="Y215" i="1"/>
  <c r="Z215" i="1"/>
  <c r="X950" i="1"/>
  <c r="Z950" i="1"/>
  <c r="Y950" i="1"/>
  <c r="X909" i="1"/>
  <c r="Y909" i="1"/>
  <c r="Z909" i="1"/>
  <c r="X685" i="1"/>
  <c r="Y685" i="1"/>
  <c r="Z685" i="1"/>
  <c r="Z912" i="1"/>
  <c r="Y912" i="1"/>
  <c r="X912" i="1"/>
  <c r="X93" i="1"/>
  <c r="Y93" i="1"/>
  <c r="Z93" i="1"/>
  <c r="X530" i="1"/>
  <c r="Y530" i="1"/>
  <c r="Z530" i="1"/>
  <c r="X730" i="1"/>
  <c r="Y730" i="1"/>
  <c r="Z730" i="1"/>
  <c r="X67" i="1"/>
  <c r="Y67" i="1"/>
  <c r="Z67" i="1"/>
  <c r="Z753" i="1"/>
  <c r="X753" i="1"/>
  <c r="Y753" i="1"/>
  <c r="X566" i="1"/>
  <c r="Y566" i="1"/>
  <c r="Z566" i="1"/>
  <c r="X1103" i="1"/>
  <c r="Y1103" i="1"/>
  <c r="Z1103" i="1"/>
  <c r="X1274" i="1"/>
  <c r="Y1274" i="1"/>
  <c r="Z1274" i="1"/>
  <c r="X1224" i="1"/>
  <c r="Y1224" i="1"/>
  <c r="Z1224" i="1"/>
  <c r="X1324" i="1"/>
  <c r="Y1324" i="1"/>
  <c r="Z1324" i="1"/>
  <c r="X1386" i="1"/>
  <c r="Y1386" i="1"/>
  <c r="Z1386" i="1"/>
  <c r="X1005" i="1"/>
  <c r="Y1005" i="1"/>
  <c r="Z1005" i="1"/>
  <c r="X1157" i="1"/>
  <c r="Y1157" i="1"/>
  <c r="Z1157" i="1"/>
  <c r="X1300" i="1"/>
  <c r="Y1300" i="1"/>
  <c r="Z1300" i="1"/>
  <c r="X1370" i="1"/>
  <c r="Y1370" i="1"/>
  <c r="Z1370" i="1"/>
  <c r="X712" i="1"/>
  <c r="Y712" i="1"/>
  <c r="Z712" i="1"/>
  <c r="X1150" i="1"/>
  <c r="Y1150" i="1"/>
  <c r="Z1150" i="1"/>
  <c r="X1248" i="1"/>
  <c r="Y1248" i="1"/>
  <c r="Z1248" i="1"/>
  <c r="Y1313" i="1"/>
  <c r="Z1313" i="1"/>
  <c r="X1313" i="1"/>
  <c r="Y1377" i="1"/>
  <c r="Z1377" i="1"/>
  <c r="X1377" i="1"/>
  <c r="X1541" i="1"/>
  <c r="Y1541" i="1"/>
  <c r="Z1541" i="1"/>
  <c r="X1014" i="1"/>
  <c r="Y1014" i="1"/>
  <c r="Z1014" i="1"/>
  <c r="X1426" i="1"/>
  <c r="Y1426" i="1"/>
  <c r="Z1426" i="1"/>
  <c r="X1498" i="1"/>
  <c r="Y1498" i="1"/>
  <c r="Z1498" i="1"/>
  <c r="X1713" i="1"/>
  <c r="Y1713" i="1"/>
  <c r="Z1713" i="1"/>
  <c r="X1402" i="1"/>
  <c r="Y1402" i="1"/>
  <c r="Z1402" i="1"/>
  <c r="Z1517" i="1"/>
  <c r="X1517" i="1"/>
  <c r="Y1517" i="1"/>
  <c r="X1624" i="1"/>
  <c r="Y1624" i="1"/>
  <c r="Z1624" i="1"/>
  <c r="Z579" i="1"/>
  <c r="X579" i="1"/>
  <c r="Y579" i="1"/>
  <c r="X1399" i="1"/>
  <c r="Y1399" i="1"/>
  <c r="Z1399" i="1"/>
  <c r="Y1041" i="1"/>
  <c r="Z1041" i="1"/>
  <c r="X1041" i="1"/>
  <c r="Y1479" i="1"/>
  <c r="Z1479" i="1"/>
  <c r="X1479" i="1"/>
  <c r="X1552" i="1"/>
  <c r="Y1552" i="1"/>
  <c r="Z1552" i="1"/>
  <c r="X1681" i="1"/>
  <c r="Y1681" i="1"/>
  <c r="Z1681" i="1"/>
  <c r="X1685" i="1"/>
  <c r="Y1685" i="1"/>
  <c r="Z1685" i="1"/>
  <c r="W2049" i="1"/>
  <c r="W2048" i="1"/>
  <c r="X2046" i="1"/>
  <c r="Y2046" i="1"/>
  <c r="Z2046" i="1"/>
  <c r="W2047" i="1"/>
  <c r="X2054" i="1"/>
  <c r="Y2054" i="1"/>
  <c r="Z2054" i="1"/>
  <c r="W2055" i="1"/>
  <c r="Z2055" i="1" s="1"/>
  <c r="W2056" i="1"/>
  <c r="W2057" i="1"/>
  <c r="X2050" i="1"/>
  <c r="Y2050" i="1"/>
  <c r="Z2050" i="1"/>
  <c r="W2051" i="1"/>
  <c r="Y2051" i="1" s="1"/>
  <c r="W2052" i="1"/>
  <c r="W2053" i="1"/>
  <c r="Z141" i="1"/>
  <c r="W142" i="1"/>
  <c r="W143" i="1"/>
  <c r="X143" i="1" s="1"/>
  <c r="X141" i="1"/>
  <c r="Y141" i="1"/>
  <c r="X221" i="1"/>
  <c r="Y221" i="1"/>
  <c r="Z221" i="1"/>
  <c r="X684" i="1"/>
  <c r="Y684" i="1"/>
  <c r="Z684" i="1"/>
  <c r="X674" i="1"/>
  <c r="Y674" i="1"/>
  <c r="Z674" i="1"/>
  <c r="Y965" i="1"/>
  <c r="X965" i="1"/>
  <c r="Z965" i="1"/>
  <c r="W304" i="1"/>
  <c r="W305" i="1"/>
  <c r="Y305" i="1" s="1"/>
  <c r="X301" i="1"/>
  <c r="W306" i="1"/>
  <c r="Y301" i="1"/>
  <c r="Z301" i="1"/>
  <c r="W302" i="1"/>
  <c r="W303" i="1"/>
  <c r="W549" i="1"/>
  <c r="Y549" i="1" s="1"/>
  <c r="W550" i="1"/>
  <c r="W551" i="1"/>
  <c r="Y551" i="1" s="1"/>
  <c r="X548" i="1"/>
  <c r="Y548" i="1"/>
  <c r="Z548" i="1"/>
  <c r="X86" i="1"/>
  <c r="Y86" i="1"/>
  <c r="Z86" i="1"/>
  <c r="X763" i="1"/>
  <c r="Y763" i="1"/>
  <c r="Z763" i="1"/>
  <c r="Y1114" i="1"/>
  <c r="Z1114" i="1"/>
  <c r="X1114" i="1"/>
  <c r="X1290" i="1"/>
  <c r="Y1290" i="1"/>
  <c r="Z1290" i="1"/>
  <c r="Y129" i="1"/>
  <c r="Z129" i="1"/>
  <c r="X129" i="1"/>
  <c r="Z973" i="1"/>
  <c r="X973" i="1"/>
  <c r="Y973" i="1"/>
  <c r="X1240" i="1"/>
  <c r="Y1240" i="1"/>
  <c r="Z1240" i="1"/>
  <c r="X1332" i="1"/>
  <c r="Y1332" i="1"/>
  <c r="Z1332" i="1"/>
  <c r="X1400" i="1"/>
  <c r="Y1400" i="1"/>
  <c r="Z1400" i="1"/>
  <c r="Y509" i="1"/>
  <c r="Z509" i="1"/>
  <c r="X509" i="1"/>
  <c r="X831" i="1"/>
  <c r="Z831" i="1"/>
  <c r="Y831" i="1"/>
  <c r="X1015" i="1"/>
  <c r="Y1015" i="1"/>
  <c r="Z1015" i="1"/>
  <c r="X1186" i="1"/>
  <c r="Y1186" i="1"/>
  <c r="Z1186" i="1"/>
  <c r="X1314" i="1"/>
  <c r="Y1314" i="1"/>
  <c r="Z1314" i="1"/>
  <c r="X1378" i="1"/>
  <c r="Y1378" i="1"/>
  <c r="Z1378" i="1"/>
  <c r="X801" i="1"/>
  <c r="Y801" i="1"/>
  <c r="Z801" i="1"/>
  <c r="X1165" i="1"/>
  <c r="Y1165" i="1"/>
  <c r="Z1165" i="1"/>
  <c r="X1259" i="1"/>
  <c r="Y1259" i="1"/>
  <c r="Z1259" i="1"/>
  <c r="X1062" i="1"/>
  <c r="Y1062" i="1"/>
  <c r="Z1062" i="1"/>
  <c r="Y1548" i="1"/>
  <c r="Z1548" i="1"/>
  <c r="X1548" i="1"/>
  <c r="Z1432" i="1"/>
  <c r="X1432" i="1"/>
  <c r="Y1432" i="1"/>
  <c r="X1506" i="1"/>
  <c r="Y1506" i="1"/>
  <c r="Z1506" i="1"/>
  <c r="Y1265" i="1"/>
  <c r="Z1265" i="1"/>
  <c r="X1265" i="1"/>
  <c r="X1405" i="1"/>
  <c r="Y1405" i="1"/>
  <c r="Z1405" i="1"/>
  <c r="X1520" i="1"/>
  <c r="Y1520" i="1"/>
  <c r="Z1520" i="1"/>
  <c r="Y1631" i="1"/>
  <c r="Z1631" i="1"/>
  <c r="X1631" i="1"/>
  <c r="X1478" i="1"/>
  <c r="Y1478" i="1"/>
  <c r="Z1478" i="1"/>
  <c r="X527" i="1"/>
  <c r="Y527" i="1"/>
  <c r="Z527" i="1"/>
  <c r="X1221" i="1"/>
  <c r="Y1221" i="1"/>
  <c r="Z1221" i="1"/>
  <c r="Y1337" i="1"/>
  <c r="Z1337" i="1"/>
  <c r="X1337" i="1"/>
  <c r="Z1412" i="1"/>
  <c r="X1412" i="1"/>
  <c r="Y1412" i="1"/>
  <c r="X1590" i="1"/>
  <c r="Y1590" i="1"/>
  <c r="Z1590" i="1"/>
  <c r="Z1711" i="1"/>
  <c r="X1711" i="1"/>
  <c r="Y1711" i="1"/>
  <c r="X1301" i="1"/>
  <c r="Y1301" i="1"/>
  <c r="Z1301" i="1"/>
  <c r="X986" i="1"/>
  <c r="Y986" i="1"/>
  <c r="Z986" i="1"/>
  <c r="Y1511" i="1"/>
  <c r="Z1511" i="1"/>
  <c r="X1511" i="1"/>
  <c r="Z1709" i="1"/>
  <c r="X1709" i="1"/>
  <c r="Y1709" i="1"/>
  <c r="X1463" i="1"/>
  <c r="Y1463" i="1"/>
  <c r="Z1463" i="1"/>
  <c r="X791" i="1"/>
  <c r="Y791" i="1"/>
  <c r="Z791" i="1"/>
  <c r="X1035" i="1"/>
  <c r="Y1035" i="1"/>
  <c r="Z1035" i="1"/>
  <c r="X2637" i="1"/>
  <c r="Y2637" i="1"/>
  <c r="Z2637" i="1"/>
  <c r="Y2328" i="1"/>
  <c r="X150" i="1"/>
  <c r="Y150" i="1"/>
  <c r="Z150" i="1"/>
  <c r="W151" i="1"/>
  <c r="W152" i="1"/>
  <c r="X152" i="1" s="1"/>
  <c r="X230" i="1"/>
  <c r="Y230" i="1"/>
  <c r="Z230" i="1"/>
  <c r="X697" i="1"/>
  <c r="Y697" i="1"/>
  <c r="Z697" i="1"/>
  <c r="X698" i="1"/>
  <c r="Y698" i="1"/>
  <c r="Z698" i="1"/>
  <c r="X570" i="1"/>
  <c r="Y570" i="1"/>
  <c r="Z570" i="1"/>
  <c r="Y737" i="1"/>
  <c r="Z737" i="1"/>
  <c r="X737" i="1"/>
  <c r="X125" i="1"/>
  <c r="Y125" i="1"/>
  <c r="Z125" i="1"/>
  <c r="X439" i="1"/>
  <c r="Y439" i="1"/>
  <c r="Z439" i="1"/>
  <c r="X819" i="1"/>
  <c r="Y819" i="1"/>
  <c r="Z819" i="1"/>
  <c r="X1141" i="1"/>
  <c r="Y1141" i="1"/>
  <c r="Z1141" i="1"/>
  <c r="X1306" i="1"/>
  <c r="Y1306" i="1"/>
  <c r="Z1306" i="1"/>
  <c r="X461" i="1"/>
  <c r="Y461" i="1"/>
  <c r="Z461" i="1"/>
  <c r="X706" i="1"/>
  <c r="Y706" i="1"/>
  <c r="Z706" i="1"/>
  <c r="X1063" i="1"/>
  <c r="Y1063" i="1"/>
  <c r="Z1063" i="1"/>
  <c r="X1256" i="1"/>
  <c r="Y1256" i="1"/>
  <c r="Z1256" i="1"/>
  <c r="X1340" i="1"/>
  <c r="Y1340" i="1"/>
  <c r="Z1340" i="1"/>
  <c r="X1414" i="1"/>
  <c r="Y1414" i="1"/>
  <c r="Z1414" i="1"/>
  <c r="Y1022" i="1"/>
  <c r="X1022" i="1"/>
  <c r="Z1022" i="1"/>
  <c r="X1204" i="1"/>
  <c r="Y1204" i="1"/>
  <c r="Z1204" i="1"/>
  <c r="X1322" i="1"/>
  <c r="Y1322" i="1"/>
  <c r="Z1322" i="1"/>
  <c r="X1008" i="1"/>
  <c r="Y1008" i="1"/>
  <c r="Z1008" i="1"/>
  <c r="X1199" i="1"/>
  <c r="Y1199" i="1"/>
  <c r="Z1199" i="1"/>
  <c r="X1264" i="1"/>
  <c r="Y1264" i="1"/>
  <c r="Z1264" i="1"/>
  <c r="Y1329" i="1"/>
  <c r="Z1329" i="1"/>
  <c r="X1329" i="1"/>
  <c r="X1404" i="1"/>
  <c r="Y1404" i="1"/>
  <c r="Z1404" i="1"/>
  <c r="X1554" i="1"/>
  <c r="Y1554" i="1"/>
  <c r="Z1554" i="1"/>
  <c r="Y1719" i="1"/>
  <c r="X1719" i="1"/>
  <c r="Z1719" i="1"/>
  <c r="X1237" i="1"/>
  <c r="Y1237" i="1"/>
  <c r="Z1237" i="1"/>
  <c r="X1438" i="1"/>
  <c r="Y1438" i="1"/>
  <c r="Z1438" i="1"/>
  <c r="X1557" i="1"/>
  <c r="Y1557" i="1"/>
  <c r="Z1557" i="1"/>
  <c r="X992" i="1"/>
  <c r="Y992" i="1"/>
  <c r="Z992" i="1"/>
  <c r="X1558" i="1"/>
  <c r="Y1558" i="1"/>
  <c r="Z1558" i="1"/>
  <c r="Y1490" i="1"/>
  <c r="Z1490" i="1"/>
  <c r="X1490" i="1"/>
  <c r="X578" i="1"/>
  <c r="Y578" i="1"/>
  <c r="Z578" i="1"/>
  <c r="X1260" i="1"/>
  <c r="Y1260" i="1"/>
  <c r="Z1260" i="1"/>
  <c r="X1418" i="1"/>
  <c r="Y1418" i="1"/>
  <c r="Z1418" i="1"/>
  <c r="X1482" i="1"/>
  <c r="Y1482" i="1"/>
  <c r="Z1482" i="1"/>
  <c r="W1798" i="1"/>
  <c r="X1796" i="1"/>
  <c r="Y1796" i="1"/>
  <c r="Z1796" i="1"/>
  <c r="W1797" i="1"/>
  <c r="Z1797" i="1" s="1"/>
  <c r="X1391" i="1"/>
  <c r="Y1391" i="1"/>
  <c r="Z1391" i="1"/>
  <c r="W2020" i="1"/>
  <c r="W2021" i="1"/>
  <c r="X2018" i="1"/>
  <c r="Y2018" i="1"/>
  <c r="Z2018" i="1"/>
  <c r="W2019" i="1"/>
  <c r="Z2019" i="1" s="1"/>
  <c r="Z809" i="1"/>
  <c r="Y809" i="1"/>
  <c r="X809" i="1"/>
  <c r="Y1065" i="1"/>
  <c r="X1065" i="1"/>
  <c r="Z1065" i="1"/>
  <c r="Y2417" i="1"/>
  <c r="W2418" i="1"/>
  <c r="Z2418" i="1" s="1"/>
  <c r="Z2417" i="1"/>
  <c r="W2419" i="1"/>
  <c r="Y2419" i="1" s="1"/>
  <c r="W2420" i="1"/>
  <c r="W2421" i="1"/>
  <c r="Z2421" i="1" s="1"/>
  <c r="W2422" i="1"/>
  <c r="X2417" i="1"/>
  <c r="X2646" i="1"/>
  <c r="Z2646" i="1"/>
  <c r="Y2646" i="1"/>
  <c r="X951" i="1"/>
  <c r="Y951" i="1"/>
  <c r="Z951" i="1"/>
  <c r="Z181" i="1"/>
  <c r="X181" i="1"/>
  <c r="Y181" i="1"/>
  <c r="X764" i="1"/>
  <c r="Y764" i="1"/>
  <c r="Z764" i="1"/>
  <c r="Y958" i="1"/>
  <c r="Z958" i="1"/>
  <c r="X958" i="1"/>
  <c r="X36" i="1"/>
  <c r="Y36" i="1"/>
  <c r="Z36" i="1"/>
  <c r="W588" i="1"/>
  <c r="Z588" i="1" s="1"/>
  <c r="X583" i="1"/>
  <c r="Y583" i="1"/>
  <c r="Z583" i="1"/>
  <c r="W584" i="1"/>
  <c r="Y584" i="1" s="1"/>
  <c r="W585" i="1"/>
  <c r="W586" i="1"/>
  <c r="W587" i="1"/>
  <c r="X752" i="1"/>
  <c r="Y752" i="1"/>
  <c r="Z752" i="1"/>
  <c r="X462" i="1"/>
  <c r="Y462" i="1"/>
  <c r="Z462" i="1"/>
  <c r="Z1166" i="1"/>
  <c r="X1166" i="1"/>
  <c r="Y1166" i="1"/>
  <c r="X1408" i="1"/>
  <c r="Y1408" i="1"/>
  <c r="Z1408" i="1"/>
  <c r="X1089" i="1"/>
  <c r="Y1089" i="1"/>
  <c r="Z1089" i="1"/>
  <c r="X1272" i="1"/>
  <c r="Y1272" i="1"/>
  <c r="Z1272" i="1"/>
  <c r="X1348" i="1"/>
  <c r="Y1348" i="1"/>
  <c r="Z1348" i="1"/>
  <c r="X1450" i="1"/>
  <c r="Y1450" i="1"/>
  <c r="Z1450" i="1"/>
  <c r="X835" i="1"/>
  <c r="Z835" i="1"/>
  <c r="Y835" i="1"/>
  <c r="X1053" i="1"/>
  <c r="Y1053" i="1"/>
  <c r="Z1053" i="1"/>
  <c r="X1220" i="1"/>
  <c r="Y1220" i="1"/>
  <c r="Z1220" i="1"/>
  <c r="X1330" i="1"/>
  <c r="Y1330" i="1"/>
  <c r="Z1330" i="1"/>
  <c r="X1139" i="1"/>
  <c r="Y1139" i="1"/>
  <c r="Z1139" i="1"/>
  <c r="X656" i="1"/>
  <c r="Y656" i="1"/>
  <c r="Z656" i="1"/>
  <c r="X948" i="1"/>
  <c r="Z948" i="1"/>
  <c r="Y948" i="1"/>
  <c r="X1211" i="1"/>
  <c r="Y1211" i="1"/>
  <c r="Z1211" i="1"/>
  <c r="X1275" i="1"/>
  <c r="Y1275" i="1"/>
  <c r="Z1275" i="1"/>
  <c r="X1151" i="1"/>
  <c r="Y1151" i="1"/>
  <c r="Z1151" i="1"/>
  <c r="X1413" i="1"/>
  <c r="Y1413" i="1"/>
  <c r="Z1413" i="1"/>
  <c r="X1733" i="1"/>
  <c r="Y1733" i="1"/>
  <c r="Z1733" i="1"/>
  <c r="X1276" i="1"/>
  <c r="Y1276" i="1"/>
  <c r="Z1276" i="1"/>
  <c r="Z1444" i="1"/>
  <c r="X1444" i="1"/>
  <c r="Y1444" i="1"/>
  <c r="X1564" i="1"/>
  <c r="Y1564" i="1"/>
  <c r="Z1564" i="1"/>
  <c r="Z1326" i="1"/>
  <c r="X1326" i="1"/>
  <c r="Y1326" i="1"/>
  <c r="X1423" i="1"/>
  <c r="Y1423" i="1"/>
  <c r="Z1423" i="1"/>
  <c r="Y1573" i="1"/>
  <c r="Z1573" i="1"/>
  <c r="X1573" i="1"/>
  <c r="Y1621" i="1"/>
  <c r="X1621" i="1"/>
  <c r="Z1621" i="1"/>
  <c r="X1283" i="1"/>
  <c r="Y1283" i="1"/>
  <c r="Z1283" i="1"/>
  <c r="Y1353" i="1"/>
  <c r="Z1353" i="1"/>
  <c r="X1353" i="1"/>
  <c r="Y1424" i="1"/>
  <c r="Z1424" i="1"/>
  <c r="X1424" i="1"/>
  <c r="Z1496" i="1"/>
  <c r="X1496" i="1"/>
  <c r="Y1496" i="1"/>
  <c r="X1613" i="1"/>
  <c r="Y1613" i="1"/>
  <c r="Z1613" i="1"/>
  <c r="Z2058" i="1"/>
  <c r="W2061" i="1"/>
  <c r="X2058" i="1"/>
  <c r="Y2058" i="1"/>
  <c r="W2059" i="1"/>
  <c r="W2060" i="1"/>
  <c r="X2060" i="1" s="1"/>
  <c r="X1253" i="1"/>
  <c r="Y1253" i="1"/>
  <c r="Z1253" i="1"/>
  <c r="Y1633" i="1"/>
  <c r="X1633" i="1"/>
  <c r="Z1633" i="1"/>
  <c r="W2008" i="1"/>
  <c r="Z2006" i="1"/>
  <c r="W2007" i="1"/>
  <c r="W2009" i="1"/>
  <c r="X2006" i="1"/>
  <c r="Y2006" i="1"/>
  <c r="W2074" i="1"/>
  <c r="X2072" i="1"/>
  <c r="Y2072" i="1"/>
  <c r="Z2072" i="1"/>
  <c r="W2073" i="1"/>
  <c r="Y2073" i="1" s="1"/>
  <c r="W2075" i="1"/>
  <c r="W2076" i="1"/>
  <c r="Z2649" i="1"/>
  <c r="X2649" i="1"/>
  <c r="Y2649" i="1"/>
  <c r="Z2644" i="1"/>
  <c r="Y2644" i="1"/>
  <c r="X2644" i="1"/>
  <c r="X53" i="1"/>
  <c r="Y53" i="1"/>
  <c r="Z53" i="1"/>
  <c r="W157" i="1"/>
  <c r="W158" i="1"/>
  <c r="X156" i="1"/>
  <c r="Y156" i="1"/>
  <c r="Z156" i="1"/>
  <c r="X210" i="1"/>
  <c r="Y210" i="1"/>
  <c r="Z210" i="1"/>
  <c r="X735" i="1"/>
  <c r="Y735" i="1"/>
  <c r="Z735" i="1"/>
  <c r="W636" i="1"/>
  <c r="Y636" i="1" s="1"/>
  <c r="X631" i="1"/>
  <c r="Y631" i="1"/>
  <c r="Z631" i="1"/>
  <c r="W632" i="1"/>
  <c r="W633" i="1"/>
  <c r="W634" i="1"/>
  <c r="W635" i="1"/>
  <c r="Y824" i="1"/>
  <c r="X824" i="1"/>
  <c r="Z824" i="1"/>
  <c r="W166" i="1"/>
  <c r="X164" i="1"/>
  <c r="Y164" i="1"/>
  <c r="Z164" i="1"/>
  <c r="W165" i="1"/>
  <c r="X808" i="1"/>
  <c r="Y808" i="1"/>
  <c r="Z808" i="1"/>
  <c r="X153" i="1"/>
  <c r="Y153" i="1"/>
  <c r="Z153" i="1"/>
  <c r="W154" i="1"/>
  <c r="W155" i="1"/>
  <c r="Y155" i="1" s="1"/>
  <c r="Z501" i="1"/>
  <c r="X501" i="1"/>
  <c r="Y501" i="1"/>
  <c r="X1210" i="1"/>
  <c r="Y1210" i="1"/>
  <c r="Z1210" i="1"/>
  <c r="X1422" i="1"/>
  <c r="Y1422" i="1"/>
  <c r="Z1422" i="1"/>
  <c r="X512" i="1"/>
  <c r="Y512" i="1"/>
  <c r="Z512" i="1"/>
  <c r="X742" i="1"/>
  <c r="Y742" i="1"/>
  <c r="Z742" i="1"/>
  <c r="Y1152" i="1"/>
  <c r="Z1152" i="1"/>
  <c r="X1152" i="1"/>
  <c r="X1288" i="1"/>
  <c r="Y1288" i="1"/>
  <c r="Z1288" i="1"/>
  <c r="X1356" i="1"/>
  <c r="Y1356" i="1"/>
  <c r="Z1356" i="1"/>
  <c r="Y1458" i="1"/>
  <c r="Z1458" i="1"/>
  <c r="X1458" i="1"/>
  <c r="Y789" i="1"/>
  <c r="Z789" i="1"/>
  <c r="X789" i="1"/>
  <c r="X970" i="1"/>
  <c r="Y970" i="1"/>
  <c r="Z970" i="1"/>
  <c r="U624" i="1"/>
  <c r="Z1082" i="1"/>
  <c r="X1082" i="1"/>
  <c r="Y1082" i="1"/>
  <c r="X1236" i="1"/>
  <c r="Y1236" i="1"/>
  <c r="Z1236" i="1"/>
  <c r="X1338" i="1"/>
  <c r="Y1338" i="1"/>
  <c r="Z1338" i="1"/>
  <c r="X663" i="1"/>
  <c r="Y663" i="1"/>
  <c r="Z663" i="1"/>
  <c r="X1142" i="1"/>
  <c r="Y1142" i="1"/>
  <c r="Z1142" i="1"/>
  <c r="X985" i="1"/>
  <c r="Y985" i="1"/>
  <c r="Z985" i="1"/>
  <c r="X1216" i="1"/>
  <c r="Y1216" i="1"/>
  <c r="Z1216" i="1"/>
  <c r="X1280" i="1"/>
  <c r="Y1280" i="1"/>
  <c r="Z1280" i="1"/>
  <c r="W473" i="1"/>
  <c r="Z473" i="1" s="1"/>
  <c r="W474" i="1"/>
  <c r="X474" i="1" s="1"/>
  <c r="X471" i="1"/>
  <c r="Y471" i="1"/>
  <c r="Z471" i="1"/>
  <c r="W472" i="1"/>
  <c r="X472" i="1" s="1"/>
  <c r="X1219" i="1"/>
  <c r="Y1219" i="1"/>
  <c r="Z1219" i="1"/>
  <c r="Y1345" i="1"/>
  <c r="Z1345" i="1"/>
  <c r="X1345" i="1"/>
  <c r="X1416" i="1"/>
  <c r="Y1416" i="1"/>
  <c r="Z1416" i="1"/>
  <c r="X1579" i="1"/>
  <c r="Y1579" i="1"/>
  <c r="Z1579" i="1"/>
  <c r="X664" i="1"/>
  <c r="Y664" i="1"/>
  <c r="Z664" i="1"/>
  <c r="X1299" i="1"/>
  <c r="Y1299" i="1"/>
  <c r="Z1299" i="1"/>
  <c r="X1570" i="1"/>
  <c r="Y1570" i="1"/>
  <c r="Z1570" i="1"/>
  <c r="Z1055" i="1"/>
  <c r="X1055" i="1"/>
  <c r="Y1055" i="1"/>
  <c r="Z1342" i="1"/>
  <c r="X1342" i="1"/>
  <c r="Y1342" i="1"/>
  <c r="Y1435" i="1"/>
  <c r="Z1435" i="1"/>
  <c r="X1435" i="1"/>
  <c r="X1580" i="1"/>
  <c r="Y1580" i="1"/>
  <c r="Z1580" i="1"/>
  <c r="Y1693" i="1"/>
  <c r="X1693" i="1"/>
  <c r="Z1693" i="1"/>
  <c r="X1203" i="1"/>
  <c r="Y1203" i="1"/>
  <c r="Z1203" i="1"/>
  <c r="X1515" i="1"/>
  <c r="Y1515" i="1"/>
  <c r="Z1515" i="1"/>
  <c r="Y1619" i="1"/>
  <c r="Z1619" i="1"/>
  <c r="X1619" i="1"/>
  <c r="Y1874" i="1"/>
  <c r="W1877" i="1"/>
  <c r="X1874" i="1"/>
  <c r="Z1874" i="1"/>
  <c r="W1875" i="1"/>
  <c r="Y1875" i="1" s="1"/>
  <c r="W1876" i="1"/>
  <c r="X1550" i="1"/>
  <c r="Y1550" i="1"/>
  <c r="Z1550" i="1"/>
  <c r="X1419" i="1"/>
  <c r="Y1419" i="1"/>
  <c r="Z1419" i="1"/>
  <c r="X1699" i="1"/>
  <c r="Y1699" i="1"/>
  <c r="Z1699" i="1"/>
  <c r="W2064" i="1"/>
  <c r="X2062" i="1"/>
  <c r="Y2062" i="1"/>
  <c r="Z2062" i="1"/>
  <c r="W2063" i="1"/>
  <c r="W2065" i="1"/>
  <c r="W2066" i="1"/>
  <c r="X1582" i="1"/>
  <c r="Y1582" i="1"/>
  <c r="Z1582" i="1"/>
  <c r="W2137" i="1"/>
  <c r="W2138" i="1"/>
  <c r="W2139" i="1"/>
  <c r="W2140" i="1"/>
  <c r="X2135" i="1"/>
  <c r="Y2135" i="1"/>
  <c r="Z2135" i="1"/>
  <c r="W2136" i="1"/>
  <c r="X825" i="1"/>
  <c r="Y825" i="1"/>
  <c r="Z825" i="1"/>
  <c r="X1267" i="1"/>
  <c r="Y1267" i="1"/>
  <c r="Z1267" i="1"/>
  <c r="X2656" i="1"/>
  <c r="Y2656" i="1"/>
  <c r="Z2656" i="1"/>
  <c r="X2634" i="1"/>
  <c r="Y2634" i="1"/>
  <c r="Z2634" i="1"/>
  <c r="Z2501" i="1"/>
  <c r="W2502" i="1"/>
  <c r="W2503" i="1"/>
  <c r="Z2503" i="1" s="1"/>
  <c r="W2504" i="1"/>
  <c r="W2505" i="1"/>
  <c r="Y2505" i="1" s="1"/>
  <c r="W2506" i="1"/>
  <c r="X2501" i="1"/>
  <c r="Y2501" i="1"/>
  <c r="Y61" i="1"/>
  <c r="Z61" i="1"/>
  <c r="X61" i="1"/>
  <c r="X510" i="1"/>
  <c r="Y510" i="1"/>
  <c r="Z510" i="1"/>
  <c r="X750" i="1"/>
  <c r="Y750" i="1"/>
  <c r="Z750" i="1"/>
  <c r="Y747" i="1"/>
  <c r="Z747" i="1"/>
  <c r="X747" i="1"/>
  <c r="X867" i="1"/>
  <c r="Z867" i="1"/>
  <c r="Y867" i="1"/>
  <c r="X133" i="1"/>
  <c r="Y133" i="1"/>
  <c r="Z133" i="1"/>
  <c r="X63" i="1"/>
  <c r="Y63" i="1"/>
  <c r="Z63" i="1"/>
  <c r="Y841" i="1"/>
  <c r="X841" i="1"/>
  <c r="Z841" i="1"/>
  <c r="W612" i="1"/>
  <c r="X607" i="1"/>
  <c r="Y607" i="1"/>
  <c r="Z607" i="1"/>
  <c r="W608" i="1"/>
  <c r="W609" i="1"/>
  <c r="Y609" i="1" s="1"/>
  <c r="W610" i="1"/>
  <c r="W611" i="1"/>
  <c r="Z611" i="1" s="1"/>
  <c r="X476" i="1"/>
  <c r="Y476" i="1"/>
  <c r="Z476" i="1"/>
  <c r="W477" i="1"/>
  <c r="W478" i="1"/>
  <c r="Z478" i="1" s="1"/>
  <c r="W479" i="1"/>
  <c r="Y996" i="1"/>
  <c r="X996" i="1"/>
  <c r="Z996" i="1"/>
  <c r="X1226" i="1"/>
  <c r="Y1226" i="1"/>
  <c r="Z1226" i="1"/>
  <c r="X1433" i="1"/>
  <c r="Y1433" i="1"/>
  <c r="Z1433" i="1"/>
  <c r="X772" i="1"/>
  <c r="Y772" i="1"/>
  <c r="Z772" i="1"/>
  <c r="Z1197" i="1"/>
  <c r="X1197" i="1"/>
  <c r="Y1197" i="1"/>
  <c r="X1304" i="1"/>
  <c r="Y1304" i="1"/>
  <c r="Z1304" i="1"/>
  <c r="X1364" i="1"/>
  <c r="Y1364" i="1"/>
  <c r="Z1364" i="1"/>
  <c r="X1493" i="1"/>
  <c r="Y1493" i="1"/>
  <c r="Z1493" i="1"/>
  <c r="X1101" i="1"/>
  <c r="Y1101" i="1"/>
  <c r="Z1101" i="1"/>
  <c r="X1252" i="1"/>
  <c r="Y1252" i="1"/>
  <c r="Z1252" i="1"/>
  <c r="X1346" i="1"/>
  <c r="Y1346" i="1"/>
  <c r="Z1346" i="1"/>
  <c r="X1384" i="1"/>
  <c r="Y1384" i="1"/>
  <c r="Z1384" i="1"/>
  <c r="X1227" i="1"/>
  <c r="Y1227" i="1"/>
  <c r="Z1227" i="1"/>
  <c r="X1291" i="1"/>
  <c r="Y1291" i="1"/>
  <c r="Z1291" i="1"/>
  <c r="X1452" i="1"/>
  <c r="Y1452" i="1"/>
  <c r="Z1452" i="1"/>
  <c r="X1591" i="1"/>
  <c r="Y1591" i="1"/>
  <c r="Z1591" i="1"/>
  <c r="X1484" i="1"/>
  <c r="Y1484" i="1"/>
  <c r="Z1484" i="1"/>
  <c r="Y1588" i="1"/>
  <c r="Z1588" i="1"/>
  <c r="X1588" i="1"/>
  <c r="Z1358" i="1"/>
  <c r="X1358" i="1"/>
  <c r="Y1358" i="1"/>
  <c r="X1467" i="1"/>
  <c r="Y1467" i="1"/>
  <c r="Z1467" i="1"/>
  <c r="Y1586" i="1"/>
  <c r="Z1586" i="1"/>
  <c r="X1586" i="1"/>
  <c r="Z1780" i="1"/>
  <c r="X1780" i="1"/>
  <c r="Y1780" i="1"/>
  <c r="X464" i="1"/>
  <c r="Y464" i="1"/>
  <c r="Z464" i="1"/>
  <c r="Y1297" i="1"/>
  <c r="Z1297" i="1"/>
  <c r="X1297" i="1"/>
  <c r="Y1369" i="1"/>
  <c r="Z1369" i="1"/>
  <c r="X1369" i="1"/>
  <c r="X1445" i="1"/>
  <c r="Y1445" i="1"/>
  <c r="Z1445" i="1"/>
  <c r="X1527" i="1"/>
  <c r="Y1527" i="1"/>
  <c r="Z1527" i="1"/>
  <c r="Z1642" i="1"/>
  <c r="X1642" i="1"/>
  <c r="Y1642" i="1"/>
  <c r="W2128" i="1"/>
  <c r="Z2128" i="1" s="1"/>
  <c r="W2124" i="1"/>
  <c r="W2125" i="1"/>
  <c r="W2126" i="1"/>
  <c r="W2127" i="1"/>
  <c r="X2123" i="1"/>
  <c r="Y2123" i="1"/>
  <c r="Z2123" i="1"/>
  <c r="X1235" i="1"/>
  <c r="Y1235" i="1"/>
  <c r="Z1235" i="1"/>
  <c r="Z1607" i="1"/>
  <c r="Y1607" i="1"/>
  <c r="X1607" i="1"/>
  <c r="Z1729" i="1"/>
  <c r="Y1729" i="1"/>
  <c r="X1729" i="1"/>
  <c r="Y2237" i="1"/>
  <c r="W2238" i="1"/>
  <c r="W2239" i="1"/>
  <c r="W2240" i="1"/>
  <c r="W2241" i="1"/>
  <c r="W2242" i="1"/>
  <c r="X2237" i="1"/>
  <c r="Z2237" i="1"/>
  <c r="X1608" i="1"/>
  <c r="Y1608" i="1"/>
  <c r="Z1608" i="1"/>
  <c r="X1407" i="1"/>
  <c r="Y1407" i="1"/>
  <c r="Z1407" i="1"/>
  <c r="X1604" i="1"/>
  <c r="Y1604" i="1"/>
  <c r="Z1604" i="1"/>
  <c r="W2358" i="1"/>
  <c r="W2359" i="1"/>
  <c r="Z2359" i="1" s="1"/>
  <c r="W2361" i="1"/>
  <c r="X2357" i="1"/>
  <c r="W2362" i="1"/>
  <c r="Y2357" i="1"/>
  <c r="Z2357" i="1"/>
  <c r="W2360" i="1"/>
  <c r="Z2225" i="1"/>
  <c r="W2226" i="1"/>
  <c r="W2227" i="1"/>
  <c r="W2228" i="1"/>
  <c r="W2229" i="1"/>
  <c r="W2230" i="1"/>
  <c r="X2225" i="1"/>
  <c r="Y2225" i="1"/>
  <c r="Z2643" i="1"/>
  <c r="X2643" i="1"/>
  <c r="Y2643" i="1"/>
  <c r="Y2525" i="1"/>
  <c r="Z2525" i="1"/>
  <c r="W2527" i="1"/>
  <c r="X2527" i="1" s="1"/>
  <c r="W2528" i="1"/>
  <c r="W2529" i="1"/>
  <c r="X2529" i="1" s="1"/>
  <c r="X2525" i="1"/>
  <c r="W2530" i="1"/>
  <c r="W2526" i="1"/>
  <c r="X2526" i="1" s="1"/>
  <c r="X558" i="1"/>
  <c r="Y159" i="1"/>
  <c r="Z72" i="1"/>
  <c r="X72" i="1"/>
  <c r="Y72" i="1"/>
  <c r="X203" i="1"/>
  <c r="Y203" i="1"/>
  <c r="Z203" i="1"/>
  <c r="X760" i="1"/>
  <c r="Y760" i="1"/>
  <c r="Z760" i="1"/>
  <c r="Z778" i="1"/>
  <c r="X778" i="1"/>
  <c r="Y778" i="1"/>
  <c r="X74" i="1"/>
  <c r="Y74" i="1"/>
  <c r="Z74" i="1"/>
  <c r="X211" i="1"/>
  <c r="Y211" i="1"/>
  <c r="Z211" i="1"/>
  <c r="X680" i="1"/>
  <c r="Y680" i="1"/>
  <c r="Z680" i="1"/>
  <c r="Y896" i="1"/>
  <c r="Z896" i="1"/>
  <c r="X896" i="1"/>
  <c r="Z704" i="1"/>
  <c r="X704" i="1"/>
  <c r="Y704" i="1"/>
  <c r="Y1045" i="1"/>
  <c r="X1045" i="1"/>
  <c r="Z1045" i="1"/>
  <c r="X1242" i="1"/>
  <c r="Y1242" i="1"/>
  <c r="Z1242" i="1"/>
  <c r="X911" i="1"/>
  <c r="Y911" i="1"/>
  <c r="Z911" i="1"/>
  <c r="Y1201" i="1"/>
  <c r="Z1201" i="1"/>
  <c r="X1201" i="1"/>
  <c r="X1311" i="1"/>
  <c r="Y1311" i="1"/>
  <c r="Z1311" i="1"/>
  <c r="X1372" i="1"/>
  <c r="Y1372" i="1"/>
  <c r="Z1372" i="1"/>
  <c r="X920" i="1"/>
  <c r="Z920" i="1"/>
  <c r="Y920" i="1"/>
  <c r="Z1105" i="1"/>
  <c r="X1105" i="1"/>
  <c r="Y1105" i="1"/>
  <c r="X1268" i="1"/>
  <c r="Y1268" i="1"/>
  <c r="Z1268" i="1"/>
  <c r="X1354" i="1"/>
  <c r="Y1354" i="1"/>
  <c r="Z1354" i="1"/>
  <c r="X696" i="1"/>
  <c r="Y696" i="1"/>
  <c r="Z696" i="1"/>
  <c r="X1390" i="1"/>
  <c r="Y1390" i="1"/>
  <c r="Z1390" i="1"/>
  <c r="X193" i="1"/>
  <c r="Y193" i="1"/>
  <c r="Z193" i="1"/>
  <c r="W194" i="1"/>
  <c r="W195" i="1"/>
  <c r="Z671" i="1"/>
  <c r="X671" i="1"/>
  <c r="Y671" i="1"/>
  <c r="Z1009" i="1"/>
  <c r="X1009" i="1"/>
  <c r="Y1009" i="1"/>
  <c r="X1232" i="1"/>
  <c r="Y1232" i="1"/>
  <c r="Z1232" i="1"/>
  <c r="X1296" i="1"/>
  <c r="Y1296" i="1"/>
  <c r="Z1296" i="1"/>
  <c r="Y1233" i="1"/>
  <c r="Z1233" i="1"/>
  <c r="X1233" i="1"/>
  <c r="Y1361" i="1"/>
  <c r="Z1361" i="1"/>
  <c r="X1361" i="1"/>
  <c r="X1469" i="1"/>
  <c r="Y1469" i="1"/>
  <c r="Z1469" i="1"/>
  <c r="Z1614" i="1"/>
  <c r="Y1614" i="1"/>
  <c r="X1614" i="1"/>
  <c r="Z687" i="1"/>
  <c r="X687" i="1"/>
  <c r="Y687" i="1"/>
  <c r="X1411" i="1"/>
  <c r="Y1411" i="1"/>
  <c r="Z1411" i="1"/>
  <c r="X1486" i="1"/>
  <c r="Y1486" i="1"/>
  <c r="Z1486" i="1"/>
  <c r="X1137" i="1"/>
  <c r="Y1137" i="1"/>
  <c r="Z1137" i="1"/>
  <c r="X1371" i="1"/>
  <c r="Y1371" i="1"/>
  <c r="Z1371" i="1"/>
  <c r="X1495" i="1"/>
  <c r="Y1495" i="1"/>
  <c r="Z1495" i="1"/>
  <c r="W1891" i="1"/>
  <c r="X1890" i="1"/>
  <c r="Y1890" i="1"/>
  <c r="Z1890" i="1"/>
  <c r="W1892" i="1"/>
  <c r="X1892" i="1" s="1"/>
  <c r="W1893" i="1"/>
  <c r="Y1217" i="1"/>
  <c r="Z1217" i="1"/>
  <c r="X1217" i="1"/>
  <c r="X504" i="1"/>
  <c r="Y504" i="1"/>
  <c r="Z504" i="1"/>
  <c r="Z989" i="1"/>
  <c r="X989" i="1"/>
  <c r="Y989" i="1"/>
  <c r="Y1468" i="1"/>
  <c r="Z1468" i="1"/>
  <c r="X1468" i="1"/>
  <c r="Y1534" i="1"/>
  <c r="Z1534" i="1"/>
  <c r="X1534" i="1"/>
  <c r="W1650" i="1"/>
  <c r="W1651" i="1"/>
  <c r="Z1651" i="1" s="1"/>
  <c r="X1648" i="1"/>
  <c r="Y1648" i="1"/>
  <c r="Z1648" i="1"/>
  <c r="W1649" i="1"/>
  <c r="X1566" i="1"/>
  <c r="Y1566" i="1"/>
  <c r="Z1566" i="1"/>
  <c r="Z1595" i="1"/>
  <c r="Y1595" i="1"/>
  <c r="X1595" i="1"/>
  <c r="W2396" i="1"/>
  <c r="W2397" i="1"/>
  <c r="Y2397" i="1" s="1"/>
  <c r="W2398" i="1"/>
  <c r="X2393" i="1"/>
  <c r="Y2393" i="1"/>
  <c r="Z2393" i="1"/>
  <c r="W2394" i="1"/>
  <c r="W2395" i="1"/>
  <c r="Y1281" i="1"/>
  <c r="Z1281" i="1"/>
  <c r="X1281" i="1"/>
  <c r="X2655" i="1"/>
  <c r="Z2655" i="1"/>
  <c r="Y2655" i="1"/>
  <c r="W2424" i="1"/>
  <c r="W2425" i="1"/>
  <c r="W2426" i="1"/>
  <c r="W2427" i="1"/>
  <c r="Y2427" i="1" s="1"/>
  <c r="W2428" i="1"/>
  <c r="X2428" i="1" s="1"/>
  <c r="X2423" i="1"/>
  <c r="Y2423" i="1"/>
  <c r="Z2423" i="1"/>
  <c r="X529" i="1"/>
  <c r="Y529" i="1"/>
  <c r="Z529" i="1"/>
  <c r="W145" i="1"/>
  <c r="Y144" i="1"/>
  <c r="Z144" i="1"/>
  <c r="W146" i="1"/>
  <c r="X144" i="1"/>
  <c r="Y209" i="1"/>
  <c r="X209" i="1"/>
  <c r="Z209" i="1"/>
  <c r="X274" i="1"/>
  <c r="Z274" i="1"/>
  <c r="W275" i="1"/>
  <c r="Z275" i="1" s="1"/>
  <c r="W276" i="1"/>
  <c r="Y274" i="1"/>
  <c r="Y444" i="1"/>
  <c r="X444" i="1"/>
  <c r="Z444" i="1"/>
  <c r="X515" i="1"/>
  <c r="Y515" i="1"/>
  <c r="Z515" i="1"/>
  <c r="X242" i="1"/>
  <c r="Y242" i="1"/>
  <c r="Z242" i="1"/>
  <c r="Z505" i="1"/>
  <c r="X505" i="1"/>
  <c r="Y505" i="1"/>
  <c r="Y667" i="1"/>
  <c r="X667" i="1"/>
  <c r="Z667" i="1"/>
  <c r="Z767" i="1"/>
  <c r="X767" i="1"/>
  <c r="Y767" i="1"/>
  <c r="X955" i="1"/>
  <c r="Y955" i="1"/>
  <c r="Z955" i="1"/>
  <c r="X460" i="1"/>
  <c r="Y460" i="1"/>
  <c r="Z460" i="1"/>
  <c r="X601" i="1"/>
  <c r="W606" i="1"/>
  <c r="Y601" i="1"/>
  <c r="Z601" i="1"/>
  <c r="W602" i="1"/>
  <c r="W603" i="1"/>
  <c r="W604" i="1"/>
  <c r="W605" i="1"/>
  <c r="Y665" i="1"/>
  <c r="X665" i="1"/>
  <c r="Z665" i="1"/>
  <c r="Y711" i="1"/>
  <c r="X711" i="1"/>
  <c r="Z711" i="1"/>
  <c r="X908" i="1"/>
  <c r="Y908" i="1"/>
  <c r="Z908" i="1"/>
  <c r="X536" i="1"/>
  <c r="Y536" i="1"/>
  <c r="Z536" i="1"/>
  <c r="Y208" i="1"/>
  <c r="Z208" i="1"/>
  <c r="X208" i="1"/>
  <c r="W582" i="1"/>
  <c r="X580" i="1"/>
  <c r="Y580" i="1"/>
  <c r="Z580" i="1"/>
  <c r="W581" i="1"/>
  <c r="X709" i="1"/>
  <c r="Y709" i="1"/>
  <c r="Z709" i="1"/>
  <c r="X798" i="1"/>
  <c r="Y798" i="1"/>
  <c r="Z798" i="1"/>
  <c r="X879" i="1"/>
  <c r="Y879" i="1"/>
  <c r="Z879" i="1"/>
  <c r="X959" i="1"/>
  <c r="Y959" i="1"/>
  <c r="Z959" i="1"/>
  <c r="X1003" i="1"/>
  <c r="Y1003" i="1"/>
  <c r="Z1003" i="1"/>
  <c r="Z1190" i="1"/>
  <c r="X1190" i="1"/>
  <c r="Y1190" i="1"/>
  <c r="Z869" i="1"/>
  <c r="X869" i="1"/>
  <c r="Y869" i="1"/>
  <c r="Z1006" i="1"/>
  <c r="X1006" i="1"/>
  <c r="Y1006" i="1"/>
  <c r="X661" i="1"/>
  <c r="Y661" i="1"/>
  <c r="Z661" i="1"/>
  <c r="X1013" i="1"/>
  <c r="Y1013" i="1"/>
  <c r="Z1013" i="1"/>
  <c r="X1169" i="1"/>
  <c r="Y1169" i="1"/>
  <c r="Z1169" i="1"/>
  <c r="Z859" i="1"/>
  <c r="X859" i="1"/>
  <c r="Y859" i="1"/>
  <c r="Y1031" i="1"/>
  <c r="X1031" i="1"/>
  <c r="Z1031" i="1"/>
  <c r="Y637" i="1"/>
  <c r="W642" i="1"/>
  <c r="W641" i="1"/>
  <c r="W639" i="1"/>
  <c r="W640" i="1"/>
  <c r="X637" i="1"/>
  <c r="Z637" i="1"/>
  <c r="W638" i="1"/>
  <c r="Z669" i="1"/>
  <c r="X669" i="1"/>
  <c r="Y669" i="1"/>
  <c r="X1072" i="1"/>
  <c r="Y1072" i="1"/>
  <c r="Z1072" i="1"/>
  <c r="X1167" i="1"/>
  <c r="Y1167" i="1"/>
  <c r="Z1167" i="1"/>
  <c r="X903" i="1"/>
  <c r="Y903" i="1"/>
  <c r="Z903" i="1"/>
  <c r="Y1691" i="1"/>
  <c r="Z1691" i="1"/>
  <c r="X1691" i="1"/>
  <c r="X1545" i="1"/>
  <c r="Y1545" i="1"/>
  <c r="Z1545" i="1"/>
  <c r="X1672" i="1"/>
  <c r="W1674" i="1"/>
  <c r="W1675" i="1"/>
  <c r="Y1672" i="1"/>
  <c r="Z1672" i="1"/>
  <c r="W1673" i="1"/>
  <c r="Z1702" i="1"/>
  <c r="X1702" i="1"/>
  <c r="Y1702" i="1"/>
  <c r="X1491" i="1"/>
  <c r="Y1491" i="1"/>
  <c r="Z1491" i="1"/>
  <c r="Y1620" i="1"/>
  <c r="Z1620" i="1"/>
  <c r="X1620" i="1"/>
  <c r="X1505" i="1"/>
  <c r="Y1505" i="1"/>
  <c r="Z1505" i="1"/>
  <c r="X1578" i="1"/>
  <c r="Y1578" i="1"/>
  <c r="Z1578" i="1"/>
  <c r="X1640" i="1"/>
  <c r="Y1640" i="1"/>
  <c r="Z1640" i="1"/>
  <c r="X1039" i="1"/>
  <c r="Y1039" i="1"/>
  <c r="Z1039" i="1"/>
  <c r="Z1439" i="1"/>
  <c r="X1439" i="1"/>
  <c r="Y1439" i="1"/>
  <c r="Y1535" i="1"/>
  <c r="Z1535" i="1"/>
  <c r="X1535" i="1"/>
  <c r="X1576" i="1"/>
  <c r="Y1576" i="1"/>
  <c r="Z1576" i="1"/>
  <c r="X1696" i="1"/>
  <c r="Y1696" i="1"/>
  <c r="Z1696" i="1"/>
  <c r="Z2067" i="1"/>
  <c r="W2068" i="1"/>
  <c r="W2069" i="1"/>
  <c r="W2070" i="1"/>
  <c r="X2067" i="1"/>
  <c r="Y2067" i="1"/>
  <c r="W2071" i="1"/>
  <c r="W2492" i="1"/>
  <c r="X2489" i="1"/>
  <c r="W2493" i="1"/>
  <c r="Y2489" i="1"/>
  <c r="Z2489" i="1"/>
  <c r="W2491" i="1"/>
  <c r="W2490" i="1"/>
  <c r="W2494" i="1"/>
  <c r="Y2077" i="1"/>
  <c r="Z2077" i="1"/>
  <c r="W2078" i="1"/>
  <c r="W2079" i="1"/>
  <c r="W2080" i="1"/>
  <c r="X2077" i="1"/>
  <c r="W2081" i="1"/>
  <c r="X2590" i="1"/>
  <c r="Y2590" i="1"/>
  <c r="Z2590" i="1"/>
  <c r="X2606" i="1"/>
  <c r="Y2606" i="1"/>
  <c r="Z2606" i="1"/>
  <c r="Y2654" i="1"/>
  <c r="X2654" i="1"/>
  <c r="Z2654" i="1"/>
  <c r="Z2591" i="1"/>
  <c r="X2591" i="1"/>
  <c r="Y2591" i="1"/>
  <c r="Z2607" i="1"/>
  <c r="X2607" i="1"/>
  <c r="Y2607" i="1"/>
  <c r="X2641" i="1"/>
  <c r="Y2641" i="1"/>
  <c r="Z2641" i="1"/>
  <c r="Y2616" i="1"/>
  <c r="Z2616" i="1"/>
  <c r="X2616" i="1"/>
  <c r="Y542" i="1"/>
  <c r="Z542" i="1"/>
  <c r="X542" i="1"/>
  <c r="X446" i="1"/>
  <c r="Y446" i="1"/>
  <c r="Z446" i="1"/>
  <c r="W149" i="1"/>
  <c r="X147" i="1"/>
  <c r="Y147" i="1"/>
  <c r="Z147" i="1"/>
  <c r="W148" i="1"/>
  <c r="Y168" i="1"/>
  <c r="X168" i="1"/>
  <c r="Z168" i="1"/>
  <c r="W169" i="1"/>
  <c r="W170" i="1"/>
  <c r="X212" i="1"/>
  <c r="Y212" i="1"/>
  <c r="Z212" i="1"/>
  <c r="X498" i="1"/>
  <c r="Y498" i="1"/>
  <c r="Z498" i="1"/>
  <c r="X450" i="1"/>
  <c r="Y450" i="1"/>
  <c r="Z450" i="1"/>
  <c r="X521" i="1"/>
  <c r="Y521" i="1"/>
  <c r="Z521" i="1"/>
  <c r="U282" i="1"/>
  <c r="Z513" i="1"/>
  <c r="X513" i="1"/>
  <c r="Y513" i="1"/>
  <c r="Z451" i="1"/>
  <c r="X451" i="1"/>
  <c r="Y451" i="1"/>
  <c r="X200" i="1"/>
  <c r="W197" i="1"/>
  <c r="Y200" i="1"/>
  <c r="Z200" i="1"/>
  <c r="Y675" i="1"/>
  <c r="X675" i="1"/>
  <c r="Z675" i="1"/>
  <c r="X541" i="1"/>
  <c r="Y541" i="1"/>
  <c r="Z541" i="1"/>
  <c r="X774" i="1"/>
  <c r="Y774" i="1"/>
  <c r="Z774" i="1"/>
  <c r="X845" i="1"/>
  <c r="Y845" i="1"/>
  <c r="Z845" i="1"/>
  <c r="X961" i="1"/>
  <c r="Y961" i="1"/>
  <c r="Z961" i="1"/>
  <c r="Y508" i="1"/>
  <c r="Z508" i="1"/>
  <c r="X508" i="1"/>
  <c r="Y673" i="1"/>
  <c r="X673" i="1"/>
  <c r="Z673" i="1"/>
  <c r="X574" i="1"/>
  <c r="Y574" i="1"/>
  <c r="Z574" i="1"/>
  <c r="Y762" i="1"/>
  <c r="X762" i="1"/>
  <c r="Z762" i="1"/>
  <c r="X927" i="1"/>
  <c r="Y927" i="1"/>
  <c r="Z927" i="1"/>
  <c r="Y500" i="1"/>
  <c r="Z500" i="1"/>
  <c r="X500" i="1"/>
  <c r="X717" i="1"/>
  <c r="Y717" i="1"/>
  <c r="Z717" i="1"/>
  <c r="Y818" i="1"/>
  <c r="X818" i="1"/>
  <c r="Z818" i="1"/>
  <c r="X913" i="1"/>
  <c r="Y913" i="1"/>
  <c r="Z913" i="1"/>
  <c r="Z974" i="1"/>
  <c r="X974" i="1"/>
  <c r="Y974" i="1"/>
  <c r="W615" i="1"/>
  <c r="W616" i="1"/>
  <c r="W617" i="1"/>
  <c r="X613" i="1"/>
  <c r="Y613" i="1"/>
  <c r="Z613" i="1"/>
  <c r="W618" i="1"/>
  <c r="W614" i="1"/>
  <c r="X815" i="1"/>
  <c r="Y815" i="1"/>
  <c r="Z815" i="1"/>
  <c r="X1012" i="1"/>
  <c r="Y1012" i="1"/>
  <c r="Z1012" i="1"/>
  <c r="X1077" i="1"/>
  <c r="Y1077" i="1"/>
  <c r="Z1077" i="1"/>
  <c r="Y1086" i="1"/>
  <c r="Z1086" i="1"/>
  <c r="X1086" i="1"/>
  <c r="X1185" i="1"/>
  <c r="Y1185" i="1"/>
  <c r="Z1185" i="1"/>
  <c r="X1095" i="1"/>
  <c r="Y1095" i="1"/>
  <c r="Z1095" i="1"/>
  <c r="X732" i="1"/>
  <c r="Y732" i="1"/>
  <c r="Z732" i="1"/>
  <c r="X939" i="1"/>
  <c r="Y939" i="1"/>
  <c r="Z939" i="1"/>
  <c r="Z1189" i="1"/>
  <c r="X1189" i="1"/>
  <c r="Y1189" i="1"/>
  <c r="Z682" i="1"/>
  <c r="X682" i="1"/>
  <c r="Y682" i="1"/>
  <c r="X1102" i="1"/>
  <c r="Y1102" i="1"/>
  <c r="Z1102" i="1"/>
  <c r="Z1017" i="1"/>
  <c r="X1017" i="1"/>
  <c r="Y1017" i="1"/>
  <c r="X1085" i="1"/>
  <c r="Y1085" i="1"/>
  <c r="Z1085" i="1"/>
  <c r="X1033" i="1"/>
  <c r="Y1033" i="1"/>
  <c r="Z1033" i="1"/>
  <c r="X923" i="1"/>
  <c r="Y923" i="1"/>
  <c r="Z923" i="1"/>
  <c r="Z1718" i="1"/>
  <c r="X1718" i="1"/>
  <c r="Y1718" i="1"/>
  <c r="X1561" i="1"/>
  <c r="Y1561" i="1"/>
  <c r="Z1561" i="1"/>
  <c r="X1381" i="1"/>
  <c r="Y1381" i="1"/>
  <c r="Z1381" i="1"/>
  <c r="X1708" i="1"/>
  <c r="Y1708" i="1"/>
  <c r="Z1708" i="1"/>
  <c r="X1507" i="1"/>
  <c r="Y1507" i="1"/>
  <c r="Z1507" i="1"/>
  <c r="X1636" i="1"/>
  <c r="Y1636" i="1"/>
  <c r="Z1636" i="1"/>
  <c r="Y1521" i="1"/>
  <c r="X1521" i="1"/>
  <c r="Z1521" i="1"/>
  <c r="X1585" i="1"/>
  <c r="Y1585" i="1"/>
  <c r="Z1585" i="1"/>
  <c r="X1654" i="1"/>
  <c r="Y1654" i="1"/>
  <c r="Z1654" i="1"/>
  <c r="X454" i="1"/>
  <c r="Y454" i="1"/>
  <c r="Z454" i="1"/>
  <c r="Z1455" i="1"/>
  <c r="X1455" i="1"/>
  <c r="Y1455" i="1"/>
  <c r="Y1583" i="1"/>
  <c r="X1583" i="1"/>
  <c r="Z1583" i="1"/>
  <c r="Z1625" i="1"/>
  <c r="X1625" i="1"/>
  <c r="Y1625" i="1"/>
  <c r="X1703" i="1"/>
  <c r="Y1703" i="1"/>
  <c r="Z1703" i="1"/>
  <c r="Y1886" i="1"/>
  <c r="Z1886" i="1"/>
  <c r="W1887" i="1"/>
  <c r="X1887" i="1" s="1"/>
  <c r="W1888" i="1"/>
  <c r="X1888" i="1" s="1"/>
  <c r="W1889" i="1"/>
  <c r="X1886" i="1"/>
  <c r="Z1760" i="1"/>
  <c r="W1761" i="1"/>
  <c r="X1761" i="1" s="1"/>
  <c r="W1762" i="1"/>
  <c r="Z1762" i="1" s="1"/>
  <c r="X1760" i="1"/>
  <c r="Y1760" i="1"/>
  <c r="Y2010" i="1"/>
  <c r="Z2010" i="1"/>
  <c r="W2011" i="1"/>
  <c r="W2012" i="1"/>
  <c r="W2013" i="1"/>
  <c r="X2010" i="1"/>
  <c r="W2383" i="1"/>
  <c r="W2384" i="1"/>
  <c r="X2381" i="1"/>
  <c r="W2385" i="1"/>
  <c r="Y2381" i="1"/>
  <c r="W2386" i="1"/>
  <c r="Z2381" i="1"/>
  <c r="W2382" i="1"/>
  <c r="W2099" i="1"/>
  <c r="X2097" i="1"/>
  <c r="W2100" i="1"/>
  <c r="Y2097" i="1"/>
  <c r="W2101" i="1"/>
  <c r="Z2097" i="1"/>
  <c r="W2098" i="1"/>
  <c r="Z2363" i="1"/>
  <c r="W2364" i="1"/>
  <c r="W2365" i="1"/>
  <c r="W2366" i="1"/>
  <c r="X2363" i="1"/>
  <c r="W2368" i="1"/>
  <c r="Y2363" i="1"/>
  <c r="W2367" i="1"/>
  <c r="W2539" i="1"/>
  <c r="W2542" i="1"/>
  <c r="W2540" i="1"/>
  <c r="Y2537" i="1"/>
  <c r="W2541" i="1"/>
  <c r="Z2537" i="1"/>
  <c r="W2538" i="1"/>
  <c r="X2537" i="1"/>
  <c r="Y2082" i="1"/>
  <c r="W2085" i="1"/>
  <c r="Z2082" i="1"/>
  <c r="W2083" i="1"/>
  <c r="W2086" i="1"/>
  <c r="X2082" i="1"/>
  <c r="W2084" i="1"/>
  <c r="Z2243" i="1"/>
  <c r="W2244" i="1"/>
  <c r="W2248" i="1"/>
  <c r="W2245" i="1"/>
  <c r="W2246" i="1"/>
  <c r="X2243" i="1"/>
  <c r="W2247" i="1"/>
  <c r="Y2243" i="1"/>
  <c r="Y2631" i="1"/>
  <c r="X2631" i="1"/>
  <c r="Z2631" i="1"/>
  <c r="Z2593" i="1"/>
  <c r="X2593" i="1"/>
  <c r="Y2593" i="1"/>
  <c r="Z2609" i="1"/>
  <c r="Y2609" i="1"/>
  <c r="X2609" i="1"/>
  <c r="Y2596" i="1"/>
  <c r="Z2596" i="1"/>
  <c r="X2596" i="1"/>
  <c r="X2648" i="1"/>
  <c r="Y2648" i="1"/>
  <c r="Z2648" i="1"/>
  <c r="X2629" i="1"/>
  <c r="Y2629" i="1"/>
  <c r="Z2629" i="1"/>
  <c r="X470" i="1"/>
  <c r="Y470" i="1"/>
  <c r="Z470" i="1"/>
  <c r="U342" i="1"/>
  <c r="X26" i="1"/>
  <c r="Y26" i="1"/>
  <c r="Z26" i="1"/>
  <c r="X128" i="1"/>
  <c r="Y128" i="1"/>
  <c r="Z128" i="1"/>
  <c r="X506" i="1"/>
  <c r="Y506" i="1"/>
  <c r="Z506" i="1"/>
  <c r="Y456" i="1"/>
  <c r="X456" i="1"/>
  <c r="Z456" i="1"/>
  <c r="X442" i="1"/>
  <c r="Y442" i="1"/>
  <c r="Z442" i="1"/>
  <c r="X531" i="1"/>
  <c r="Y531" i="1"/>
  <c r="Z531" i="1"/>
  <c r="X690" i="1"/>
  <c r="Y690" i="1"/>
  <c r="Z690" i="1"/>
  <c r="X619" i="1"/>
  <c r="W623" i="1"/>
  <c r="Y619" i="1"/>
  <c r="Z619" i="1"/>
  <c r="W620" i="1"/>
  <c r="W621" i="1"/>
  <c r="W622" i="1"/>
  <c r="W624" i="1"/>
  <c r="X700" i="1"/>
  <c r="Z700" i="1"/>
  <c r="Y700" i="1"/>
  <c r="X564" i="1"/>
  <c r="Y564" i="1"/>
  <c r="Z564" i="1"/>
  <c r="X852" i="1"/>
  <c r="Y852" i="1"/>
  <c r="Z852" i="1"/>
  <c r="Z964" i="1"/>
  <c r="X964" i="1"/>
  <c r="Y964" i="1"/>
  <c r="Y683" i="1"/>
  <c r="X683" i="1"/>
  <c r="Z683" i="1"/>
  <c r="W371" i="1"/>
  <c r="W372" i="1"/>
  <c r="X367" i="1"/>
  <c r="Y367" i="1"/>
  <c r="Z367" i="1"/>
  <c r="W368" i="1"/>
  <c r="Y368" i="1" s="1"/>
  <c r="W369" i="1"/>
  <c r="Z369" i="1" s="1"/>
  <c r="W370" i="1"/>
  <c r="X370" i="1" s="1"/>
  <c r="X775" i="1"/>
  <c r="Y775" i="1"/>
  <c r="Z775" i="1"/>
  <c r="Y930" i="1"/>
  <c r="Z930" i="1"/>
  <c r="X930" i="1"/>
  <c r="U575" i="1"/>
  <c r="X660" i="1"/>
  <c r="Z660" i="1"/>
  <c r="Y660" i="1"/>
  <c r="X761" i="1"/>
  <c r="Y761" i="1"/>
  <c r="Z761" i="1"/>
  <c r="X829" i="1"/>
  <c r="Y829" i="1"/>
  <c r="Z829" i="1"/>
  <c r="Z919" i="1"/>
  <c r="X919" i="1"/>
  <c r="Y919" i="1"/>
  <c r="X1019" i="1"/>
  <c r="Y1019" i="1"/>
  <c r="Z1019" i="1"/>
  <c r="X914" i="1"/>
  <c r="Z914" i="1"/>
  <c r="Y914" i="1"/>
  <c r="X1092" i="1"/>
  <c r="Y1092" i="1"/>
  <c r="Z1092" i="1"/>
  <c r="Z724" i="1"/>
  <c r="Y724" i="1"/>
  <c r="W725" i="1"/>
  <c r="W726" i="1"/>
  <c r="W727" i="1"/>
  <c r="X724" i="1"/>
  <c r="X1110" i="1"/>
  <c r="Y1110" i="1"/>
  <c r="Z1110" i="1"/>
  <c r="X1188" i="1"/>
  <c r="Y1188" i="1"/>
  <c r="Z1188" i="1"/>
  <c r="X954" i="1"/>
  <c r="Y954" i="1"/>
  <c r="Z954" i="1"/>
  <c r="Y1098" i="1"/>
  <c r="X1098" i="1"/>
  <c r="Z1098" i="1"/>
  <c r="X969" i="1"/>
  <c r="Y969" i="1"/>
  <c r="Z969" i="1"/>
  <c r="U594" i="1"/>
  <c r="X692" i="1"/>
  <c r="Z692" i="1"/>
  <c r="Y692" i="1"/>
  <c r="X1023" i="1"/>
  <c r="Y1023" i="1"/>
  <c r="Z1023" i="1"/>
  <c r="X1057" i="1"/>
  <c r="Y1057" i="1"/>
  <c r="Z1057" i="1"/>
  <c r="Y1181" i="1"/>
  <c r="Z1181" i="1"/>
  <c r="X1181" i="1"/>
  <c r="X119" i="1"/>
  <c r="Y119" i="1"/>
  <c r="Z119" i="1"/>
  <c r="X1449" i="1"/>
  <c r="Y1449" i="1"/>
  <c r="Z1449" i="1"/>
  <c r="Y1577" i="1"/>
  <c r="Z1577" i="1"/>
  <c r="X1577" i="1"/>
  <c r="X1686" i="1"/>
  <c r="Y1686" i="1"/>
  <c r="Z1686" i="1"/>
  <c r="X1429" i="1"/>
  <c r="Y1429" i="1"/>
  <c r="Z1429" i="1"/>
  <c r="X1523" i="1"/>
  <c r="Y1523" i="1"/>
  <c r="Z1523" i="1"/>
  <c r="X1530" i="1"/>
  <c r="Y1530" i="1"/>
  <c r="Z1530" i="1"/>
  <c r="X1594" i="1"/>
  <c r="Y1594" i="1"/>
  <c r="Z1594" i="1"/>
  <c r="Z1676" i="1"/>
  <c r="X1676" i="1"/>
  <c r="Y1676" i="1"/>
  <c r="X475" i="1"/>
  <c r="Y475" i="1"/>
  <c r="Z475" i="1"/>
  <c r="X1385" i="1"/>
  <c r="Y1385" i="1"/>
  <c r="Z1385" i="1"/>
  <c r="Z1471" i="1"/>
  <c r="X1471" i="1"/>
  <c r="Y1471" i="1"/>
  <c r="X1544" i="1"/>
  <c r="Y1544" i="1"/>
  <c r="Z1544" i="1"/>
  <c r="X1632" i="1"/>
  <c r="Y1632" i="1"/>
  <c r="Z1632" i="1"/>
  <c r="Z2014" i="1"/>
  <c r="W2015" i="1"/>
  <c r="W2016" i="1"/>
  <c r="W2017" i="1"/>
  <c r="X2014" i="1"/>
  <c r="Y2014" i="1"/>
  <c r="W2175" i="1"/>
  <c r="X2171" i="1"/>
  <c r="Y2171" i="1"/>
  <c r="W2176" i="1"/>
  <c r="Z2171" i="1"/>
  <c r="W2173" i="1"/>
  <c r="W2174" i="1"/>
  <c r="W2172" i="1"/>
  <c r="W2557" i="1"/>
  <c r="W2558" i="1"/>
  <c r="W2559" i="1"/>
  <c r="Y2555" i="1"/>
  <c r="Z2555" i="1"/>
  <c r="W2556" i="1"/>
  <c r="X2555" i="1"/>
  <c r="W2560" i="1"/>
  <c r="W2251" i="1"/>
  <c r="W2252" i="1"/>
  <c r="W2253" i="1"/>
  <c r="X2249" i="1"/>
  <c r="W2254" i="1"/>
  <c r="Z2249" i="1"/>
  <c r="W2250" i="1"/>
  <c r="Y2249" i="1"/>
  <c r="W2468" i="1"/>
  <c r="X2465" i="1"/>
  <c r="W2469" i="1"/>
  <c r="Y2465" i="1"/>
  <c r="Z2465" i="1"/>
  <c r="W2470" i="1"/>
  <c r="W2467" i="1"/>
  <c r="W2466" i="1"/>
  <c r="X2645" i="1"/>
  <c r="Y2645" i="1"/>
  <c r="Z2645" i="1"/>
  <c r="Z2594" i="1"/>
  <c r="X2594" i="1"/>
  <c r="Y2594" i="1"/>
  <c r="X2610" i="1"/>
  <c r="Y2610" i="1"/>
  <c r="Z2610" i="1"/>
  <c r="X2595" i="1"/>
  <c r="Y2595" i="1"/>
  <c r="Z2595" i="1"/>
  <c r="X2652" i="1"/>
  <c r="Y2652" i="1"/>
  <c r="Z2652" i="1"/>
  <c r="X2636" i="1"/>
  <c r="Y2636" i="1"/>
  <c r="Z2636" i="1"/>
  <c r="X250" i="1"/>
  <c r="Y250" i="1"/>
  <c r="Z250" i="1"/>
  <c r="W308" i="1"/>
  <c r="W312" i="1"/>
  <c r="X307" i="1"/>
  <c r="Y307" i="1"/>
  <c r="Z307" i="1"/>
  <c r="W309" i="1"/>
  <c r="W310" i="1"/>
  <c r="W311" i="1"/>
  <c r="X311" i="1" s="1"/>
  <c r="X43" i="1"/>
  <c r="Y43" i="1"/>
  <c r="Z43" i="1"/>
  <c r="Z222" i="1"/>
  <c r="Y222" i="1"/>
  <c r="X222" i="1"/>
  <c r="X514" i="1"/>
  <c r="Y514" i="1"/>
  <c r="Z514" i="1"/>
  <c r="X40" i="1"/>
  <c r="Z40" i="1"/>
  <c r="Y40" i="1"/>
  <c r="W293" i="1"/>
  <c r="X292" i="1"/>
  <c r="Y292" i="1"/>
  <c r="Z292" i="1"/>
  <c r="W294" i="1"/>
  <c r="X459" i="1"/>
  <c r="Y459" i="1"/>
  <c r="Z459" i="1"/>
  <c r="Y516" i="1"/>
  <c r="Z516" i="1"/>
  <c r="X516" i="1"/>
  <c r="Z769" i="1"/>
  <c r="X769" i="1"/>
  <c r="Y769" i="1"/>
  <c r="X576" i="1"/>
  <c r="Y576" i="1"/>
  <c r="Z576" i="1"/>
  <c r="X805" i="1"/>
  <c r="Y805" i="1"/>
  <c r="Z805" i="1"/>
  <c r="Y857" i="1"/>
  <c r="X857" i="1"/>
  <c r="Z857" i="1"/>
  <c r="X528" i="1"/>
  <c r="Y528" i="1"/>
  <c r="Z528" i="1"/>
  <c r="X625" i="1"/>
  <c r="Y625" i="1"/>
  <c r="W629" i="1"/>
  <c r="Z625" i="1"/>
  <c r="W630" i="1"/>
  <c r="W626" i="1"/>
  <c r="W627" i="1"/>
  <c r="W628" i="1"/>
  <c r="X929" i="1"/>
  <c r="Y929" i="1"/>
  <c r="Z929" i="1"/>
  <c r="X670" i="1"/>
  <c r="Z670" i="1"/>
  <c r="Y670" i="1"/>
  <c r="Z814" i="1"/>
  <c r="X814" i="1"/>
  <c r="Y814" i="1"/>
  <c r="Y967" i="1"/>
  <c r="X967" i="1"/>
  <c r="Z967" i="1"/>
  <c r="X693" i="1"/>
  <c r="Y693" i="1"/>
  <c r="Z693" i="1"/>
  <c r="X543" i="1"/>
  <c r="Y543" i="1"/>
  <c r="Z543" i="1"/>
  <c r="X668" i="1"/>
  <c r="Y668" i="1"/>
  <c r="Z668" i="1"/>
  <c r="X768" i="1"/>
  <c r="Y768" i="1"/>
  <c r="Z768" i="1"/>
  <c r="Y844" i="1"/>
  <c r="X844" i="1"/>
  <c r="Z844" i="1"/>
  <c r="X933" i="1"/>
  <c r="Y933" i="1"/>
  <c r="Z933" i="1"/>
  <c r="Y1025" i="1"/>
  <c r="Z1025" i="1"/>
  <c r="X1025" i="1"/>
  <c r="Y945" i="1"/>
  <c r="X945" i="1"/>
  <c r="Z945" i="1"/>
  <c r="X1051" i="1"/>
  <c r="Y1051" i="1"/>
  <c r="Z1051" i="1"/>
  <c r="Y1134" i="1"/>
  <c r="X1134" i="1"/>
  <c r="Z1134" i="1"/>
  <c r="X1119" i="1"/>
  <c r="Y1119" i="1"/>
  <c r="Z1119" i="1"/>
  <c r="X1191" i="1"/>
  <c r="Y1191" i="1"/>
  <c r="Z1191" i="1"/>
  <c r="X771" i="1"/>
  <c r="Y771" i="1"/>
  <c r="Z771" i="1"/>
  <c r="X537" i="1"/>
  <c r="Y537" i="1"/>
  <c r="Z537" i="1"/>
  <c r="Z1038" i="1"/>
  <c r="X1038" i="1"/>
  <c r="Y1038" i="1"/>
  <c r="X1175" i="1"/>
  <c r="Y1175" i="1"/>
  <c r="Z1175" i="1"/>
  <c r="X1024" i="1"/>
  <c r="Y1024" i="1"/>
  <c r="Z1024" i="1"/>
  <c r="X718" i="1"/>
  <c r="Y718" i="1"/>
  <c r="Z718" i="1"/>
  <c r="X1465" i="1"/>
  <c r="Y1465" i="1"/>
  <c r="Z1465" i="1"/>
  <c r="X1593" i="1"/>
  <c r="Y1593" i="1"/>
  <c r="Z1593" i="1"/>
  <c r="Y1689" i="1"/>
  <c r="X1689" i="1"/>
  <c r="Z1689" i="1"/>
  <c r="Y1656" i="1"/>
  <c r="W1658" i="1"/>
  <c r="W1659" i="1"/>
  <c r="X1656" i="1"/>
  <c r="Z1656" i="1"/>
  <c r="W1657" i="1"/>
  <c r="X1387" i="1"/>
  <c r="Y1387" i="1"/>
  <c r="Z1387" i="1"/>
  <c r="X1539" i="1"/>
  <c r="Y1539" i="1"/>
  <c r="Z1539" i="1"/>
  <c r="Y1537" i="1"/>
  <c r="X1537" i="1"/>
  <c r="Z1537" i="1"/>
  <c r="X1601" i="1"/>
  <c r="Y1601" i="1"/>
  <c r="Z1601" i="1"/>
  <c r="X1690" i="1"/>
  <c r="Y1690" i="1"/>
  <c r="Z1690" i="1"/>
  <c r="X1393" i="1"/>
  <c r="Y1393" i="1"/>
  <c r="Z1393" i="1"/>
  <c r="Z1487" i="1"/>
  <c r="X1487" i="1"/>
  <c r="Y1487" i="1"/>
  <c r="Y1551" i="1"/>
  <c r="X1551" i="1"/>
  <c r="Z1551" i="1"/>
  <c r="X1592" i="1"/>
  <c r="Y1592" i="1"/>
  <c r="Z1592" i="1"/>
  <c r="X1646" i="1"/>
  <c r="Y1646" i="1"/>
  <c r="Z1646" i="1"/>
  <c r="W1997" i="1"/>
  <c r="X1994" i="1"/>
  <c r="Y1994" i="1"/>
  <c r="Z1994" i="1"/>
  <c r="W1995" i="1"/>
  <c r="W1996" i="1"/>
  <c r="Y1996" i="1" s="1"/>
  <c r="W2208" i="1"/>
  <c r="W2209" i="1"/>
  <c r="W2210" i="1"/>
  <c r="W2211" i="1"/>
  <c r="W2212" i="1"/>
  <c r="Y2207" i="1"/>
  <c r="Z2207" i="1"/>
  <c r="X2207" i="1"/>
  <c r="Y2107" i="1"/>
  <c r="Z2107" i="1"/>
  <c r="W2108" i="1"/>
  <c r="W2109" i="1"/>
  <c r="W2110" i="1"/>
  <c r="X2107" i="1"/>
  <c r="W2111" i="1"/>
  <c r="W2520" i="1"/>
  <c r="W2524" i="1"/>
  <c r="W2521" i="1"/>
  <c r="X2519" i="1"/>
  <c r="W2523" i="1"/>
  <c r="Y2519" i="1"/>
  <c r="Z2519" i="1"/>
  <c r="W2522" i="1"/>
  <c r="X2597" i="1"/>
  <c r="Z2597" i="1"/>
  <c r="Y2597" i="1"/>
  <c r="Z2549" i="1"/>
  <c r="W2550" i="1"/>
  <c r="W2554" i="1"/>
  <c r="X2549" i="1"/>
  <c r="W2552" i="1"/>
  <c r="Y2549" i="1"/>
  <c r="W2553" i="1"/>
  <c r="W2551" i="1"/>
  <c r="X2584" i="1"/>
  <c r="Y2584" i="1"/>
  <c r="Z2584" i="1"/>
  <c r="Y2600" i="1"/>
  <c r="Z2600" i="1"/>
  <c r="X2600" i="1"/>
  <c r="X2639" i="1"/>
  <c r="Y2639" i="1"/>
  <c r="Z2639" i="1"/>
  <c r="X2152" i="1"/>
  <c r="V1639" i="1"/>
  <c r="W1639" i="1" s="1"/>
  <c r="X486" i="1"/>
  <c r="Y486" i="1"/>
  <c r="Z486" i="1"/>
  <c r="W487" i="1"/>
  <c r="W488" i="1"/>
  <c r="W489" i="1"/>
  <c r="X59" i="1"/>
  <c r="Y59" i="1"/>
  <c r="Z59" i="1"/>
  <c r="Z176" i="1"/>
  <c r="W177" i="1"/>
  <c r="W178" i="1"/>
  <c r="X176" i="1"/>
  <c r="Y176" i="1"/>
  <c r="X234" i="1"/>
  <c r="Y234" i="1"/>
  <c r="Z234" i="1"/>
  <c r="X443" i="1"/>
  <c r="Y443" i="1"/>
  <c r="Z443" i="1"/>
  <c r="Z532" i="1"/>
  <c r="W533" i="1"/>
  <c r="W534" i="1"/>
  <c r="W535" i="1"/>
  <c r="X532" i="1"/>
  <c r="Y532" i="1"/>
  <c r="X57" i="1"/>
  <c r="Y57" i="1"/>
  <c r="Z57" i="1"/>
  <c r="Z865" i="1"/>
  <c r="X865" i="1"/>
  <c r="Y865" i="1"/>
  <c r="W493" i="1"/>
  <c r="W494" i="1"/>
  <c r="X491" i="1"/>
  <c r="Y491" i="1"/>
  <c r="Z491" i="1"/>
  <c r="W492" i="1"/>
  <c r="X875" i="1"/>
  <c r="Y875" i="1"/>
  <c r="Z875" i="1"/>
  <c r="X811" i="1"/>
  <c r="Y811" i="1"/>
  <c r="Z811" i="1"/>
  <c r="X860" i="1"/>
  <c r="Y860" i="1"/>
  <c r="Z860" i="1"/>
  <c r="U577" i="1"/>
  <c r="Z785" i="1"/>
  <c r="X785" i="1"/>
  <c r="Y785" i="1"/>
  <c r="X937" i="1"/>
  <c r="Y937" i="1"/>
  <c r="Z937" i="1"/>
  <c r="X678" i="1"/>
  <c r="Z678" i="1"/>
  <c r="Y678" i="1"/>
  <c r="X820" i="1"/>
  <c r="Y820" i="1"/>
  <c r="Z820" i="1"/>
  <c r="X55" i="1"/>
  <c r="Y55" i="1"/>
  <c r="Z55" i="1"/>
  <c r="U360" i="1"/>
  <c r="X676" i="1"/>
  <c r="Z676" i="1"/>
  <c r="Y676" i="1"/>
  <c r="Y770" i="1"/>
  <c r="X770" i="1"/>
  <c r="Z770" i="1"/>
  <c r="X847" i="1"/>
  <c r="Y847" i="1"/>
  <c r="Z847" i="1"/>
  <c r="X938" i="1"/>
  <c r="Y938" i="1"/>
  <c r="Z938" i="1"/>
  <c r="Z1028" i="1"/>
  <c r="X1028" i="1"/>
  <c r="Y1028" i="1"/>
  <c r="X960" i="1"/>
  <c r="Y960" i="1"/>
  <c r="Z960" i="1"/>
  <c r="X1054" i="1"/>
  <c r="Y1054" i="1"/>
  <c r="Z1054" i="1"/>
  <c r="Z931" i="1"/>
  <c r="X931" i="1"/>
  <c r="Y931" i="1"/>
  <c r="Z1140" i="1"/>
  <c r="X1140" i="1"/>
  <c r="Y1140" i="1"/>
  <c r="Y957" i="1"/>
  <c r="X957" i="1"/>
  <c r="Z957" i="1"/>
  <c r="X1194" i="1"/>
  <c r="Y1194" i="1"/>
  <c r="Z1194" i="1"/>
  <c r="X975" i="1"/>
  <c r="Y975" i="1"/>
  <c r="Z975" i="1"/>
  <c r="Z1104" i="1"/>
  <c r="X1104" i="1"/>
  <c r="Y1104" i="1"/>
  <c r="X982" i="1"/>
  <c r="Y982" i="1"/>
  <c r="Z982" i="1"/>
  <c r="Y702" i="1"/>
  <c r="Z702" i="1"/>
  <c r="X702" i="1"/>
  <c r="W592" i="1"/>
  <c r="W593" i="1"/>
  <c r="X589" i="1"/>
  <c r="Y589" i="1"/>
  <c r="Z589" i="1"/>
  <c r="W594" i="1"/>
  <c r="W590" i="1"/>
  <c r="W591" i="1"/>
  <c r="Z710" i="1"/>
  <c r="X710" i="1"/>
  <c r="Y710" i="1"/>
  <c r="Y1109" i="1"/>
  <c r="X1109" i="1"/>
  <c r="Z1109" i="1"/>
  <c r="Y1021" i="1"/>
  <c r="X1021" i="1"/>
  <c r="Z1021" i="1"/>
  <c r="X1481" i="1"/>
  <c r="Y1481" i="1"/>
  <c r="Z1481" i="1"/>
  <c r="Z1610" i="1"/>
  <c r="X1610" i="1"/>
  <c r="Y1610" i="1"/>
  <c r="X1700" i="1"/>
  <c r="Y1700" i="1"/>
  <c r="Z1700" i="1"/>
  <c r="X1427" i="1"/>
  <c r="Y1427" i="1"/>
  <c r="Z1427" i="1"/>
  <c r="Y1555" i="1"/>
  <c r="Z1555" i="1"/>
  <c r="X1555" i="1"/>
  <c r="X1441" i="1"/>
  <c r="Y1441" i="1"/>
  <c r="Z1441" i="1"/>
  <c r="X1546" i="1"/>
  <c r="Y1546" i="1"/>
  <c r="Z1546" i="1"/>
  <c r="Z1611" i="1"/>
  <c r="X1611" i="1"/>
  <c r="Y1611" i="1"/>
  <c r="Z1717" i="1"/>
  <c r="X1717" i="1"/>
  <c r="Y1717" i="1"/>
  <c r="X1401" i="1"/>
  <c r="Y1401" i="1"/>
  <c r="Z1401" i="1"/>
  <c r="Z1503" i="1"/>
  <c r="Y1503" i="1"/>
  <c r="X1503" i="1"/>
  <c r="Y1599" i="1"/>
  <c r="X1599" i="1"/>
  <c r="Z1599" i="1"/>
  <c r="W1900" i="1"/>
  <c r="W1901" i="1"/>
  <c r="X1901" i="1" s="1"/>
  <c r="X1898" i="1"/>
  <c r="Y1898" i="1"/>
  <c r="Z1898" i="1"/>
  <c r="W1899" i="1"/>
  <c r="X1899" i="1" s="1"/>
  <c r="Z2429" i="1"/>
  <c r="W2430" i="1"/>
  <c r="W2431" i="1"/>
  <c r="X2429" i="1"/>
  <c r="W2433" i="1"/>
  <c r="Y2429" i="1"/>
  <c r="W2434" i="1"/>
  <c r="W2432" i="1"/>
  <c r="W2348" i="1"/>
  <c r="X2345" i="1"/>
  <c r="W2349" i="1"/>
  <c r="Y2345" i="1"/>
  <c r="Z2345" i="1"/>
  <c r="W2350" i="1"/>
  <c r="W2347" i="1"/>
  <c r="W2346" i="1"/>
  <c r="W2203" i="1"/>
  <c r="W2204" i="1"/>
  <c r="W2205" i="1"/>
  <c r="X2201" i="1"/>
  <c r="W2206" i="1"/>
  <c r="Z2201" i="1"/>
  <c r="W2202" i="1"/>
  <c r="Y2201" i="1"/>
  <c r="X2598" i="1"/>
  <c r="Y2598" i="1"/>
  <c r="Z2598" i="1"/>
  <c r="Z2627" i="1"/>
  <c r="Y2627" i="1"/>
  <c r="W2625" i="1"/>
  <c r="X2627" i="1"/>
  <c r="X2599" i="1"/>
  <c r="Y2599" i="1"/>
  <c r="Z2599" i="1"/>
  <c r="X399" i="1"/>
  <c r="Z2651" i="1"/>
  <c r="X2651" i="1"/>
  <c r="Y2651" i="1"/>
  <c r="Y349" i="1"/>
  <c r="W352" i="1"/>
  <c r="W353" i="1"/>
  <c r="W354" i="1"/>
  <c r="X349" i="1"/>
  <c r="Z349" i="1"/>
  <c r="W350" i="1"/>
  <c r="W351" i="1"/>
  <c r="X115" i="1"/>
  <c r="Y115" i="1"/>
  <c r="Z115" i="1"/>
  <c r="Y136" i="1"/>
  <c r="Z136" i="1"/>
  <c r="X136" i="1"/>
  <c r="Y201" i="1"/>
  <c r="X201" i="1"/>
  <c r="Z201" i="1"/>
  <c r="X490" i="1"/>
  <c r="Y490" i="1"/>
  <c r="Z490" i="1"/>
  <c r="X218" i="1"/>
  <c r="Y218" i="1"/>
  <c r="Z218" i="1"/>
  <c r="X480" i="1"/>
  <c r="Y480" i="1"/>
  <c r="Z480" i="1"/>
  <c r="X540" i="1"/>
  <c r="Y540" i="1"/>
  <c r="Z540" i="1"/>
  <c r="Z942" i="1"/>
  <c r="X942" i="1"/>
  <c r="Y942" i="1"/>
  <c r="W646" i="1"/>
  <c r="X643" i="1"/>
  <c r="W648" i="1"/>
  <c r="Y643" i="1"/>
  <c r="Z643" i="1"/>
  <c r="W644" i="1"/>
  <c r="W645" i="1"/>
  <c r="W647" i="1"/>
  <c r="Z887" i="1"/>
  <c r="X887" i="1"/>
  <c r="Y887" i="1"/>
  <c r="X448" i="1"/>
  <c r="Y448" i="1"/>
  <c r="Z448" i="1"/>
  <c r="X816" i="1"/>
  <c r="Y816" i="1"/>
  <c r="Z816" i="1"/>
  <c r="X445" i="1"/>
  <c r="Y445" i="1"/>
  <c r="Z445" i="1"/>
  <c r="X813" i="1"/>
  <c r="Y813" i="1"/>
  <c r="Z813" i="1"/>
  <c r="X943" i="1"/>
  <c r="Y943" i="1"/>
  <c r="Z943" i="1"/>
  <c r="Z891" i="1"/>
  <c r="Y891" i="1"/>
  <c r="X891" i="1"/>
  <c r="X850" i="1"/>
  <c r="Y850" i="1"/>
  <c r="Z850" i="1"/>
  <c r="X1037" i="1"/>
  <c r="Y1037" i="1"/>
  <c r="Z1037" i="1"/>
  <c r="X749" i="1"/>
  <c r="Y749" i="1"/>
  <c r="Z749" i="1"/>
  <c r="Z1070" i="1"/>
  <c r="X1070" i="1"/>
  <c r="Y1070" i="1"/>
  <c r="Y1156" i="1"/>
  <c r="X1156" i="1"/>
  <c r="Z1156" i="1"/>
  <c r="X998" i="1"/>
  <c r="Y998" i="1"/>
  <c r="Z998" i="1"/>
  <c r="X1146" i="1"/>
  <c r="Y1146" i="1"/>
  <c r="Z1146" i="1"/>
  <c r="X1200" i="1"/>
  <c r="Y1200" i="1"/>
  <c r="Z1200" i="1"/>
  <c r="Z1117" i="1"/>
  <c r="X1117" i="1"/>
  <c r="Y1117" i="1"/>
  <c r="X856" i="1"/>
  <c r="Y856" i="1"/>
  <c r="Z856" i="1"/>
  <c r="Y573" i="1"/>
  <c r="Z573" i="1"/>
  <c r="X573" i="1"/>
  <c r="X1056" i="1"/>
  <c r="Y1056" i="1"/>
  <c r="Z1056" i="1"/>
  <c r="X1115" i="1"/>
  <c r="Y1115" i="1"/>
  <c r="Z1115" i="1"/>
  <c r="Y776" i="1"/>
  <c r="Z776" i="1"/>
  <c r="X776" i="1"/>
  <c r="Z1178" i="1"/>
  <c r="X1178" i="1"/>
  <c r="Y1178" i="1"/>
  <c r="X1437" i="1"/>
  <c r="Y1437" i="1"/>
  <c r="Z1437" i="1"/>
  <c r="X1497" i="1"/>
  <c r="Y1497" i="1"/>
  <c r="Z1497" i="1"/>
  <c r="Z1626" i="1"/>
  <c r="X1626" i="1"/>
  <c r="Y1626" i="1"/>
  <c r="Z1707" i="1"/>
  <c r="X1707" i="1"/>
  <c r="Y1707" i="1"/>
  <c r="X1443" i="1"/>
  <c r="Y1443" i="1"/>
  <c r="Z1443" i="1"/>
  <c r="X1571" i="1"/>
  <c r="Y1571" i="1"/>
  <c r="Z1571" i="1"/>
  <c r="X1457" i="1"/>
  <c r="Y1457" i="1"/>
  <c r="Z1457" i="1"/>
  <c r="X1553" i="1"/>
  <c r="Y1553" i="1"/>
  <c r="Z1553" i="1"/>
  <c r="Z1618" i="1"/>
  <c r="X1618" i="1"/>
  <c r="Y1618" i="1"/>
  <c r="Y1723" i="1"/>
  <c r="Z1723" i="1"/>
  <c r="X1723" i="1"/>
  <c r="X519" i="1"/>
  <c r="Y519" i="1"/>
  <c r="Z519" i="1"/>
  <c r="X1409" i="1"/>
  <c r="Y1409" i="1"/>
  <c r="Z1409" i="1"/>
  <c r="Y1519" i="1"/>
  <c r="X1519" i="1"/>
  <c r="Z1519" i="1"/>
  <c r="Z1560" i="1"/>
  <c r="X1560" i="1"/>
  <c r="Y1560" i="1"/>
  <c r="X1882" i="1"/>
  <c r="Y1882" i="1"/>
  <c r="Z1882" i="1"/>
  <c r="W1883" i="1"/>
  <c r="W1884" i="1"/>
  <c r="W1885" i="1"/>
  <c r="Z1776" i="1"/>
  <c r="X1776" i="1"/>
  <c r="Y1776" i="1"/>
  <c r="W2546" i="1"/>
  <c r="X2543" i="1"/>
  <c r="Y2543" i="1"/>
  <c r="W2547" i="1"/>
  <c r="W2545" i="1"/>
  <c r="W2544" i="1"/>
  <c r="W2548" i="1"/>
  <c r="Z2543" i="1"/>
  <c r="W2473" i="1"/>
  <c r="W2474" i="1"/>
  <c r="Y2471" i="1"/>
  <c r="W2475" i="1"/>
  <c r="Z2471" i="1"/>
  <c r="W2476" i="1"/>
  <c r="W2472" i="1"/>
  <c r="X2471" i="1"/>
  <c r="W2388" i="1"/>
  <c r="W2389" i="1"/>
  <c r="W2390" i="1"/>
  <c r="W2391" i="1"/>
  <c r="X2387" i="1"/>
  <c r="Y2387" i="1"/>
  <c r="Z2387" i="1"/>
  <c r="W2392" i="1"/>
  <c r="W2562" i="1"/>
  <c r="W2563" i="1"/>
  <c r="Y2561" i="1"/>
  <c r="W2566" i="1"/>
  <c r="Z2561" i="1"/>
  <c r="X2561" i="1"/>
  <c r="W2564" i="1"/>
  <c r="W2565" i="1"/>
  <c r="Z2585" i="1"/>
  <c r="X2585" i="1"/>
  <c r="Y2585" i="1"/>
  <c r="Z2601" i="1"/>
  <c r="X2601" i="1"/>
  <c r="Y2601" i="1"/>
  <c r="Y2630" i="1"/>
  <c r="Z2630" i="1"/>
  <c r="X2630" i="1"/>
  <c r="X2573" i="1"/>
  <c r="Y2573" i="1"/>
  <c r="Z2573" i="1"/>
  <c r="W2578" i="1"/>
  <c r="W2576" i="1"/>
  <c r="W2577" i="1"/>
  <c r="W2574" i="1"/>
  <c r="W2575" i="1"/>
  <c r="X2612" i="1"/>
  <c r="Y2612" i="1"/>
  <c r="Z2612" i="1"/>
  <c r="Y2588" i="1"/>
  <c r="Z2588" i="1"/>
  <c r="X2588" i="1"/>
  <c r="Y2604" i="1"/>
  <c r="Z2604" i="1"/>
  <c r="X2604" i="1"/>
  <c r="Z2372" i="1"/>
  <c r="X355" i="1"/>
  <c r="W360" i="1"/>
  <c r="W358" i="1"/>
  <c r="W359" i="1"/>
  <c r="Z359" i="1" s="1"/>
  <c r="Y355" i="1"/>
  <c r="Z355" i="1"/>
  <c r="W356" i="1"/>
  <c r="W357" i="1"/>
  <c r="X503" i="1"/>
  <c r="Y503" i="1"/>
  <c r="Z503" i="1"/>
  <c r="W162" i="1"/>
  <c r="X160" i="1"/>
  <c r="Y160" i="1"/>
  <c r="Z160" i="1"/>
  <c r="W161" i="1"/>
  <c r="X204" i="1"/>
  <c r="Y204" i="1"/>
  <c r="Z204" i="1"/>
  <c r="W416" i="1"/>
  <c r="W419" i="1"/>
  <c r="W420" i="1"/>
  <c r="X415" i="1"/>
  <c r="Y415" i="1"/>
  <c r="Z415" i="1"/>
  <c r="W417" i="1"/>
  <c r="Z417" i="1" s="1"/>
  <c r="W418" i="1"/>
  <c r="Z219" i="1"/>
  <c r="X219" i="1"/>
  <c r="Y219" i="1"/>
  <c r="X499" i="1"/>
  <c r="Y499" i="1"/>
  <c r="Z499" i="1"/>
  <c r="X38" i="1"/>
  <c r="Y38" i="1"/>
  <c r="Z38" i="1"/>
  <c r="Z713" i="1"/>
  <c r="X713" i="1"/>
  <c r="Y713" i="1"/>
  <c r="X895" i="1"/>
  <c r="Y895" i="1"/>
  <c r="Z895" i="1"/>
  <c r="X216" i="1"/>
  <c r="Y216" i="1"/>
  <c r="Z216" i="1"/>
  <c r="W652" i="1"/>
  <c r="X649" i="1"/>
  <c r="W653" i="1"/>
  <c r="Y649" i="1"/>
  <c r="W654" i="1"/>
  <c r="Z649" i="1"/>
  <c r="W650" i="1"/>
  <c r="W651" i="1"/>
  <c r="X526" i="1"/>
  <c r="Y526" i="1"/>
  <c r="Z526" i="1"/>
  <c r="Y695" i="1"/>
  <c r="X695" i="1"/>
  <c r="Z695" i="1"/>
  <c r="X893" i="1"/>
  <c r="Y893" i="1"/>
  <c r="Z893" i="1"/>
  <c r="X563" i="1"/>
  <c r="Y563" i="1"/>
  <c r="Z563" i="1"/>
  <c r="Z694" i="1"/>
  <c r="X694" i="1"/>
  <c r="Y694" i="1"/>
  <c r="X784" i="1"/>
  <c r="Y784" i="1"/>
  <c r="Z784" i="1"/>
  <c r="Z855" i="1"/>
  <c r="X855" i="1"/>
  <c r="Y855" i="1"/>
  <c r="X944" i="1"/>
  <c r="Y944" i="1"/>
  <c r="Z944" i="1"/>
  <c r="Y1061" i="1"/>
  <c r="Z1061" i="1"/>
  <c r="X1061" i="1"/>
  <c r="X1125" i="1"/>
  <c r="Y1125" i="1"/>
  <c r="Z1125" i="1"/>
  <c r="X987" i="1"/>
  <c r="Y987" i="1"/>
  <c r="Z987" i="1"/>
  <c r="X1172" i="1"/>
  <c r="Y1172" i="1"/>
  <c r="Z1172" i="1"/>
  <c r="X1162" i="1"/>
  <c r="Y1162" i="1"/>
  <c r="Z1162" i="1"/>
  <c r="X1046" i="1"/>
  <c r="Y1046" i="1"/>
  <c r="Z1046" i="1"/>
  <c r="Y1143" i="1"/>
  <c r="X1143" i="1"/>
  <c r="Z1143" i="1"/>
  <c r="X1001" i="1"/>
  <c r="Y1001" i="1"/>
  <c r="Z1001" i="1"/>
  <c r="U642" i="1"/>
  <c r="X821" i="1"/>
  <c r="Y821" i="1"/>
  <c r="Z821" i="1"/>
  <c r="X740" i="1"/>
  <c r="Z740" i="1"/>
  <c r="Y740" i="1"/>
  <c r="Z1060" i="1"/>
  <c r="X1060" i="1"/>
  <c r="Y1060" i="1"/>
  <c r="Y1121" i="1"/>
  <c r="Z1121" i="1"/>
  <c r="X1121" i="1"/>
  <c r="X1067" i="1"/>
  <c r="Y1067" i="1"/>
  <c r="Z1067" i="1"/>
  <c r="Y1073" i="1"/>
  <c r="X1073" i="1"/>
  <c r="Z1073" i="1"/>
  <c r="X1641" i="1"/>
  <c r="Y1641" i="1"/>
  <c r="Z1641" i="1"/>
  <c r="Y1513" i="1"/>
  <c r="X1513" i="1"/>
  <c r="Z1513" i="1"/>
  <c r="Z1644" i="1"/>
  <c r="X1644" i="1"/>
  <c r="Y1644" i="1"/>
  <c r="Y1710" i="1"/>
  <c r="X1710" i="1"/>
  <c r="Z1710" i="1"/>
  <c r="X1692" i="1"/>
  <c r="Y1692" i="1"/>
  <c r="Z1692" i="1"/>
  <c r="X1459" i="1"/>
  <c r="Y1459" i="1"/>
  <c r="Z1459" i="1"/>
  <c r="X1587" i="1"/>
  <c r="Y1587" i="1"/>
  <c r="Z1587" i="1"/>
  <c r="X1473" i="1"/>
  <c r="Y1473" i="1"/>
  <c r="Z1473" i="1"/>
  <c r="X1562" i="1"/>
  <c r="Y1562" i="1"/>
  <c r="Z1562" i="1"/>
  <c r="X1627" i="1"/>
  <c r="Y1627" i="1"/>
  <c r="Z1627" i="1"/>
  <c r="X1731" i="1"/>
  <c r="Y1731" i="1"/>
  <c r="Z1731" i="1"/>
  <c r="Y1018" i="1"/>
  <c r="Z1018" i="1"/>
  <c r="X1018" i="1"/>
  <c r="X1417" i="1"/>
  <c r="Y1417" i="1"/>
  <c r="Z1417" i="1"/>
  <c r="Y1567" i="1"/>
  <c r="X1567" i="1"/>
  <c r="Z1567" i="1"/>
  <c r="X1609" i="1"/>
  <c r="W1606" i="1"/>
  <c r="Y1609" i="1"/>
  <c r="Z1609" i="1"/>
  <c r="Y1668" i="1"/>
  <c r="Z1668" i="1"/>
  <c r="W1669" i="1"/>
  <c r="W1670" i="1"/>
  <c r="W1671" i="1"/>
  <c r="Z1671" i="1" s="1"/>
  <c r="X1668" i="1"/>
  <c r="Y2038" i="1"/>
  <c r="Z2038" i="1"/>
  <c r="W2039" i="1"/>
  <c r="W2040" i="1"/>
  <c r="W2041" i="1"/>
  <c r="X2038" i="1"/>
  <c r="W2517" i="1"/>
  <c r="X2513" i="1"/>
  <c r="W2518" i="1"/>
  <c r="Y2513" i="1"/>
  <c r="W2514" i="1"/>
  <c r="W2515" i="1"/>
  <c r="W2516" i="1"/>
  <c r="Z2513" i="1"/>
  <c r="Y2586" i="1"/>
  <c r="Z2586" i="1"/>
  <c r="X2586" i="1"/>
  <c r="Y2602" i="1"/>
  <c r="X2602" i="1"/>
  <c r="Z2602" i="1"/>
  <c r="Z2635" i="1"/>
  <c r="X2635" i="1"/>
  <c r="Y2635" i="1"/>
  <c r="X2587" i="1"/>
  <c r="Y2587" i="1"/>
  <c r="Z2587" i="1"/>
  <c r="X2603" i="1"/>
  <c r="Y2603" i="1"/>
  <c r="Z2603" i="1"/>
  <c r="X2628" i="1"/>
  <c r="Z2628" i="1"/>
  <c r="Y2628" i="1"/>
  <c r="Z2397" i="1"/>
  <c r="Y2372" i="1"/>
  <c r="X2503" i="1"/>
  <c r="X511" i="1"/>
  <c r="Y511" i="1"/>
  <c r="Z511" i="1"/>
  <c r="W123" i="1"/>
  <c r="Y120" i="1"/>
  <c r="Z120" i="1"/>
  <c r="W121" i="1"/>
  <c r="W122" i="1"/>
  <c r="X120" i="1"/>
  <c r="Y184" i="1"/>
  <c r="Z184" i="1"/>
  <c r="X184" i="1"/>
  <c r="Z481" i="1"/>
  <c r="W482" i="1"/>
  <c r="W483" i="1"/>
  <c r="W484" i="1"/>
  <c r="X481" i="1"/>
  <c r="Y481" i="1"/>
  <c r="Y238" i="1"/>
  <c r="Z238" i="1"/>
  <c r="X238" i="1"/>
  <c r="X507" i="1"/>
  <c r="Y507" i="1"/>
  <c r="Z507" i="1"/>
  <c r="Z497" i="1"/>
  <c r="X497" i="1"/>
  <c r="Y497" i="1"/>
  <c r="U366" i="1"/>
  <c r="X135" i="1"/>
  <c r="Y135" i="1"/>
  <c r="Z135" i="1"/>
  <c r="Z595" i="1"/>
  <c r="W596" i="1"/>
  <c r="W597" i="1"/>
  <c r="W598" i="1"/>
  <c r="W599" i="1"/>
  <c r="X595" i="1"/>
  <c r="W600" i="1"/>
  <c r="Y595" i="1"/>
  <c r="Y659" i="1"/>
  <c r="Z659" i="1"/>
  <c r="X659" i="1"/>
  <c r="X466" i="1"/>
  <c r="Y466" i="1"/>
  <c r="Z466" i="1"/>
  <c r="Y755" i="1"/>
  <c r="Z755" i="1"/>
  <c r="X755" i="1"/>
  <c r="X917" i="1"/>
  <c r="Y917" i="1"/>
  <c r="Z917" i="1"/>
  <c r="X657" i="1"/>
  <c r="Y657" i="1"/>
  <c r="Z657" i="1"/>
  <c r="X901" i="1"/>
  <c r="Y901" i="1"/>
  <c r="Z901" i="1"/>
  <c r="X127" i="1"/>
  <c r="Y127" i="1"/>
  <c r="Z127" i="1"/>
  <c r="Y703" i="1"/>
  <c r="X703" i="1"/>
  <c r="Z703" i="1"/>
  <c r="X905" i="1"/>
  <c r="Y905" i="1"/>
  <c r="Z905" i="1"/>
  <c r="X523" i="1"/>
  <c r="Y523" i="1"/>
  <c r="Z523" i="1"/>
  <c r="X572" i="1"/>
  <c r="Y572" i="1"/>
  <c r="Z572" i="1"/>
  <c r="X701" i="1"/>
  <c r="Y701" i="1"/>
  <c r="Z701" i="1"/>
  <c r="Y792" i="1"/>
  <c r="X792" i="1"/>
  <c r="Z792" i="1"/>
  <c r="X861" i="1"/>
  <c r="Y861" i="1"/>
  <c r="Z861" i="1"/>
  <c r="Z953" i="1"/>
  <c r="X953" i="1"/>
  <c r="Y953" i="1"/>
  <c r="U618" i="1"/>
  <c r="Z759" i="1"/>
  <c r="X759" i="1"/>
  <c r="Y759" i="1"/>
  <c r="X993" i="1"/>
  <c r="Y993" i="1"/>
  <c r="Z993" i="1"/>
  <c r="X1184" i="1"/>
  <c r="Y1184" i="1"/>
  <c r="Z1184" i="1"/>
  <c r="X990" i="1"/>
  <c r="Y990" i="1"/>
  <c r="Z990" i="1"/>
  <c r="X1071" i="1"/>
  <c r="Y1071" i="1"/>
  <c r="Z1071" i="1"/>
  <c r="Z1147" i="1"/>
  <c r="X1147" i="1"/>
  <c r="Y1147" i="1"/>
  <c r="X880" i="1"/>
  <c r="Y880" i="1"/>
  <c r="Z880" i="1"/>
  <c r="X1007" i="1"/>
  <c r="Y1007" i="1"/>
  <c r="Z1007" i="1"/>
  <c r="X1066" i="1"/>
  <c r="Y1066" i="1"/>
  <c r="Z1066" i="1"/>
  <c r="Y807" i="1"/>
  <c r="X807" i="1"/>
  <c r="Z807" i="1"/>
  <c r="X1124" i="1"/>
  <c r="Y1124" i="1"/>
  <c r="Z1124" i="1"/>
  <c r="Y1168" i="1"/>
  <c r="Z1168" i="1"/>
  <c r="X1168" i="1"/>
  <c r="X1159" i="1"/>
  <c r="Y1159" i="1"/>
  <c r="Z1159" i="1"/>
  <c r="Y1529" i="1"/>
  <c r="Z1529" i="1"/>
  <c r="X1529" i="1"/>
  <c r="Y1653" i="1"/>
  <c r="Z1653" i="1"/>
  <c r="X1653" i="1"/>
  <c r="X1716" i="1"/>
  <c r="Y1716" i="1"/>
  <c r="Z1716" i="1"/>
  <c r="X1698" i="1"/>
  <c r="Y1698" i="1"/>
  <c r="Z1698" i="1"/>
  <c r="X1475" i="1"/>
  <c r="Y1475" i="1"/>
  <c r="Z1475" i="1"/>
  <c r="X1603" i="1"/>
  <c r="Y1603" i="1"/>
  <c r="Z1603" i="1"/>
  <c r="X1489" i="1"/>
  <c r="Y1489" i="1"/>
  <c r="Z1489" i="1"/>
  <c r="Y1569" i="1"/>
  <c r="Z1569" i="1"/>
  <c r="X1569" i="1"/>
  <c r="Z1634" i="1"/>
  <c r="Y1634" i="1"/>
  <c r="X1634" i="1"/>
  <c r="X1425" i="1"/>
  <c r="Y1425" i="1"/>
  <c r="Z1425" i="1"/>
  <c r="X1528" i="1"/>
  <c r="Y1528" i="1"/>
  <c r="Z1528" i="1"/>
  <c r="X1616" i="1"/>
  <c r="Y1616" i="1"/>
  <c r="Z1616" i="1"/>
  <c r="X1677" i="1"/>
  <c r="Y1677" i="1"/>
  <c r="Z1677" i="1"/>
  <c r="W2089" i="1"/>
  <c r="W2090" i="1"/>
  <c r="W2091" i="1"/>
  <c r="X2087" i="1"/>
  <c r="Z2087" i="1"/>
  <c r="W2088" i="1"/>
  <c r="Y2087" i="1"/>
  <c r="X2002" i="1"/>
  <c r="Y2002" i="1"/>
  <c r="Z2002" i="1"/>
  <c r="W2003" i="1"/>
  <c r="W2004" i="1"/>
  <c r="W2005" i="1"/>
  <c r="Y2022" i="1"/>
  <c r="Z2022" i="1"/>
  <c r="W2023" i="1"/>
  <c r="W2024" i="1"/>
  <c r="W2025" i="1"/>
  <c r="X2022" i="1"/>
  <c r="W2256" i="1"/>
  <c r="W2257" i="1"/>
  <c r="W2258" i="1"/>
  <c r="W2259" i="1"/>
  <c r="Y2255" i="1"/>
  <c r="Z2255" i="1"/>
  <c r="X2255" i="1"/>
  <c r="W2260" i="1"/>
  <c r="W2511" i="1"/>
  <c r="W2512" i="1"/>
  <c r="X2507" i="1"/>
  <c r="Y2507" i="1"/>
  <c r="W2508" i="1"/>
  <c r="W2509" i="1"/>
  <c r="W2510" i="1"/>
  <c r="Z2507" i="1"/>
  <c r="W2166" i="1"/>
  <c r="W2167" i="1"/>
  <c r="Y2165" i="1"/>
  <c r="W2169" i="1"/>
  <c r="Z2165" i="1"/>
  <c r="W2170" i="1"/>
  <c r="X2165" i="1"/>
  <c r="W2168" i="1"/>
  <c r="Y2411" i="1"/>
  <c r="Z2411" i="1"/>
  <c r="W2412" i="1"/>
  <c r="W2413" i="1"/>
  <c r="W2414" i="1"/>
  <c r="W2415" i="1"/>
  <c r="X2411" i="1"/>
  <c r="W2416" i="1"/>
  <c r="X2618" i="1"/>
  <c r="Y2618" i="1"/>
  <c r="Z2618" i="1"/>
  <c r="W2162" i="1"/>
  <c r="W2163" i="1"/>
  <c r="X2159" i="1"/>
  <c r="Y2159" i="1"/>
  <c r="W2164" i="1"/>
  <c r="Z2159" i="1"/>
  <c r="W2161" i="1"/>
  <c r="W2160" i="1"/>
  <c r="X2453" i="1"/>
  <c r="Y2453" i="1"/>
  <c r="Z2453" i="1"/>
  <c r="W2454" i="1"/>
  <c r="W2455" i="1"/>
  <c r="W2456" i="1"/>
  <c r="W2457" i="1"/>
  <c r="W2458" i="1"/>
  <c r="Y2589" i="1"/>
  <c r="Z2589" i="1"/>
  <c r="X2589" i="1"/>
  <c r="Z2605" i="1"/>
  <c r="X2605" i="1"/>
  <c r="Y2605" i="1"/>
  <c r="Y2647" i="1"/>
  <c r="Z2647" i="1"/>
  <c r="X2647" i="1"/>
  <c r="W2572" i="1"/>
  <c r="Z2567" i="1"/>
  <c r="W2568" i="1"/>
  <c r="W2570" i="1"/>
  <c r="X2567" i="1"/>
  <c r="W2571" i="1"/>
  <c r="Y2567" i="1"/>
  <c r="W2569" i="1"/>
  <c r="Y2638" i="1"/>
  <c r="Z2638" i="1"/>
  <c r="X2638" i="1"/>
  <c r="X2592" i="1"/>
  <c r="Y2592" i="1"/>
  <c r="Z2592" i="1"/>
  <c r="Y2608" i="1"/>
  <c r="Z2608" i="1"/>
  <c r="X2608" i="1"/>
  <c r="Z2356" i="1"/>
  <c r="X29" i="1"/>
  <c r="Y29" i="1"/>
  <c r="Z29" i="1"/>
  <c r="Z46" i="1"/>
  <c r="X46" i="1"/>
  <c r="Y46" i="1"/>
  <c r="Z62" i="1"/>
  <c r="X62" i="1"/>
  <c r="Y62" i="1"/>
  <c r="X77" i="1"/>
  <c r="Y77" i="1"/>
  <c r="Z77" i="1"/>
  <c r="X94" i="1"/>
  <c r="Y94" i="1"/>
  <c r="Z94" i="1"/>
  <c r="X110" i="1"/>
  <c r="Y110" i="1"/>
  <c r="Z110" i="1"/>
  <c r="X237" i="1"/>
  <c r="Z237" i="1"/>
  <c r="Y237" i="1"/>
  <c r="X271" i="1"/>
  <c r="Y271" i="1"/>
  <c r="W272" i="1"/>
  <c r="W273" i="1"/>
  <c r="Z271" i="1"/>
  <c r="U390" i="1"/>
  <c r="U324" i="1"/>
  <c r="U420" i="1"/>
  <c r="W496" i="1"/>
  <c r="X518" i="1"/>
  <c r="Y518" i="1"/>
  <c r="Z518" i="1"/>
  <c r="X790" i="1"/>
  <c r="Y790" i="1"/>
  <c r="Z790" i="1"/>
  <c r="X918" i="1"/>
  <c r="Y918" i="1"/>
  <c r="Z918" i="1"/>
  <c r="X832" i="1"/>
  <c r="Y832" i="1"/>
  <c r="Z832" i="1"/>
  <c r="X782" i="1"/>
  <c r="Y782" i="1"/>
  <c r="Z782" i="1"/>
  <c r="X864" i="1"/>
  <c r="Y864" i="1"/>
  <c r="Z864" i="1"/>
  <c r="X952" i="1"/>
  <c r="Y952" i="1"/>
  <c r="Z952" i="1"/>
  <c r="X1080" i="1"/>
  <c r="Y1080" i="1"/>
  <c r="Z1080" i="1"/>
  <c r="X874" i="1"/>
  <c r="Y874" i="1"/>
  <c r="Z874" i="1"/>
  <c r="X833" i="1"/>
  <c r="Y833" i="1"/>
  <c r="Z833" i="1"/>
  <c r="X899" i="1"/>
  <c r="Y899" i="1"/>
  <c r="Z899" i="1"/>
  <c r="X978" i="1"/>
  <c r="Y978" i="1"/>
  <c r="Z978" i="1"/>
  <c r="X1083" i="1"/>
  <c r="Y1083" i="1"/>
  <c r="Z1083" i="1"/>
  <c r="Z956" i="1"/>
  <c r="X956" i="1"/>
  <c r="Y956" i="1"/>
  <c r="X1177" i="1"/>
  <c r="Y1177" i="1"/>
  <c r="Z1177" i="1"/>
  <c r="X246" i="1"/>
  <c r="Y246" i="1"/>
  <c r="Z246" i="1"/>
  <c r="Z1737" i="1"/>
  <c r="X1737" i="1"/>
  <c r="Y1737" i="1"/>
  <c r="Y1769" i="1"/>
  <c r="W1770" i="1"/>
  <c r="W1771" i="1"/>
  <c r="X1769" i="1"/>
  <c r="Z1769" i="1"/>
  <c r="Z1750" i="1"/>
  <c r="X1750" i="1"/>
  <c r="Y1750" i="1"/>
  <c r="W1917" i="1"/>
  <c r="X1914" i="1"/>
  <c r="Y1914" i="1"/>
  <c r="Z1914" i="1"/>
  <c r="W1915" i="1"/>
  <c r="W1916" i="1"/>
  <c r="Y1930" i="1"/>
  <c r="X1930" i="1"/>
  <c r="Z1930" i="1"/>
  <c r="W1931" i="1"/>
  <c r="W1932" i="1"/>
  <c r="W1933" i="1"/>
  <c r="W1822" i="1"/>
  <c r="Z1821" i="1"/>
  <c r="W1824" i="1"/>
  <c r="X1821" i="1"/>
  <c r="Y1821" i="1"/>
  <c r="W1823" i="1"/>
  <c r="X1763" i="1"/>
  <c r="W1764" i="1"/>
  <c r="Z1763" i="1"/>
  <c r="W1765" i="1"/>
  <c r="Y1763" i="1"/>
  <c r="Y1795" i="1"/>
  <c r="Z1795" i="1"/>
  <c r="X1795" i="1"/>
  <c r="W2443" i="1"/>
  <c r="W2444" i="1"/>
  <c r="W2445" i="1"/>
  <c r="X2441" i="1"/>
  <c r="Y2441" i="1"/>
  <c r="W2446" i="1"/>
  <c r="Z2441" i="1"/>
  <c r="W2442" i="1"/>
  <c r="X1743" i="1"/>
  <c r="Z1743" i="1"/>
  <c r="Y1743" i="1"/>
  <c r="X1775" i="1"/>
  <c r="Y1775" i="1"/>
  <c r="Z1775" i="1"/>
  <c r="X1902" i="1"/>
  <c r="W1903" i="1"/>
  <c r="W1904" i="1"/>
  <c r="W1905" i="1"/>
  <c r="Y1902" i="1"/>
  <c r="Z1902" i="1"/>
  <c r="W1827" i="1"/>
  <c r="W1828" i="1"/>
  <c r="X1825" i="1"/>
  <c r="Y1825" i="1"/>
  <c r="Z1825" i="1"/>
  <c r="W1826" i="1"/>
  <c r="X31" i="1"/>
  <c r="Y31" i="1"/>
  <c r="Z31" i="1"/>
  <c r="X48" i="1"/>
  <c r="Y48" i="1"/>
  <c r="Z48" i="1"/>
  <c r="X64" i="1"/>
  <c r="Y64" i="1"/>
  <c r="Z64" i="1"/>
  <c r="X79" i="1"/>
  <c r="Y79" i="1"/>
  <c r="Z79" i="1"/>
  <c r="X96" i="1"/>
  <c r="Y96" i="1"/>
  <c r="Z96" i="1"/>
  <c r="X112" i="1"/>
  <c r="Y112" i="1"/>
  <c r="Z112" i="1"/>
  <c r="X239" i="1"/>
  <c r="Y239" i="1"/>
  <c r="Z239" i="1"/>
  <c r="Y248" i="1"/>
  <c r="Z248" i="1"/>
  <c r="X248" i="1"/>
  <c r="W339" i="1"/>
  <c r="X337" i="1"/>
  <c r="W341" i="1"/>
  <c r="Y337" i="1"/>
  <c r="W340" i="1"/>
  <c r="W342" i="1"/>
  <c r="Z337" i="1"/>
  <c r="W338" i="1"/>
  <c r="Y433" i="1"/>
  <c r="W438" i="1"/>
  <c r="X433" i="1"/>
  <c r="Z433" i="1"/>
  <c r="W434" i="1"/>
  <c r="W435" i="1"/>
  <c r="W436" i="1"/>
  <c r="W437" i="1"/>
  <c r="X379" i="1"/>
  <c r="Y379" i="1"/>
  <c r="W380" i="1"/>
  <c r="W381" i="1"/>
  <c r="W382" i="1"/>
  <c r="W383" i="1"/>
  <c r="W384" i="1"/>
  <c r="Z379" i="1"/>
  <c r="W429" i="1"/>
  <c r="Y427" i="1"/>
  <c r="W428" i="1"/>
  <c r="W430" i="1"/>
  <c r="X427" i="1"/>
  <c r="W431" i="1"/>
  <c r="Z427" i="1"/>
  <c r="W432" i="1"/>
  <c r="X806" i="1"/>
  <c r="Y806" i="1"/>
  <c r="Z806" i="1"/>
  <c r="X934" i="1"/>
  <c r="Y934" i="1"/>
  <c r="Z934" i="1"/>
  <c r="X866" i="1"/>
  <c r="Y866" i="1"/>
  <c r="Z866" i="1"/>
  <c r="X842" i="1"/>
  <c r="Y842" i="1"/>
  <c r="Z842" i="1"/>
  <c r="X787" i="1"/>
  <c r="Y787" i="1"/>
  <c r="Z787" i="1"/>
  <c r="X898" i="1"/>
  <c r="Y898" i="1"/>
  <c r="Z898" i="1"/>
  <c r="X968" i="1"/>
  <c r="Y968" i="1"/>
  <c r="Z968" i="1"/>
  <c r="X1096" i="1"/>
  <c r="Y1096" i="1"/>
  <c r="Z1096" i="1"/>
  <c r="X440" i="1"/>
  <c r="Y440" i="1"/>
  <c r="Z440" i="1"/>
  <c r="X848" i="1"/>
  <c r="Y848" i="1"/>
  <c r="Z848" i="1"/>
  <c r="X994" i="1"/>
  <c r="Y994" i="1"/>
  <c r="Z994" i="1"/>
  <c r="Z1020" i="1"/>
  <c r="X1020" i="1"/>
  <c r="Y1020" i="1"/>
  <c r="X904" i="1"/>
  <c r="Y904" i="1"/>
  <c r="Z904" i="1"/>
  <c r="X1107" i="1"/>
  <c r="Y1107" i="1"/>
  <c r="Z1107" i="1"/>
  <c r="X921" i="1"/>
  <c r="Y921" i="1"/>
  <c r="Z921" i="1"/>
  <c r="X1122" i="1"/>
  <c r="Y1122" i="1"/>
  <c r="Z1122" i="1"/>
  <c r="X1113" i="1"/>
  <c r="Y1113" i="1"/>
  <c r="Z1113" i="1"/>
  <c r="Z1004" i="1"/>
  <c r="X1004" i="1"/>
  <c r="Y1004" i="1"/>
  <c r="X1091" i="1"/>
  <c r="Y1091" i="1"/>
  <c r="Z1091" i="1"/>
  <c r="X827" i="1"/>
  <c r="Y827" i="1"/>
  <c r="Z827" i="1"/>
  <c r="Z1100" i="1"/>
  <c r="X1100" i="1"/>
  <c r="Y1100" i="1"/>
  <c r="Y1749" i="1"/>
  <c r="X1749" i="1"/>
  <c r="Z1749" i="1"/>
  <c r="X1781" i="1"/>
  <c r="Z1781" i="1"/>
  <c r="Y1781" i="1"/>
  <c r="Z1837" i="1"/>
  <c r="W1840" i="1"/>
  <c r="W1839" i="1"/>
  <c r="X1837" i="1"/>
  <c r="Y1837" i="1"/>
  <c r="W1838" i="1"/>
  <c r="Z1643" i="1"/>
  <c r="Y1643" i="1"/>
  <c r="X1643" i="1"/>
  <c r="Y1724" i="1"/>
  <c r="Z1724" i="1"/>
  <c r="X1724" i="1"/>
  <c r="W1956" i="1"/>
  <c r="X1954" i="1"/>
  <c r="Y1954" i="1"/>
  <c r="Z1954" i="1"/>
  <c r="W1955" i="1"/>
  <c r="W1957" i="1"/>
  <c r="W1971" i="1"/>
  <c r="X1970" i="1"/>
  <c r="Y1970" i="1"/>
  <c r="Z1970" i="1"/>
  <c r="W1972" i="1"/>
  <c r="W1973" i="1"/>
  <c r="X1738" i="1"/>
  <c r="Y1738" i="1"/>
  <c r="Z1738" i="1"/>
  <c r="W1803" i="1"/>
  <c r="W1804" i="1"/>
  <c r="X1802" i="1"/>
  <c r="Y1802" i="1"/>
  <c r="Z1802" i="1"/>
  <c r="W2448" i="1"/>
  <c r="W2452" i="1"/>
  <c r="W2449" i="1"/>
  <c r="W2450" i="1"/>
  <c r="X2447" i="1"/>
  <c r="Y2447" i="1"/>
  <c r="Z2447" i="1"/>
  <c r="W2451" i="1"/>
  <c r="W1993" i="1"/>
  <c r="Y1990" i="1"/>
  <c r="X1990" i="1"/>
  <c r="Z1990" i="1"/>
  <c r="W1991" i="1"/>
  <c r="W1992" i="1"/>
  <c r="X33" i="1"/>
  <c r="Y33" i="1"/>
  <c r="Z33" i="1"/>
  <c r="X50" i="1"/>
  <c r="Y50" i="1"/>
  <c r="Z50" i="1"/>
  <c r="X66" i="1"/>
  <c r="Y66" i="1"/>
  <c r="Z66" i="1"/>
  <c r="Z81" i="1"/>
  <c r="X81" i="1"/>
  <c r="Y81" i="1"/>
  <c r="Y98" i="1"/>
  <c r="Z98" i="1"/>
  <c r="X98" i="1"/>
  <c r="Z225" i="1"/>
  <c r="X225" i="1"/>
  <c r="Y225" i="1"/>
  <c r="Z241" i="1"/>
  <c r="X241" i="1"/>
  <c r="Y241" i="1"/>
  <c r="W278" i="1"/>
  <c r="W279" i="1"/>
  <c r="X277" i="1"/>
  <c r="Y277" i="1"/>
  <c r="Z277" i="1"/>
  <c r="U348" i="1"/>
  <c r="Z407" i="1"/>
  <c r="X407" i="1"/>
  <c r="Y407" i="1"/>
  <c r="U384" i="1"/>
  <c r="W336" i="1"/>
  <c r="W333" i="1"/>
  <c r="Y331" i="1"/>
  <c r="Z331" i="1"/>
  <c r="W334" i="1"/>
  <c r="W332" i="1"/>
  <c r="W335" i="1"/>
  <c r="X331" i="1"/>
  <c r="U432" i="1"/>
  <c r="X822" i="1"/>
  <c r="Y822" i="1"/>
  <c r="Z822" i="1"/>
  <c r="Y457" i="1"/>
  <c r="X457" i="1"/>
  <c r="Z457" i="1"/>
  <c r="X878" i="1"/>
  <c r="Y878" i="1"/>
  <c r="Z878" i="1"/>
  <c r="Y449" i="1"/>
  <c r="X449" i="1"/>
  <c r="Z449" i="1"/>
  <c r="X910" i="1"/>
  <c r="Y910" i="1"/>
  <c r="Z910" i="1"/>
  <c r="X984" i="1"/>
  <c r="Y984" i="1"/>
  <c r="Z984" i="1"/>
  <c r="X1112" i="1"/>
  <c r="Y1112" i="1"/>
  <c r="Z1112" i="1"/>
  <c r="Y777" i="1"/>
  <c r="Z777" i="1"/>
  <c r="W746" i="1"/>
  <c r="X777" i="1"/>
  <c r="X906" i="1"/>
  <c r="Y906" i="1"/>
  <c r="Z906" i="1"/>
  <c r="X1010" i="1"/>
  <c r="Y1010" i="1"/>
  <c r="Z1010" i="1"/>
  <c r="Z940" i="1"/>
  <c r="X940" i="1"/>
  <c r="Y940" i="1"/>
  <c r="X846" i="1"/>
  <c r="Y846" i="1"/>
  <c r="Z846" i="1"/>
  <c r="X1131" i="1"/>
  <c r="Y1131" i="1"/>
  <c r="Z1131" i="1"/>
  <c r="X995" i="1"/>
  <c r="Y995" i="1"/>
  <c r="Z995" i="1"/>
  <c r="Z892" i="1"/>
  <c r="X892" i="1"/>
  <c r="Y892" i="1"/>
  <c r="X1155" i="1"/>
  <c r="Y1155" i="1"/>
  <c r="Z1155" i="1"/>
  <c r="Z1745" i="1"/>
  <c r="X1745" i="1"/>
  <c r="Y1745" i="1"/>
  <c r="X1777" i="1"/>
  <c r="Y1777" i="1"/>
  <c r="Z1777" i="1"/>
  <c r="W1815" i="1"/>
  <c r="Z1813" i="1"/>
  <c r="W1814" i="1"/>
  <c r="W1816" i="1"/>
  <c r="X1813" i="1"/>
  <c r="Y1813" i="1"/>
  <c r="X1679" i="1"/>
  <c r="Y1679" i="1"/>
  <c r="Z1679" i="1"/>
  <c r="Z1766" i="1"/>
  <c r="Y1766" i="1"/>
  <c r="X1766" i="1"/>
  <c r="W1767" i="1"/>
  <c r="W1768" i="1"/>
  <c r="X1918" i="1"/>
  <c r="W1919" i="1"/>
  <c r="W1920" i="1"/>
  <c r="W1921" i="1"/>
  <c r="Y1918" i="1"/>
  <c r="Z1918" i="1"/>
  <c r="X1934" i="1"/>
  <c r="W1935" i="1"/>
  <c r="Z1934" i="1"/>
  <c r="W1936" i="1"/>
  <c r="W1937" i="1"/>
  <c r="Y1934" i="1"/>
  <c r="Z1853" i="1"/>
  <c r="Y1853" i="1"/>
  <c r="W1855" i="1"/>
  <c r="W1856" i="1"/>
  <c r="W1857" i="1"/>
  <c r="X1853" i="1"/>
  <c r="W1854" i="1"/>
  <c r="Y1739" i="1"/>
  <c r="Z1739" i="1"/>
  <c r="X1739" i="1"/>
  <c r="X1866" i="1"/>
  <c r="Z1866" i="1"/>
  <c r="W1869" i="1"/>
  <c r="Y1866" i="1"/>
  <c r="W1867" i="1"/>
  <c r="W1868" i="1"/>
  <c r="Z1986" i="1"/>
  <c r="W1987" i="1"/>
  <c r="W1989" i="1"/>
  <c r="X1986" i="1"/>
  <c r="Y1986" i="1"/>
  <c r="W1988" i="1"/>
  <c r="Y1732" i="1"/>
  <c r="X1732" i="1"/>
  <c r="Z1732" i="1"/>
  <c r="Z1746" i="1"/>
  <c r="X1746" i="1"/>
  <c r="Y1746" i="1"/>
  <c r="X1778" i="1"/>
  <c r="Y1778" i="1"/>
  <c r="Z1778" i="1"/>
  <c r="Y35" i="1"/>
  <c r="Z35" i="1"/>
  <c r="X35" i="1"/>
  <c r="X52" i="1"/>
  <c r="Y52" i="1"/>
  <c r="Z52" i="1"/>
  <c r="Y19" i="1"/>
  <c r="Z19" i="1"/>
  <c r="X19" i="1"/>
  <c r="X83" i="1"/>
  <c r="Y83" i="1"/>
  <c r="Z83" i="1"/>
  <c r="X100" i="1"/>
  <c r="Y100" i="1"/>
  <c r="Z100" i="1"/>
  <c r="X243" i="1"/>
  <c r="Y243" i="1"/>
  <c r="Z243" i="1"/>
  <c r="X224" i="1"/>
  <c r="Y224" i="1"/>
  <c r="Z224" i="1"/>
  <c r="Y244" i="1"/>
  <c r="Z244" i="1"/>
  <c r="X244" i="1"/>
  <c r="W364" i="1"/>
  <c r="X361" i="1"/>
  <c r="Z361" i="1"/>
  <c r="W366" i="1"/>
  <c r="W363" i="1"/>
  <c r="W365" i="1"/>
  <c r="Y361" i="1"/>
  <c r="W362" i="1"/>
  <c r="Y343" i="1"/>
  <c r="Z343" i="1"/>
  <c r="W344" i="1"/>
  <c r="W346" i="1"/>
  <c r="X343" i="1"/>
  <c r="W345" i="1"/>
  <c r="W347" i="1"/>
  <c r="W348" i="1"/>
  <c r="Z567" i="1"/>
  <c r="X567" i="1"/>
  <c r="Y567" i="1"/>
  <c r="U336" i="1"/>
  <c r="X838" i="1"/>
  <c r="Y838" i="1"/>
  <c r="Z838" i="1"/>
  <c r="X883" i="1"/>
  <c r="Y883" i="1"/>
  <c r="Z883" i="1"/>
  <c r="X794" i="1"/>
  <c r="Y794" i="1"/>
  <c r="Z794" i="1"/>
  <c r="X915" i="1"/>
  <c r="Y915" i="1"/>
  <c r="Z915" i="1"/>
  <c r="X1000" i="1"/>
  <c r="Y1000" i="1"/>
  <c r="Z1000" i="1"/>
  <c r="X1128" i="1"/>
  <c r="Y1128" i="1"/>
  <c r="Z1128" i="1"/>
  <c r="Z788" i="1"/>
  <c r="X788" i="1"/>
  <c r="Y788" i="1"/>
  <c r="X1026" i="1"/>
  <c r="Y1026" i="1"/>
  <c r="Z1026" i="1"/>
  <c r="X1059" i="1"/>
  <c r="Y1059" i="1"/>
  <c r="Z1059" i="1"/>
  <c r="Z988" i="1"/>
  <c r="X988" i="1"/>
  <c r="Y988" i="1"/>
  <c r="Z1148" i="1"/>
  <c r="X1148" i="1"/>
  <c r="Y1148" i="1"/>
  <c r="X947" i="1"/>
  <c r="Y947" i="1"/>
  <c r="Z947" i="1"/>
  <c r="X1145" i="1"/>
  <c r="Y1145" i="1"/>
  <c r="Z1145" i="1"/>
  <c r="X1043" i="1"/>
  <c r="Y1043" i="1"/>
  <c r="Z1043" i="1"/>
  <c r="X1123" i="1"/>
  <c r="Y1123" i="1"/>
  <c r="Z1123" i="1"/>
  <c r="X1158" i="1"/>
  <c r="Y1158" i="1"/>
  <c r="Z1158" i="1"/>
  <c r="X1106" i="1"/>
  <c r="Y1106" i="1"/>
  <c r="Z1106" i="1"/>
  <c r="X1687" i="1"/>
  <c r="Y1687" i="1"/>
  <c r="Z1687" i="1"/>
  <c r="Y1774" i="1"/>
  <c r="Z1774" i="1"/>
  <c r="X1774" i="1"/>
  <c r="W1758" i="1"/>
  <c r="X1757" i="1"/>
  <c r="Z1757" i="1"/>
  <c r="W1759" i="1"/>
  <c r="Y1757" i="1"/>
  <c r="X1789" i="1"/>
  <c r="Z1789" i="1"/>
  <c r="Y1789" i="1"/>
  <c r="X1722" i="1"/>
  <c r="Y1722" i="1"/>
  <c r="Z1722" i="1"/>
  <c r="W1944" i="1"/>
  <c r="W1943" i="1"/>
  <c r="W1945" i="1"/>
  <c r="X1942" i="1"/>
  <c r="Y1942" i="1"/>
  <c r="Z1942" i="1"/>
  <c r="W1960" i="1"/>
  <c r="Z1958" i="1"/>
  <c r="W1959" i="1"/>
  <c r="W1961" i="1"/>
  <c r="X1958" i="1"/>
  <c r="Y1958" i="1"/>
  <c r="Y1974" i="1"/>
  <c r="Z1974" i="1"/>
  <c r="W1975" i="1"/>
  <c r="W1976" i="1"/>
  <c r="W1977" i="1"/>
  <c r="X1974" i="1"/>
  <c r="X1751" i="1"/>
  <c r="Y1751" i="1"/>
  <c r="Z1751" i="1"/>
  <c r="W1752" i="1"/>
  <c r="W1753" i="1"/>
  <c r="U2664" i="1"/>
  <c r="X21" i="1"/>
  <c r="Y21" i="1"/>
  <c r="Z21" i="1"/>
  <c r="Z54" i="1"/>
  <c r="X54" i="1"/>
  <c r="Y54" i="1"/>
  <c r="X69" i="1"/>
  <c r="Y69" i="1"/>
  <c r="Z69" i="1"/>
  <c r="X85" i="1"/>
  <c r="Y85" i="1"/>
  <c r="Z85" i="1"/>
  <c r="X102" i="1"/>
  <c r="Y102" i="1"/>
  <c r="Z102" i="1"/>
  <c r="X229" i="1"/>
  <c r="Z229" i="1"/>
  <c r="Y229" i="1"/>
  <c r="X245" i="1"/>
  <c r="Z245" i="1"/>
  <c r="Y245" i="1"/>
  <c r="Y261" i="1"/>
  <c r="Z261" i="1"/>
  <c r="W262" i="1"/>
  <c r="W263" i="1"/>
  <c r="W264" i="1"/>
  <c r="X261" i="1"/>
  <c r="W265" i="1"/>
  <c r="Y240" i="1"/>
  <c r="Z240" i="1"/>
  <c r="X240" i="1"/>
  <c r="X286" i="1"/>
  <c r="Y286" i="1"/>
  <c r="W287" i="1"/>
  <c r="W288" i="1"/>
  <c r="Z286" i="1"/>
  <c r="X289" i="1"/>
  <c r="Y289" i="1"/>
  <c r="Z289" i="1"/>
  <c r="W291" i="1"/>
  <c r="W290" i="1"/>
  <c r="U372" i="1"/>
  <c r="Z421" i="1"/>
  <c r="W426" i="1"/>
  <c r="W422" i="1"/>
  <c r="W424" i="1"/>
  <c r="Y421" i="1"/>
  <c r="W423" i="1"/>
  <c r="W425" i="1"/>
  <c r="X421" i="1"/>
  <c r="X565" i="1"/>
  <c r="Y565" i="1"/>
  <c r="Z565" i="1"/>
  <c r="X854" i="1"/>
  <c r="Y854" i="1"/>
  <c r="Z854" i="1"/>
  <c r="X786" i="1"/>
  <c r="Y786" i="1"/>
  <c r="Z786" i="1"/>
  <c r="X520" i="1"/>
  <c r="Y520" i="1"/>
  <c r="Z520" i="1"/>
  <c r="Z804" i="1"/>
  <c r="X804" i="1"/>
  <c r="Y804" i="1"/>
  <c r="X1016" i="1"/>
  <c r="Y1016" i="1"/>
  <c r="Z1016" i="1"/>
  <c r="X1144" i="1"/>
  <c r="Y1144" i="1"/>
  <c r="Z1144" i="1"/>
  <c r="Z780" i="1"/>
  <c r="X780" i="1"/>
  <c r="Y780" i="1"/>
  <c r="Z916" i="1"/>
  <c r="X916" i="1"/>
  <c r="Y916" i="1"/>
  <c r="X1042" i="1"/>
  <c r="Y1042" i="1"/>
  <c r="Z1042" i="1"/>
  <c r="X979" i="1"/>
  <c r="Y979" i="1"/>
  <c r="Z979" i="1"/>
  <c r="X800" i="1"/>
  <c r="Y800" i="1"/>
  <c r="Z800" i="1"/>
  <c r="X1163" i="1"/>
  <c r="Y1163" i="1"/>
  <c r="Z1163" i="1"/>
  <c r="Z1084" i="1"/>
  <c r="X1084" i="1"/>
  <c r="Y1084" i="1"/>
  <c r="X928" i="1"/>
  <c r="Y928" i="1"/>
  <c r="Z928" i="1"/>
  <c r="X1126" i="1"/>
  <c r="Y1126" i="1"/>
  <c r="Z1126" i="1"/>
  <c r="Z1164" i="1"/>
  <c r="X1164" i="1"/>
  <c r="Y1164" i="1"/>
  <c r="X851" i="1"/>
  <c r="Y851" i="1"/>
  <c r="Z851" i="1"/>
  <c r="W1832" i="1"/>
  <c r="Z1829" i="1"/>
  <c r="W1830" i="1"/>
  <c r="W1831" i="1"/>
  <c r="X1829" i="1"/>
  <c r="Y1829" i="1"/>
  <c r="X1695" i="1"/>
  <c r="Y1695" i="1"/>
  <c r="Z1695" i="1"/>
  <c r="Y1782" i="1"/>
  <c r="X1782" i="1"/>
  <c r="Z1782" i="1"/>
  <c r="W1783" i="1"/>
  <c r="W1784" i="1"/>
  <c r="W1785" i="1"/>
  <c r="X1906" i="1"/>
  <c r="W1908" i="1"/>
  <c r="Y1906" i="1"/>
  <c r="Z1906" i="1"/>
  <c r="W1907" i="1"/>
  <c r="W1909" i="1"/>
  <c r="W1924" i="1"/>
  <c r="W1925" i="1"/>
  <c r="X1922" i="1"/>
  <c r="Y1922" i="1"/>
  <c r="Z1922" i="1"/>
  <c r="W1923" i="1"/>
  <c r="X1938" i="1"/>
  <c r="W1940" i="1"/>
  <c r="W1941" i="1"/>
  <c r="Y1938" i="1"/>
  <c r="Z1938" i="1"/>
  <c r="W1939" i="1"/>
  <c r="Y1667" i="1"/>
  <c r="Z1667" i="1"/>
  <c r="Z1747" i="1"/>
  <c r="X1747" i="1"/>
  <c r="Y1747" i="1"/>
  <c r="Z1779" i="1"/>
  <c r="X1779" i="1"/>
  <c r="Y1779" i="1"/>
  <c r="W1819" i="1"/>
  <c r="Z1817" i="1"/>
  <c r="W1820" i="1"/>
  <c r="X1817" i="1"/>
  <c r="Y1817" i="1"/>
  <c r="W1818" i="1"/>
  <c r="X1195" i="1"/>
  <c r="Y1195" i="1"/>
  <c r="Z1195" i="1"/>
  <c r="W1873" i="1"/>
  <c r="Z1870" i="1"/>
  <c r="X1870" i="1"/>
  <c r="Y1870" i="1"/>
  <c r="W1871" i="1"/>
  <c r="W1872" i="1"/>
  <c r="X1667" i="1"/>
  <c r="X23" i="1"/>
  <c r="Y23" i="1"/>
  <c r="Z23" i="1"/>
  <c r="X39" i="1"/>
  <c r="Y39" i="1"/>
  <c r="Z39" i="1"/>
  <c r="X56" i="1"/>
  <c r="Y56" i="1"/>
  <c r="Z56" i="1"/>
  <c r="W87" i="1"/>
  <c r="X88" i="1"/>
  <c r="Y88" i="1"/>
  <c r="Z88" i="1"/>
  <c r="X104" i="1"/>
  <c r="Y104" i="1"/>
  <c r="Z104" i="1"/>
  <c r="X247" i="1"/>
  <c r="Y247" i="1"/>
  <c r="Z247" i="1"/>
  <c r="Y236" i="1"/>
  <c r="Z236" i="1"/>
  <c r="X236" i="1"/>
  <c r="W257" i="1"/>
  <c r="W258" i="1"/>
  <c r="X256" i="1"/>
  <c r="W260" i="1"/>
  <c r="Y256" i="1"/>
  <c r="Z256" i="1"/>
  <c r="W259" i="1"/>
  <c r="W282" i="1"/>
  <c r="Y280" i="1"/>
  <c r="Z280" i="1"/>
  <c r="W281" i="1"/>
  <c r="X280" i="1"/>
  <c r="X226" i="1"/>
  <c r="Y226" i="1"/>
  <c r="Z226" i="1"/>
  <c r="U291" i="1"/>
  <c r="Z298" i="1"/>
  <c r="W299" i="1"/>
  <c r="W300" i="1"/>
  <c r="X298" i="1"/>
  <c r="Y298" i="1"/>
  <c r="X385" i="1"/>
  <c r="W389" i="1"/>
  <c r="Y385" i="1"/>
  <c r="W386" i="1"/>
  <c r="W388" i="1"/>
  <c r="W390" i="1"/>
  <c r="Z385" i="1"/>
  <c r="W387" i="1"/>
  <c r="U426" i="1"/>
  <c r="W547" i="1"/>
  <c r="X544" i="1"/>
  <c r="Y544" i="1"/>
  <c r="Z544" i="1"/>
  <c r="W545" i="1"/>
  <c r="W546" i="1"/>
  <c r="W441" i="1"/>
  <c r="Z447" i="1"/>
  <c r="X447" i="1"/>
  <c r="Y447" i="1"/>
  <c r="U270" i="1"/>
  <c r="X870" i="1"/>
  <c r="Y870" i="1"/>
  <c r="Z870" i="1"/>
  <c r="X890" i="1"/>
  <c r="Y890" i="1"/>
  <c r="Z890" i="1"/>
  <c r="Y562" i="1"/>
  <c r="Z562" i="1"/>
  <c r="X562" i="1"/>
  <c r="X922" i="1"/>
  <c r="Y922" i="1"/>
  <c r="Z922" i="1"/>
  <c r="X1032" i="1"/>
  <c r="Y1032" i="1"/>
  <c r="Z1032" i="1"/>
  <c r="X1160" i="1"/>
  <c r="Y1160" i="1"/>
  <c r="Z1160" i="1"/>
  <c r="Y799" i="1"/>
  <c r="Z799" i="1"/>
  <c r="X799" i="1"/>
  <c r="X882" i="1"/>
  <c r="Y882" i="1"/>
  <c r="Z882" i="1"/>
  <c r="X1058" i="1"/>
  <c r="Y1058" i="1"/>
  <c r="Z1058" i="1"/>
  <c r="X1179" i="1"/>
  <c r="Y1179" i="1"/>
  <c r="Z1179" i="1"/>
  <c r="X1027" i="1"/>
  <c r="Y1027" i="1"/>
  <c r="Z1027" i="1"/>
  <c r="X1154" i="1"/>
  <c r="Y1154" i="1"/>
  <c r="Z1154" i="1"/>
  <c r="Z1036" i="1"/>
  <c r="X1036" i="1"/>
  <c r="Y1036" i="1"/>
  <c r="X1171" i="1"/>
  <c r="Y1171" i="1"/>
  <c r="Z1171" i="1"/>
  <c r="X858" i="1"/>
  <c r="Y858" i="1"/>
  <c r="Z858" i="1"/>
  <c r="X1081" i="1"/>
  <c r="Y1081" i="1"/>
  <c r="Z1081" i="1"/>
  <c r="X963" i="1"/>
  <c r="Y963" i="1"/>
  <c r="Z963" i="1"/>
  <c r="Z1132" i="1"/>
  <c r="X1132" i="1"/>
  <c r="Y1132" i="1"/>
  <c r="Z972" i="1"/>
  <c r="X972" i="1"/>
  <c r="Y972" i="1"/>
  <c r="X1170" i="1"/>
  <c r="Y1170" i="1"/>
  <c r="Z1170" i="1"/>
  <c r="Z1704" i="1"/>
  <c r="W1701" i="1"/>
  <c r="X1704" i="1"/>
  <c r="Y1704" i="1"/>
  <c r="W1792" i="1"/>
  <c r="X1790" i="1"/>
  <c r="Y1790" i="1"/>
  <c r="Z1790" i="1"/>
  <c r="W1791" i="1"/>
  <c r="W1793" i="1"/>
  <c r="W1835" i="1"/>
  <c r="Y1833" i="1"/>
  <c r="W1836" i="1"/>
  <c r="X1833" i="1"/>
  <c r="Z1833" i="1"/>
  <c r="W1834" i="1"/>
  <c r="W1948" i="1"/>
  <c r="W1947" i="1"/>
  <c r="X1946" i="1"/>
  <c r="Y1946" i="1"/>
  <c r="Z1946" i="1"/>
  <c r="W1949" i="1"/>
  <c r="W1964" i="1"/>
  <c r="W1965" i="1"/>
  <c r="X1962" i="1"/>
  <c r="Y1962" i="1"/>
  <c r="Z1962" i="1"/>
  <c r="W1963" i="1"/>
  <c r="Z1978" i="1"/>
  <c r="X1978" i="1"/>
  <c r="W1979" i="1"/>
  <c r="W1980" i="1"/>
  <c r="W1981" i="1"/>
  <c r="Y1978" i="1"/>
  <c r="Z1754" i="1"/>
  <c r="W1755" i="1"/>
  <c r="W1756" i="1"/>
  <c r="X1754" i="1"/>
  <c r="Y1754" i="1"/>
  <c r="Y1786" i="1"/>
  <c r="Z1786" i="1"/>
  <c r="X1786" i="1"/>
  <c r="X1706" i="1"/>
  <c r="Y1706" i="1"/>
  <c r="Z1706" i="1"/>
  <c r="X25" i="1"/>
  <c r="Y25" i="1"/>
  <c r="Z25" i="1"/>
  <c r="X41" i="1"/>
  <c r="Y41" i="1"/>
  <c r="Z41" i="1"/>
  <c r="X58" i="1"/>
  <c r="Y58" i="1"/>
  <c r="Z58" i="1"/>
  <c r="Z73" i="1"/>
  <c r="X73" i="1"/>
  <c r="Y73" i="1"/>
  <c r="Y90" i="1"/>
  <c r="Z90" i="1"/>
  <c r="X90" i="1"/>
  <c r="Y106" i="1"/>
  <c r="Z106" i="1"/>
  <c r="X106" i="1"/>
  <c r="Z233" i="1"/>
  <c r="X233" i="1"/>
  <c r="Y233" i="1"/>
  <c r="Z249" i="1"/>
  <c r="X249" i="1"/>
  <c r="Y249" i="1"/>
  <c r="W285" i="1"/>
  <c r="X283" i="1"/>
  <c r="Z283" i="1"/>
  <c r="W284" i="1"/>
  <c r="Y283" i="1"/>
  <c r="Y295" i="1"/>
  <c r="Z295" i="1"/>
  <c r="W296" i="1"/>
  <c r="W297" i="1"/>
  <c r="X295" i="1"/>
  <c r="X560" i="1"/>
  <c r="Y560" i="1"/>
  <c r="Z560" i="1"/>
  <c r="X455" i="1"/>
  <c r="Y455" i="1"/>
  <c r="Z455" i="1"/>
  <c r="X266" i="1"/>
  <c r="W270" i="1"/>
  <c r="Y266" i="1"/>
  <c r="Z266" i="1"/>
  <c r="W268" i="1"/>
  <c r="W269" i="1"/>
  <c r="W267" i="1"/>
  <c r="X552" i="1"/>
  <c r="W555" i="1"/>
  <c r="Y552" i="1"/>
  <c r="Z552" i="1"/>
  <c r="W553" i="1"/>
  <c r="W554" i="1"/>
  <c r="X886" i="1"/>
  <c r="Y886" i="1"/>
  <c r="Z886" i="1"/>
  <c r="X810" i="1"/>
  <c r="Y810" i="1"/>
  <c r="Z810" i="1"/>
  <c r="Z900" i="1"/>
  <c r="X900" i="1"/>
  <c r="Y900" i="1"/>
  <c r="X569" i="1"/>
  <c r="Y569" i="1"/>
  <c r="Z569" i="1"/>
  <c r="Z828" i="1"/>
  <c r="X828" i="1"/>
  <c r="Y828" i="1"/>
  <c r="Z932" i="1"/>
  <c r="X932" i="1"/>
  <c r="Y932" i="1"/>
  <c r="X1048" i="1"/>
  <c r="Y1048" i="1"/>
  <c r="Z1048" i="1"/>
  <c r="X1176" i="1"/>
  <c r="Y1176" i="1"/>
  <c r="Z1176" i="1"/>
  <c r="X826" i="1"/>
  <c r="Y826" i="1"/>
  <c r="Z826" i="1"/>
  <c r="Z812" i="1"/>
  <c r="X812" i="1"/>
  <c r="Y812" i="1"/>
  <c r="X946" i="1"/>
  <c r="Y946" i="1"/>
  <c r="Z946" i="1"/>
  <c r="X1074" i="1"/>
  <c r="Y1074" i="1"/>
  <c r="Z1074" i="1"/>
  <c r="Y863" i="1"/>
  <c r="Z863" i="1"/>
  <c r="X863" i="1"/>
  <c r="Z1068" i="1"/>
  <c r="X1068" i="1"/>
  <c r="Y1068" i="1"/>
  <c r="X834" i="1"/>
  <c r="Y834" i="1"/>
  <c r="Z834" i="1"/>
  <c r="X1174" i="1"/>
  <c r="Y1174" i="1"/>
  <c r="Z1174" i="1"/>
  <c r="X1090" i="1"/>
  <c r="Y1090" i="1"/>
  <c r="Z1090" i="1"/>
  <c r="W1847" i="1"/>
  <c r="Y1845" i="1"/>
  <c r="X1845" i="1"/>
  <c r="Z1845" i="1"/>
  <c r="W1846" i="1"/>
  <c r="W1848" i="1"/>
  <c r="X1647" i="1"/>
  <c r="Y1647" i="1"/>
  <c r="Z1647" i="1"/>
  <c r="Z1712" i="1"/>
  <c r="X1712" i="1"/>
  <c r="Y1712" i="1"/>
  <c r="Y1910" i="1"/>
  <c r="W1912" i="1"/>
  <c r="X1910" i="1"/>
  <c r="Z1910" i="1"/>
  <c r="W1911" i="1"/>
  <c r="W1913" i="1"/>
  <c r="W1929" i="1"/>
  <c r="X1926" i="1"/>
  <c r="Y1926" i="1"/>
  <c r="Z1926" i="1"/>
  <c r="W1927" i="1"/>
  <c r="W1928" i="1"/>
  <c r="X1728" i="1"/>
  <c r="Y1728" i="1"/>
  <c r="Z1728" i="1"/>
  <c r="X1787" i="1"/>
  <c r="Y1787" i="1"/>
  <c r="Z1787" i="1"/>
  <c r="Z1849" i="1"/>
  <c r="W1850" i="1"/>
  <c r="W1851" i="1"/>
  <c r="W1852" i="1"/>
  <c r="X1849" i="1"/>
  <c r="Y1849" i="1"/>
  <c r="X1714" i="1"/>
  <c r="Y1714" i="1"/>
  <c r="Z1714" i="1"/>
  <c r="Z1841" i="1"/>
  <c r="X1841" i="1"/>
  <c r="Y1841" i="1"/>
  <c r="W1842" i="1"/>
  <c r="W1843" i="1"/>
  <c r="W1844" i="1"/>
  <c r="X1794" i="1"/>
  <c r="Y1794" i="1"/>
  <c r="Z1794" i="1"/>
  <c r="X1998" i="1"/>
  <c r="Y1998" i="1"/>
  <c r="Z1998" i="1"/>
  <c r="W1999" i="1"/>
  <c r="W2000" i="1"/>
  <c r="W2001" i="1"/>
  <c r="Y27" i="1"/>
  <c r="Z27" i="1"/>
  <c r="X27" i="1"/>
  <c r="X44" i="1"/>
  <c r="Y44" i="1"/>
  <c r="Z44" i="1"/>
  <c r="X60" i="1"/>
  <c r="Y60" i="1"/>
  <c r="Z60" i="1"/>
  <c r="X75" i="1"/>
  <c r="Y75" i="1"/>
  <c r="Z75" i="1"/>
  <c r="X92" i="1"/>
  <c r="Y92" i="1"/>
  <c r="Z92" i="1"/>
  <c r="X108" i="1"/>
  <c r="Y108" i="1"/>
  <c r="Z108" i="1"/>
  <c r="X235" i="1"/>
  <c r="Y235" i="1"/>
  <c r="Z235" i="1"/>
  <c r="W253" i="1"/>
  <c r="X251" i="1"/>
  <c r="W255" i="1"/>
  <c r="Y251" i="1"/>
  <c r="Z251" i="1"/>
  <c r="W252" i="1"/>
  <c r="W254" i="1"/>
  <c r="Y313" i="1"/>
  <c r="Z313" i="1"/>
  <c r="W317" i="1"/>
  <c r="W314" i="1"/>
  <c r="W318" i="1"/>
  <c r="W315" i="1"/>
  <c r="W316" i="1"/>
  <c r="X313" i="1"/>
  <c r="W411" i="1"/>
  <c r="W412" i="1"/>
  <c r="Y409" i="1"/>
  <c r="W413" i="1"/>
  <c r="W414" i="1"/>
  <c r="X409" i="1"/>
  <c r="Z409" i="1"/>
  <c r="W410" i="1"/>
  <c r="X463" i="1"/>
  <c r="Y463" i="1"/>
  <c r="Z463" i="1"/>
  <c r="Z453" i="1"/>
  <c r="Y453" i="1"/>
  <c r="X453" i="1"/>
  <c r="X568" i="1"/>
  <c r="Y568" i="1"/>
  <c r="Z568" i="1"/>
  <c r="X902" i="1"/>
  <c r="Y902" i="1"/>
  <c r="Z902" i="1"/>
  <c r="Z796" i="1"/>
  <c r="X796" i="1"/>
  <c r="Y796" i="1"/>
  <c r="Z924" i="1"/>
  <c r="X924" i="1"/>
  <c r="Y924" i="1"/>
  <c r="X849" i="1"/>
  <c r="Y849" i="1"/>
  <c r="Z849" i="1"/>
  <c r="X1064" i="1"/>
  <c r="Y1064" i="1"/>
  <c r="Z1064" i="1"/>
  <c r="Y465" i="1"/>
  <c r="X465" i="1"/>
  <c r="Z465" i="1"/>
  <c r="X894" i="1"/>
  <c r="Y894" i="1"/>
  <c r="Z894" i="1"/>
  <c r="X962" i="1"/>
  <c r="Y962" i="1"/>
  <c r="Z962" i="1"/>
  <c r="Y839" i="1"/>
  <c r="Z839" i="1"/>
  <c r="X839" i="1"/>
  <c r="X885" i="1"/>
  <c r="Y885" i="1"/>
  <c r="Z885" i="1"/>
  <c r="Z1116" i="1"/>
  <c r="X1116" i="1"/>
  <c r="Y1116" i="1"/>
  <c r="X817" i="1"/>
  <c r="Y817" i="1"/>
  <c r="Z817" i="1"/>
  <c r="X1075" i="1"/>
  <c r="Y1075" i="1"/>
  <c r="Z1075" i="1"/>
  <c r="Z1180" i="1"/>
  <c r="X1180" i="1"/>
  <c r="Y1180" i="1"/>
  <c r="Z868" i="1"/>
  <c r="X868" i="1"/>
  <c r="Y868" i="1"/>
  <c r="Z1052" i="1"/>
  <c r="X1052" i="1"/>
  <c r="Y1052" i="1"/>
  <c r="X1138" i="1"/>
  <c r="Y1138" i="1"/>
  <c r="Z1138" i="1"/>
  <c r="X793" i="1"/>
  <c r="Y793" i="1"/>
  <c r="Z793" i="1"/>
  <c r="X1011" i="1"/>
  <c r="Y1011" i="1"/>
  <c r="Z1011" i="1"/>
  <c r="X1655" i="1"/>
  <c r="Y1655" i="1"/>
  <c r="Z1655" i="1"/>
  <c r="Z1720" i="1"/>
  <c r="X1720" i="1"/>
  <c r="Y1720" i="1"/>
  <c r="X1741" i="1"/>
  <c r="Y1741" i="1"/>
  <c r="Z1741" i="1"/>
  <c r="Y1773" i="1"/>
  <c r="X1773" i="1"/>
  <c r="Z1773" i="1"/>
  <c r="W1807" i="1"/>
  <c r="X1805" i="1"/>
  <c r="Y1805" i="1"/>
  <c r="Z1805" i="1"/>
  <c r="W1806" i="1"/>
  <c r="W1808" i="1"/>
  <c r="X1187" i="1"/>
  <c r="Y1187" i="1"/>
  <c r="Z1187" i="1"/>
  <c r="W1952" i="1"/>
  <c r="X1950" i="1"/>
  <c r="Y1950" i="1"/>
  <c r="Z1950" i="1"/>
  <c r="W1951" i="1"/>
  <c r="W1953" i="1"/>
  <c r="W1968" i="1"/>
  <c r="X1966" i="1"/>
  <c r="Y1966" i="1"/>
  <c r="Z1966" i="1"/>
  <c r="W1967" i="1"/>
  <c r="W1969" i="1"/>
  <c r="X1735" i="1"/>
  <c r="Y1735" i="1"/>
  <c r="Z1735" i="1"/>
  <c r="Y1799" i="1"/>
  <c r="W1800" i="1"/>
  <c r="X1799" i="1"/>
  <c r="Z1799" i="1"/>
  <c r="W1801" i="1"/>
  <c r="W1897" i="1"/>
  <c r="W1896" i="1"/>
  <c r="X1894" i="1"/>
  <c r="Y1894" i="1"/>
  <c r="Z1894" i="1"/>
  <c r="W1895" i="1"/>
  <c r="W1983" i="1"/>
  <c r="Z1982" i="1"/>
  <c r="W1984" i="1"/>
  <c r="W1985" i="1"/>
  <c r="X1982" i="1"/>
  <c r="Y1982" i="1"/>
  <c r="W2439" i="1"/>
  <c r="X2435" i="1"/>
  <c r="W2440" i="1"/>
  <c r="Y2435" i="1"/>
  <c r="Z2435" i="1"/>
  <c r="W2436" i="1"/>
  <c r="W2437" i="1"/>
  <c r="W2438" i="1"/>
  <c r="W1812" i="1"/>
  <c r="Y1809" i="1"/>
  <c r="X1809" i="1"/>
  <c r="Z1809" i="1"/>
  <c r="W1810" i="1"/>
  <c r="W1811" i="1"/>
  <c r="Y1697" i="1"/>
  <c r="X1697" i="1"/>
  <c r="Z1697" i="1"/>
  <c r="Z159" i="1" l="1"/>
  <c r="Z2312" i="1"/>
  <c r="Z2290" i="1"/>
  <c r="X402" i="1"/>
  <c r="Y2132" i="1"/>
  <c r="X2328" i="1"/>
  <c r="Y399" i="1"/>
  <c r="Z2132" i="1"/>
  <c r="X2359" i="1"/>
  <c r="Y2359" i="1"/>
  <c r="Z1875" i="1"/>
  <c r="X1875" i="1"/>
  <c r="Z401" i="1"/>
  <c r="Z1861" i="1"/>
  <c r="X1663" i="1"/>
  <c r="Y401" i="1"/>
  <c r="Y1663" i="1"/>
  <c r="Z368" i="1"/>
  <c r="Z330" i="1"/>
  <c r="Z192" i="1"/>
  <c r="X2300" i="1"/>
  <c r="Z472" i="1"/>
  <c r="Y1761" i="1"/>
  <c r="Z320" i="1"/>
  <c r="Y2302" i="1"/>
  <c r="Y320" i="1"/>
  <c r="X2341" i="1"/>
  <c r="Y179" i="1"/>
  <c r="Z370" i="1"/>
  <c r="X2028" i="1"/>
  <c r="Y478" i="1"/>
  <c r="Z378" i="1"/>
  <c r="X378" i="1"/>
  <c r="X611" i="1"/>
  <c r="Y1899" i="1"/>
  <c r="X359" i="1"/>
  <c r="Y2217" i="1"/>
  <c r="Y191" i="1"/>
  <c r="Y1901" i="1"/>
  <c r="Z1901" i="1"/>
  <c r="Z311" i="1"/>
  <c r="Y322" i="1"/>
  <c r="X588" i="1"/>
  <c r="Z400" i="1"/>
  <c r="X275" i="1"/>
  <c r="X2019" i="1"/>
  <c r="Y370" i="1"/>
  <c r="X473" i="1"/>
  <c r="Y329" i="1"/>
  <c r="X179" i="1"/>
  <c r="X155" i="1"/>
  <c r="X400" i="1"/>
  <c r="Z327" i="1"/>
  <c r="Y473" i="1"/>
  <c r="X2105" i="1"/>
  <c r="X2338" i="1"/>
  <c r="Y2298" i="1"/>
  <c r="X2352" i="1"/>
  <c r="X408" i="1"/>
  <c r="Z2352" i="1"/>
  <c r="Z408" i="1"/>
  <c r="Z2526" i="1"/>
  <c r="Y2152" i="1"/>
  <c r="V2664" i="1"/>
  <c r="Y472" i="1"/>
  <c r="X2268" i="1"/>
  <c r="Z2268" i="1"/>
  <c r="Y311" i="1"/>
  <c r="Z329" i="1"/>
  <c r="X2314" i="1"/>
  <c r="Y2314" i="1"/>
  <c r="Z1899" i="1"/>
  <c r="Z2264" i="1"/>
  <c r="Y2264" i="1"/>
  <c r="Y275" i="1"/>
  <c r="Y369" i="1"/>
  <c r="X2421" i="1"/>
  <c r="Z402" i="1"/>
  <c r="X1996" i="1"/>
  <c r="Z2029" i="1"/>
  <c r="Y327" i="1"/>
  <c r="X2148" i="1"/>
  <c r="Y2148" i="1"/>
  <c r="Z2148" i="1"/>
  <c r="Y2150" i="1"/>
  <c r="Z2150" i="1"/>
  <c r="Y2151" i="1"/>
  <c r="Z2151" i="1"/>
  <c r="Y2341" i="1"/>
  <c r="X2343" i="1"/>
  <c r="X2312" i="1"/>
  <c r="Z2277" i="1"/>
  <c r="X2277" i="1"/>
  <c r="Y2277" i="1"/>
  <c r="X2149" i="1"/>
  <c r="Y2149" i="1"/>
  <c r="Z2149" i="1"/>
  <c r="Y2300" i="1"/>
  <c r="Y2269" i="1"/>
  <c r="X2269" i="1"/>
  <c r="Z2270" i="1"/>
  <c r="Y2270" i="1"/>
  <c r="Y2275" i="1"/>
  <c r="X2275" i="1"/>
  <c r="Y2274" i="1"/>
  <c r="X2274" i="1"/>
  <c r="X2356" i="1"/>
  <c r="Y2311" i="1"/>
  <c r="Z2311" i="1"/>
  <c r="X2311" i="1"/>
  <c r="Y2310" i="1"/>
  <c r="X2310" i="1"/>
  <c r="Z2275" i="1"/>
  <c r="Y2418" i="1"/>
  <c r="X2302" i="1"/>
  <c r="Z2073" i="1"/>
  <c r="Z2338" i="1"/>
  <c r="Y1892" i="1"/>
  <c r="Y417" i="1"/>
  <c r="Y2265" i="1"/>
  <c r="X2265" i="1"/>
  <c r="Y2272" i="1"/>
  <c r="Z2272" i="1"/>
  <c r="X398" i="1"/>
  <c r="Z398" i="1"/>
  <c r="Z2263" i="1"/>
  <c r="X2263" i="1"/>
  <c r="Y2263" i="1"/>
  <c r="Y398" i="1"/>
  <c r="Z2265" i="1"/>
  <c r="Y2278" i="1"/>
  <c r="X2278" i="1"/>
  <c r="X2276" i="1"/>
  <c r="Y2276" i="1"/>
  <c r="Z2276" i="1"/>
  <c r="X2272" i="1"/>
  <c r="X2266" i="1"/>
  <c r="Y2266" i="1"/>
  <c r="X192" i="1"/>
  <c r="Y1859" i="1"/>
  <c r="X2373" i="1"/>
  <c r="Z2373" i="1"/>
  <c r="X2130" i="1"/>
  <c r="Y2130" i="1"/>
  <c r="Z2130" i="1"/>
  <c r="Y2133" i="1"/>
  <c r="X2133" i="1"/>
  <c r="Z2133" i="1"/>
  <c r="Y2370" i="1"/>
  <c r="X2370" i="1"/>
  <c r="Z2370" i="1"/>
  <c r="X2134" i="1"/>
  <c r="Y2134" i="1"/>
  <c r="Z2134" i="1"/>
  <c r="Y2373" i="1"/>
  <c r="Y2131" i="1"/>
  <c r="X2131" i="1"/>
  <c r="Z2131" i="1"/>
  <c r="X2374" i="1"/>
  <c r="Y2374" i="1"/>
  <c r="Y359" i="1"/>
  <c r="Y2128" i="1"/>
  <c r="Y1860" i="1"/>
  <c r="X1860" i="1"/>
  <c r="Z2340" i="1"/>
  <c r="Y2340" i="1"/>
  <c r="Z1860" i="1"/>
  <c r="Z2332" i="1"/>
  <c r="Y2332" i="1"/>
  <c r="Z2319" i="1"/>
  <c r="X2319" i="1"/>
  <c r="Y2319" i="1"/>
  <c r="Y323" i="1"/>
  <c r="X323" i="1"/>
  <c r="Z323" i="1"/>
  <c r="X2289" i="1"/>
  <c r="Z2289" i="1"/>
  <c r="Y2289" i="1"/>
  <c r="Y2330" i="1"/>
  <c r="Z2330" i="1"/>
  <c r="X2330" i="1"/>
  <c r="Z328" i="1"/>
  <c r="X328" i="1"/>
  <c r="Y2287" i="1"/>
  <c r="Z2287" i="1"/>
  <c r="Y326" i="1"/>
  <c r="X326" i="1"/>
  <c r="Z326" i="1"/>
  <c r="Z2320" i="1"/>
  <c r="X2320" i="1"/>
  <c r="X2337" i="1"/>
  <c r="Z2337" i="1"/>
  <c r="Y2337" i="1"/>
  <c r="X2344" i="1"/>
  <c r="Z2344" i="1"/>
  <c r="Y2344" i="1"/>
  <c r="X2287" i="1"/>
  <c r="Y2317" i="1"/>
  <c r="X2317" i="1"/>
  <c r="Z2317" i="1"/>
  <c r="Y328" i="1"/>
  <c r="Y2290" i="1"/>
  <c r="X2335" i="1"/>
  <c r="Y2335" i="1"/>
  <c r="Z2335" i="1"/>
  <c r="Y2320" i="1"/>
  <c r="Y321" i="1"/>
  <c r="X321" i="1"/>
  <c r="Z321" i="1"/>
  <c r="Y2342" i="1"/>
  <c r="Z2342" i="1"/>
  <c r="Z2286" i="1"/>
  <c r="X2286" i="1"/>
  <c r="Y2286" i="1"/>
  <c r="Y2343" i="1"/>
  <c r="Y2316" i="1"/>
  <c r="X2316" i="1"/>
  <c r="Z2316" i="1"/>
  <c r="X1859" i="1"/>
  <c r="Z2334" i="1"/>
  <c r="Y2334" i="1"/>
  <c r="X2334" i="1"/>
  <c r="Y2331" i="1"/>
  <c r="Z2331" i="1"/>
  <c r="Y2336" i="1"/>
  <c r="Z2336" i="1"/>
  <c r="X2342" i="1"/>
  <c r="Z2329" i="1"/>
  <c r="X2329" i="1"/>
  <c r="Y2329" i="1"/>
  <c r="Y2288" i="1"/>
  <c r="X2288" i="1"/>
  <c r="X322" i="1"/>
  <c r="Y1861" i="1"/>
  <c r="Z2318" i="1"/>
  <c r="X2318" i="1"/>
  <c r="X2284" i="1"/>
  <c r="Z2284" i="1"/>
  <c r="Y2284" i="1"/>
  <c r="Y2236" i="1"/>
  <c r="Z2236" i="1"/>
  <c r="X2236" i="1"/>
  <c r="Z405" i="1"/>
  <c r="X405" i="1"/>
  <c r="Y405" i="1"/>
  <c r="X2119" i="1"/>
  <c r="Y2119" i="1"/>
  <c r="X2322" i="1"/>
  <c r="Z2322" i="1"/>
  <c r="X2283" i="1"/>
  <c r="Y2283" i="1"/>
  <c r="Z2283" i="1"/>
  <c r="Y404" i="1"/>
  <c r="X404" i="1"/>
  <c r="Z404" i="1"/>
  <c r="X2116" i="1"/>
  <c r="Z2116" i="1"/>
  <c r="Y2116" i="1"/>
  <c r="X2118" i="1"/>
  <c r="Y2118" i="1"/>
  <c r="Z2045" i="1"/>
  <c r="X2045" i="1"/>
  <c r="X2029" i="1"/>
  <c r="Z2282" i="1"/>
  <c r="Y2282" i="1"/>
  <c r="X2235" i="1"/>
  <c r="Y2235" i="1"/>
  <c r="Z2235" i="1"/>
  <c r="Y2115" i="1"/>
  <c r="X2115" i="1"/>
  <c r="Z2115" i="1"/>
  <c r="Y2044" i="1"/>
  <c r="Z2044" i="1"/>
  <c r="X2298" i="1"/>
  <c r="Z2427" i="1"/>
  <c r="X2281" i="1"/>
  <c r="Y2281" i="1"/>
  <c r="Z2281" i="1"/>
  <c r="Y2355" i="1"/>
  <c r="Z2355" i="1"/>
  <c r="X2355" i="1"/>
  <c r="Y2234" i="1"/>
  <c r="X2234" i="1"/>
  <c r="Z2234" i="1"/>
  <c r="X2224" i="1"/>
  <c r="Z2224" i="1"/>
  <c r="X2106" i="1"/>
  <c r="Y2106" i="1"/>
  <c r="Z2106" i="1"/>
  <c r="Z2113" i="1"/>
  <c r="X2113" i="1"/>
  <c r="Y2113" i="1"/>
  <c r="Y2043" i="1"/>
  <c r="X2043" i="1"/>
  <c r="Z2043" i="1"/>
  <c r="Y2326" i="1"/>
  <c r="Z2326" i="1"/>
  <c r="X2326" i="1"/>
  <c r="X2282" i="1"/>
  <c r="X2280" i="1"/>
  <c r="Y2280" i="1"/>
  <c r="Z2280" i="1"/>
  <c r="Z377" i="1"/>
  <c r="Y377" i="1"/>
  <c r="Y2027" i="1"/>
  <c r="Z2027" i="1"/>
  <c r="Y2233" i="1"/>
  <c r="Z2233" i="1"/>
  <c r="X2223" i="1"/>
  <c r="Z2223" i="1"/>
  <c r="Z2114" i="1"/>
  <c r="X2114" i="1"/>
  <c r="Y2114" i="1"/>
  <c r="Y2325" i="1"/>
  <c r="X2325" i="1"/>
  <c r="Z2325" i="1"/>
  <c r="Z2301" i="1"/>
  <c r="X2301" i="1"/>
  <c r="Y2301" i="1"/>
  <c r="Z1761" i="1"/>
  <c r="Y376" i="1"/>
  <c r="X376" i="1"/>
  <c r="Z376" i="1"/>
  <c r="Z2354" i="1"/>
  <c r="X2354" i="1"/>
  <c r="Y2354" i="1"/>
  <c r="X2232" i="1"/>
  <c r="Z2232" i="1"/>
  <c r="Y2232" i="1"/>
  <c r="X2221" i="1"/>
  <c r="Y2221" i="1"/>
  <c r="Z2104" i="1"/>
  <c r="Y2104" i="1"/>
  <c r="X2104" i="1"/>
  <c r="Z2122" i="1"/>
  <c r="Y2122" i="1"/>
  <c r="Z2119" i="1"/>
  <c r="Y2105" i="1"/>
  <c r="Z375" i="1"/>
  <c r="X375" i="1"/>
  <c r="X2353" i="1"/>
  <c r="Y2353" i="1"/>
  <c r="Z2353" i="1"/>
  <c r="Z406" i="1"/>
  <c r="Y406" i="1"/>
  <c r="X406" i="1"/>
  <c r="Y2028" i="1"/>
  <c r="X2222" i="1"/>
  <c r="Y2222" i="1"/>
  <c r="Z2222" i="1"/>
  <c r="Y375" i="1"/>
  <c r="X2103" i="1"/>
  <c r="Y2103" i="1"/>
  <c r="Z2121" i="1"/>
  <c r="X2121" i="1"/>
  <c r="X2044" i="1"/>
  <c r="X2324" i="1"/>
  <c r="Y2324" i="1"/>
  <c r="Y2223" i="1"/>
  <c r="Z2103" i="1"/>
  <c r="Y374" i="1"/>
  <c r="X374" i="1"/>
  <c r="Z374" i="1"/>
  <c r="Y2220" i="1"/>
  <c r="X2220" i="1"/>
  <c r="Z2220" i="1"/>
  <c r="Z2120" i="1"/>
  <c r="X2120" i="1"/>
  <c r="Y2120" i="1"/>
  <c r="Y2045" i="1"/>
  <c r="Y2323" i="1"/>
  <c r="Z2323" i="1"/>
  <c r="X2323" i="1"/>
  <c r="Z2299" i="1"/>
  <c r="Y2299" i="1"/>
  <c r="X2299" i="1"/>
  <c r="X368" i="1"/>
  <c r="Y2421" i="1"/>
  <c r="X174" i="1"/>
  <c r="Z174" i="1"/>
  <c r="Y174" i="1"/>
  <c r="X2178" i="1"/>
  <c r="Y2178" i="1"/>
  <c r="Z2178" i="1"/>
  <c r="X2156" i="1"/>
  <c r="Y2156" i="1"/>
  <c r="Z2156" i="1"/>
  <c r="Z2482" i="1"/>
  <c r="X2482" i="1"/>
  <c r="X2197" i="1"/>
  <c r="Y2197" i="1"/>
  <c r="Z2197" i="1"/>
  <c r="X173" i="1"/>
  <c r="Y173" i="1"/>
  <c r="Z173" i="1"/>
  <c r="Z2192" i="1"/>
  <c r="Y2192" i="1"/>
  <c r="X2192" i="1"/>
  <c r="Z2214" i="1"/>
  <c r="Y2214" i="1"/>
  <c r="X2154" i="1"/>
  <c r="Y2154" i="1"/>
  <c r="Z2154" i="1"/>
  <c r="X2481" i="1"/>
  <c r="Y2481" i="1"/>
  <c r="Y2096" i="1"/>
  <c r="X2096" i="1"/>
  <c r="Z2096" i="1"/>
  <c r="X2196" i="1"/>
  <c r="Z2196" i="1"/>
  <c r="Y2196" i="1"/>
  <c r="Y188" i="1"/>
  <c r="X188" i="1"/>
  <c r="Z188" i="1"/>
  <c r="Z2194" i="1"/>
  <c r="X2194" i="1"/>
  <c r="Z2218" i="1"/>
  <c r="X2218" i="1"/>
  <c r="Y2218" i="1"/>
  <c r="X2480" i="1"/>
  <c r="Z2480" i="1"/>
  <c r="Y2480" i="1"/>
  <c r="Y2194" i="1"/>
  <c r="Y187" i="1"/>
  <c r="Z187" i="1"/>
  <c r="Z2193" i="1"/>
  <c r="X2193" i="1"/>
  <c r="Y2193" i="1"/>
  <c r="Y2479" i="1"/>
  <c r="X2479" i="1"/>
  <c r="Z2191" i="1"/>
  <c r="X2191" i="1"/>
  <c r="Y2191" i="1"/>
  <c r="Y2182" i="1"/>
  <c r="Z2182" i="1"/>
  <c r="X2182" i="1"/>
  <c r="Z2216" i="1"/>
  <c r="Y2216" i="1"/>
  <c r="X2216" i="1"/>
  <c r="X187" i="1"/>
  <c r="X2217" i="1"/>
  <c r="Y2095" i="1"/>
  <c r="X2095" i="1"/>
  <c r="Z2095" i="1"/>
  <c r="X2190" i="1"/>
  <c r="Z2190" i="1"/>
  <c r="Y2190" i="1"/>
  <c r="Y2180" i="1"/>
  <c r="Z2180" i="1"/>
  <c r="X2180" i="1"/>
  <c r="Y2215" i="1"/>
  <c r="X2215" i="1"/>
  <c r="Z2479" i="1"/>
  <c r="Y2158" i="1"/>
  <c r="Z2158" i="1"/>
  <c r="X2158" i="1"/>
  <c r="X1666" i="1"/>
  <c r="Z1666" i="1"/>
  <c r="Y1666" i="1"/>
  <c r="X2094" i="1"/>
  <c r="Z2094" i="1"/>
  <c r="Y2094" i="1"/>
  <c r="Z2215" i="1"/>
  <c r="Y2200" i="1"/>
  <c r="Z2200" i="1"/>
  <c r="X2200" i="1"/>
  <c r="Z2181" i="1"/>
  <c r="X2181" i="1"/>
  <c r="Y2181" i="1"/>
  <c r="Z2157" i="1"/>
  <c r="X2157" i="1"/>
  <c r="Y2157" i="1"/>
  <c r="Z2478" i="1"/>
  <c r="X2478" i="1"/>
  <c r="X1665" i="1"/>
  <c r="Y1665" i="1"/>
  <c r="Z2481" i="1"/>
  <c r="Z2093" i="1"/>
  <c r="X2093" i="1"/>
  <c r="Y2093" i="1"/>
  <c r="Z2198" i="1"/>
  <c r="Y2198" i="1"/>
  <c r="X2198" i="1"/>
  <c r="Z2179" i="1"/>
  <c r="X2179" i="1"/>
  <c r="Y2179" i="1"/>
  <c r="X191" i="1"/>
  <c r="Y2155" i="1"/>
  <c r="Z2155" i="1"/>
  <c r="X2155" i="1"/>
  <c r="X2214" i="1"/>
  <c r="Z2199" i="1"/>
  <c r="Y2199" i="1"/>
  <c r="X2073" i="1"/>
  <c r="X1651" i="1"/>
  <c r="Y1651" i="1"/>
  <c r="Y2019" i="1"/>
  <c r="Y2527" i="1"/>
  <c r="Z2527" i="1"/>
  <c r="Z2230" i="1"/>
  <c r="X2230" i="1"/>
  <c r="Y2230" i="1"/>
  <c r="Y2139" i="1"/>
  <c r="X2139" i="1"/>
  <c r="Z2139" i="1"/>
  <c r="Y2063" i="1"/>
  <c r="Z2063" i="1"/>
  <c r="X2063" i="1"/>
  <c r="Y632" i="1"/>
  <c r="X632" i="1"/>
  <c r="Z632" i="1"/>
  <c r="Z155" i="1"/>
  <c r="X2075" i="1"/>
  <c r="Z2075" i="1"/>
  <c r="Y2075" i="1"/>
  <c r="Y2009" i="1"/>
  <c r="X2009" i="1"/>
  <c r="Z2009" i="1"/>
  <c r="X587" i="1"/>
  <c r="Y587" i="1"/>
  <c r="Z587" i="1"/>
  <c r="X151" i="1"/>
  <c r="Y151" i="1"/>
  <c r="Z151" i="1"/>
  <c r="Y142" i="1"/>
  <c r="X142" i="1"/>
  <c r="Z142" i="1"/>
  <c r="Z1892" i="1"/>
  <c r="X2051" i="1"/>
  <c r="Z2051" i="1"/>
  <c r="Y2536" i="1"/>
  <c r="X2536" i="1"/>
  <c r="Z2536" i="1"/>
  <c r="Y2185" i="1"/>
  <c r="X2185" i="1"/>
  <c r="Z2185" i="1"/>
  <c r="Z2033" i="1"/>
  <c r="X2033" i="1"/>
  <c r="Y2033" i="1"/>
  <c r="Z1650" i="1"/>
  <c r="X1650" i="1"/>
  <c r="Y1650" i="1"/>
  <c r="X1893" i="1"/>
  <c r="Y1893" i="1"/>
  <c r="X195" i="1"/>
  <c r="Y195" i="1"/>
  <c r="Z195" i="1"/>
  <c r="Y2229" i="1"/>
  <c r="Z2229" i="1"/>
  <c r="X2229" i="1"/>
  <c r="Z2362" i="1"/>
  <c r="X2362" i="1"/>
  <c r="Y2362" i="1"/>
  <c r="Z2242" i="1"/>
  <c r="X2242" i="1"/>
  <c r="Y2242" i="1"/>
  <c r="Y612" i="1"/>
  <c r="Z612" i="1"/>
  <c r="X612" i="1"/>
  <c r="X2506" i="1"/>
  <c r="Z2506" i="1"/>
  <c r="Y2506" i="1"/>
  <c r="Y2138" i="1"/>
  <c r="X2138" i="1"/>
  <c r="Z2138" i="1"/>
  <c r="X2007" i="1"/>
  <c r="Z2007" i="1"/>
  <c r="Y2007" i="1"/>
  <c r="Y586" i="1"/>
  <c r="X586" i="1"/>
  <c r="Z586" i="1"/>
  <c r="Z2422" i="1"/>
  <c r="X2422" i="1"/>
  <c r="Y2422" i="1"/>
  <c r="Y588" i="1"/>
  <c r="Y171" i="1"/>
  <c r="Z171" i="1"/>
  <c r="X2464" i="1"/>
  <c r="Y2464" i="1"/>
  <c r="Z2464" i="1"/>
  <c r="Z2535" i="1"/>
  <c r="X2535" i="1"/>
  <c r="Z2380" i="1"/>
  <c r="X2380" i="1"/>
  <c r="Y2187" i="1"/>
  <c r="X2187" i="1"/>
  <c r="Z2187" i="1"/>
  <c r="X2032" i="1"/>
  <c r="Y2032" i="1"/>
  <c r="Z2032" i="1"/>
  <c r="X559" i="1"/>
  <c r="Y559" i="1"/>
  <c r="Z723" i="1"/>
  <c r="Y723" i="1"/>
  <c r="X194" i="1"/>
  <c r="Z194" i="1"/>
  <c r="Y194" i="1"/>
  <c r="Z2228" i="1"/>
  <c r="X2228" i="1"/>
  <c r="Y2228" i="1"/>
  <c r="X2241" i="1"/>
  <c r="Z2241" i="1"/>
  <c r="Y2241" i="1"/>
  <c r="X2505" i="1"/>
  <c r="Z2505" i="1"/>
  <c r="Y2137" i="1"/>
  <c r="X2137" i="1"/>
  <c r="Z2137" i="1"/>
  <c r="Y1877" i="1"/>
  <c r="X1877" i="1"/>
  <c r="Z165" i="1"/>
  <c r="Y165" i="1"/>
  <c r="X165" i="1"/>
  <c r="Z2060" i="1"/>
  <c r="Y2060" i="1"/>
  <c r="Z585" i="1"/>
  <c r="X585" i="1"/>
  <c r="Y585" i="1"/>
  <c r="X2021" i="1"/>
  <c r="Z2021" i="1"/>
  <c r="Y2021" i="1"/>
  <c r="X306" i="1"/>
  <c r="Y306" i="1"/>
  <c r="Z306" i="1"/>
  <c r="Y2526" i="1"/>
  <c r="Z2047" i="1"/>
  <c r="X2047" i="1"/>
  <c r="Y2047" i="1"/>
  <c r="Z2463" i="1"/>
  <c r="X2463" i="1"/>
  <c r="Y2463" i="1"/>
  <c r="Z2533" i="1"/>
  <c r="X2533" i="1"/>
  <c r="Z2379" i="1"/>
  <c r="X2379" i="1"/>
  <c r="Y2379" i="1"/>
  <c r="Z2184" i="1"/>
  <c r="Y2184" i="1"/>
  <c r="X2184" i="1"/>
  <c r="X2031" i="1"/>
  <c r="Y2031" i="1"/>
  <c r="Z2031" i="1"/>
  <c r="Y558" i="1"/>
  <c r="Z558" i="1"/>
  <c r="Y722" i="1"/>
  <c r="Z722" i="1"/>
  <c r="X722" i="1"/>
  <c r="X723" i="1"/>
  <c r="Z2428" i="1"/>
  <c r="Y2428" i="1"/>
  <c r="Y2398" i="1"/>
  <c r="Z2398" i="1"/>
  <c r="X2398" i="1"/>
  <c r="X2227" i="1"/>
  <c r="Y2227" i="1"/>
  <c r="Z2227" i="1"/>
  <c r="Y2361" i="1"/>
  <c r="X2361" i="1"/>
  <c r="Z2361" i="1"/>
  <c r="Y2240" i="1"/>
  <c r="Z2240" i="1"/>
  <c r="X2127" i="1"/>
  <c r="Y2127" i="1"/>
  <c r="Z2127" i="1"/>
  <c r="Y610" i="1"/>
  <c r="Z610" i="1"/>
  <c r="X610" i="1"/>
  <c r="X2504" i="1"/>
  <c r="Y2504" i="1"/>
  <c r="Z2504" i="1"/>
  <c r="X2136" i="1"/>
  <c r="Z2136" i="1"/>
  <c r="X154" i="1"/>
  <c r="Z154" i="1"/>
  <c r="Y154" i="1"/>
  <c r="Z1877" i="1"/>
  <c r="Z2008" i="1"/>
  <c r="X2008" i="1"/>
  <c r="Y2008" i="1"/>
  <c r="X2059" i="1"/>
  <c r="Z2059" i="1"/>
  <c r="Y2059" i="1"/>
  <c r="X584" i="1"/>
  <c r="Z584" i="1"/>
  <c r="X478" i="1"/>
  <c r="Z2420" i="1"/>
  <c r="Y2420" i="1"/>
  <c r="X2420" i="1"/>
  <c r="X2020" i="1"/>
  <c r="Z2020" i="1"/>
  <c r="Y2020" i="1"/>
  <c r="Y1798" i="1"/>
  <c r="X1798" i="1"/>
  <c r="Z1798" i="1"/>
  <c r="Z551" i="1"/>
  <c r="X551" i="1"/>
  <c r="X189" i="1"/>
  <c r="Y189" i="1"/>
  <c r="Z189" i="1"/>
  <c r="Y2462" i="1"/>
  <c r="Z2462" i="1"/>
  <c r="X2378" i="1"/>
  <c r="Y2378" i="1"/>
  <c r="Z2378" i="1"/>
  <c r="X721" i="1"/>
  <c r="Y721" i="1"/>
  <c r="Z721" i="1"/>
  <c r="Z1649" i="1"/>
  <c r="X1649" i="1"/>
  <c r="Y1649" i="1"/>
  <c r="Y2530" i="1"/>
  <c r="X2530" i="1"/>
  <c r="Z2530" i="1"/>
  <c r="Y2226" i="1"/>
  <c r="X2226" i="1"/>
  <c r="Z2226" i="1"/>
  <c r="X2239" i="1"/>
  <c r="Z2239" i="1"/>
  <c r="Y2239" i="1"/>
  <c r="X2126" i="1"/>
  <c r="Y2126" i="1"/>
  <c r="Z2126" i="1"/>
  <c r="X479" i="1"/>
  <c r="Z479" i="1"/>
  <c r="Y479" i="1"/>
  <c r="X609" i="1"/>
  <c r="Z609" i="1"/>
  <c r="Z2064" i="1"/>
  <c r="X2064" i="1"/>
  <c r="Y2064" i="1"/>
  <c r="Z636" i="1"/>
  <c r="X636" i="1"/>
  <c r="X158" i="1"/>
  <c r="Z158" i="1"/>
  <c r="Y158" i="1"/>
  <c r="X2128" i="1"/>
  <c r="X2419" i="1"/>
  <c r="Z2419" i="1"/>
  <c r="Z550" i="1"/>
  <c r="Y550" i="1"/>
  <c r="X550" i="1"/>
  <c r="X305" i="1"/>
  <c r="Z305" i="1"/>
  <c r="Y2136" i="1"/>
  <c r="Y611" i="1"/>
  <c r="Y2057" i="1"/>
  <c r="Z2057" i="1"/>
  <c r="X2057" i="1"/>
  <c r="X140" i="1"/>
  <c r="Z140" i="1"/>
  <c r="Y140" i="1"/>
  <c r="Y175" i="1"/>
  <c r="Z175" i="1"/>
  <c r="Y2461" i="1"/>
  <c r="Z2461" i="1"/>
  <c r="X2461" i="1"/>
  <c r="X2534" i="1"/>
  <c r="Z2534" i="1"/>
  <c r="Y2534" i="1"/>
  <c r="Z2377" i="1"/>
  <c r="X2377" i="1"/>
  <c r="Y2377" i="1"/>
  <c r="Z1661" i="1"/>
  <c r="X1661" i="1"/>
  <c r="Y1661" i="1"/>
  <c r="X2426" i="1"/>
  <c r="Z2426" i="1"/>
  <c r="Y2426" i="1"/>
  <c r="X2396" i="1"/>
  <c r="Z2396" i="1"/>
  <c r="Y2396" i="1"/>
  <c r="X2358" i="1"/>
  <c r="Y2358" i="1"/>
  <c r="Z2358" i="1"/>
  <c r="Y2238" i="1"/>
  <c r="Z2238" i="1"/>
  <c r="X2238" i="1"/>
  <c r="X2125" i="1"/>
  <c r="Y2125" i="1"/>
  <c r="Z2125" i="1"/>
  <c r="X608" i="1"/>
  <c r="Z608" i="1"/>
  <c r="Y608" i="1"/>
  <c r="Y2502" i="1"/>
  <c r="X2502" i="1"/>
  <c r="Z474" i="1"/>
  <c r="Y474" i="1"/>
  <c r="X635" i="1"/>
  <c r="Y635" i="1"/>
  <c r="Z635" i="1"/>
  <c r="X157" i="1"/>
  <c r="Z157" i="1"/>
  <c r="Y157" i="1"/>
  <c r="Y2074" i="1"/>
  <c r="X2074" i="1"/>
  <c r="Z2074" i="1"/>
  <c r="Z2502" i="1"/>
  <c r="X549" i="1"/>
  <c r="Z549" i="1"/>
  <c r="X304" i="1"/>
  <c r="Y304" i="1"/>
  <c r="Z304" i="1"/>
  <c r="Y2503" i="1"/>
  <c r="X2056" i="1"/>
  <c r="Y2056" i="1"/>
  <c r="Z2056" i="1"/>
  <c r="Y139" i="1"/>
  <c r="Z139" i="1"/>
  <c r="Y167" i="1"/>
  <c r="Z167" i="1"/>
  <c r="X2460" i="1"/>
  <c r="Y2460" i="1"/>
  <c r="Z2460" i="1"/>
  <c r="X2532" i="1"/>
  <c r="Z2532" i="1"/>
  <c r="X2376" i="1"/>
  <c r="Z2376" i="1"/>
  <c r="Y2376" i="1"/>
  <c r="X557" i="1"/>
  <c r="Y557" i="1"/>
  <c r="Z2425" i="1"/>
  <c r="Y2425" i="1"/>
  <c r="X2425" i="1"/>
  <c r="X2395" i="1"/>
  <c r="Y2395" i="1"/>
  <c r="Z2395" i="1"/>
  <c r="X1891" i="1"/>
  <c r="Y1891" i="1"/>
  <c r="Z1891" i="1"/>
  <c r="Z1893" i="1"/>
  <c r="Z2529" i="1"/>
  <c r="Y2529" i="1"/>
  <c r="Z2360" i="1"/>
  <c r="Y2360" i="1"/>
  <c r="X2360" i="1"/>
  <c r="X2124" i="1"/>
  <c r="Z2124" i="1"/>
  <c r="Y2124" i="1"/>
  <c r="X477" i="1"/>
  <c r="Z477" i="1"/>
  <c r="Y477" i="1"/>
  <c r="X2066" i="1"/>
  <c r="Y2066" i="1"/>
  <c r="Z2066" i="1"/>
  <c r="X1876" i="1"/>
  <c r="Y1876" i="1"/>
  <c r="Z1876" i="1"/>
  <c r="X166" i="1"/>
  <c r="Y166" i="1"/>
  <c r="Z166" i="1"/>
  <c r="Y634" i="1"/>
  <c r="Z634" i="1"/>
  <c r="X634" i="1"/>
  <c r="X2061" i="1"/>
  <c r="Y2061" i="1"/>
  <c r="Z2061" i="1"/>
  <c r="X2397" i="1"/>
  <c r="Y303" i="1"/>
  <c r="X303" i="1"/>
  <c r="Z303" i="1"/>
  <c r="X2418" i="1"/>
  <c r="X2053" i="1"/>
  <c r="Y2053" i="1"/>
  <c r="Z2053" i="1"/>
  <c r="Y2055" i="1"/>
  <c r="X2055" i="1"/>
  <c r="Z2048" i="1"/>
  <c r="X2048" i="1"/>
  <c r="Y2048" i="1"/>
  <c r="Z163" i="1"/>
  <c r="Y163" i="1"/>
  <c r="Z2188" i="1"/>
  <c r="Y2188" i="1"/>
  <c r="X2188" i="1"/>
  <c r="X2240" i="1"/>
  <c r="X2424" i="1"/>
  <c r="Y2424" i="1"/>
  <c r="Z2424" i="1"/>
  <c r="Y2394" i="1"/>
  <c r="Z2394" i="1"/>
  <c r="X2394" i="1"/>
  <c r="Y2528" i="1"/>
  <c r="X2528" i="1"/>
  <c r="Z2528" i="1"/>
  <c r="Y2140" i="1"/>
  <c r="Z2140" i="1"/>
  <c r="X2140" i="1"/>
  <c r="Z2065" i="1"/>
  <c r="X2065" i="1"/>
  <c r="Y2065" i="1"/>
  <c r="X633" i="1"/>
  <c r="Y633" i="1"/>
  <c r="Z633" i="1"/>
  <c r="Z2076" i="1"/>
  <c r="Y2076" i="1"/>
  <c r="X2076" i="1"/>
  <c r="X1797" i="1"/>
  <c r="Y1797" i="1"/>
  <c r="Y152" i="1"/>
  <c r="Z152" i="1"/>
  <c r="Y302" i="1"/>
  <c r="Z302" i="1"/>
  <c r="X302" i="1"/>
  <c r="Z143" i="1"/>
  <c r="Y143" i="1"/>
  <c r="X2427" i="1"/>
  <c r="Z2052" i="1"/>
  <c r="Y2052" i="1"/>
  <c r="X2052" i="1"/>
  <c r="Z2049" i="1"/>
  <c r="X2049" i="1"/>
  <c r="Y2049" i="1"/>
  <c r="Z2186" i="1"/>
  <c r="Y2186" i="1"/>
  <c r="X2186" i="1"/>
  <c r="Z1662" i="1"/>
  <c r="Y1662" i="1"/>
  <c r="X1662" i="1"/>
  <c r="X2572" i="1"/>
  <c r="Y2572" i="1"/>
  <c r="Z2572" i="1"/>
  <c r="Y2455" i="1"/>
  <c r="X2455" i="1"/>
  <c r="Z2455" i="1"/>
  <c r="Y2164" i="1"/>
  <c r="X2164" i="1"/>
  <c r="Z2164" i="1"/>
  <c r="Y2416" i="1"/>
  <c r="X2416" i="1"/>
  <c r="Z2416" i="1"/>
  <c r="Z2168" i="1"/>
  <c r="X2168" i="1"/>
  <c r="Y2168" i="1"/>
  <c r="Y2260" i="1"/>
  <c r="Z2260" i="1"/>
  <c r="X2260" i="1"/>
  <c r="X2003" i="1"/>
  <c r="Y2003" i="1"/>
  <c r="Z2003" i="1"/>
  <c r="X2091" i="1"/>
  <c r="Y2091" i="1"/>
  <c r="Z2091" i="1"/>
  <c r="Y482" i="1"/>
  <c r="X482" i="1"/>
  <c r="Z482" i="1"/>
  <c r="Y2515" i="1"/>
  <c r="X2515" i="1"/>
  <c r="Z2515" i="1"/>
  <c r="Y1671" i="1"/>
  <c r="X1671" i="1"/>
  <c r="Y356" i="1"/>
  <c r="X356" i="1"/>
  <c r="Z356" i="1"/>
  <c r="X2564" i="1"/>
  <c r="Z2564" i="1"/>
  <c r="Y2564" i="1"/>
  <c r="X2472" i="1"/>
  <c r="Y2472" i="1"/>
  <c r="Z2472" i="1"/>
  <c r="Z2548" i="1"/>
  <c r="X2548" i="1"/>
  <c r="Y2548" i="1"/>
  <c r="X354" i="1"/>
  <c r="Y354" i="1"/>
  <c r="Z354" i="1"/>
  <c r="X417" i="1"/>
  <c r="Y2346" i="1"/>
  <c r="X2346" i="1"/>
  <c r="Z2346" i="1"/>
  <c r="Z2431" i="1"/>
  <c r="X2431" i="1"/>
  <c r="Y2431" i="1"/>
  <c r="Z1900" i="1"/>
  <c r="Y1900" i="1"/>
  <c r="X1900" i="1"/>
  <c r="X592" i="1"/>
  <c r="Y592" i="1"/>
  <c r="Z592" i="1"/>
  <c r="X577" i="1"/>
  <c r="Y577" i="1"/>
  <c r="Z577" i="1"/>
  <c r="Y177" i="1"/>
  <c r="X177" i="1"/>
  <c r="Z177" i="1"/>
  <c r="Y2554" i="1"/>
  <c r="X2554" i="1"/>
  <c r="Z2554" i="1"/>
  <c r="X629" i="1"/>
  <c r="Y629" i="1"/>
  <c r="Z629" i="1"/>
  <c r="Z294" i="1"/>
  <c r="Y294" i="1"/>
  <c r="X294" i="1"/>
  <c r="X2466" i="1"/>
  <c r="Z2466" i="1"/>
  <c r="Y2466" i="1"/>
  <c r="X2560" i="1"/>
  <c r="Z2560" i="1"/>
  <c r="Y2560" i="1"/>
  <c r="X2172" i="1"/>
  <c r="Y2172" i="1"/>
  <c r="Z2172" i="1"/>
  <c r="Y725" i="1"/>
  <c r="Z725" i="1"/>
  <c r="X725" i="1"/>
  <c r="Z622" i="1"/>
  <c r="Y622" i="1"/>
  <c r="X622" i="1"/>
  <c r="Z2247" i="1"/>
  <c r="Y2247" i="1"/>
  <c r="X2247" i="1"/>
  <c r="Y2368" i="1"/>
  <c r="Z2368" i="1"/>
  <c r="X2368" i="1"/>
  <c r="Z2101" i="1"/>
  <c r="X2101" i="1"/>
  <c r="Y2101" i="1"/>
  <c r="Z2011" i="1"/>
  <c r="Y2011" i="1"/>
  <c r="X2011" i="1"/>
  <c r="X642" i="1"/>
  <c r="Y642" i="1"/>
  <c r="Z642" i="1"/>
  <c r="X602" i="1"/>
  <c r="Y602" i="1"/>
  <c r="Z602" i="1"/>
  <c r="X2569" i="1"/>
  <c r="Y2569" i="1"/>
  <c r="Z2569" i="1"/>
  <c r="Z2454" i="1"/>
  <c r="X2454" i="1"/>
  <c r="Y2454" i="1"/>
  <c r="Y2510" i="1"/>
  <c r="X2510" i="1"/>
  <c r="Z2510" i="1"/>
  <c r="Z2025" i="1"/>
  <c r="X2025" i="1"/>
  <c r="Y2025" i="1"/>
  <c r="X2090" i="1"/>
  <c r="Y2090" i="1"/>
  <c r="Z2090" i="1"/>
  <c r="Z599" i="1"/>
  <c r="X599" i="1"/>
  <c r="Y599" i="1"/>
  <c r="X2514" i="1"/>
  <c r="Z2514" i="1"/>
  <c r="Y2514" i="1"/>
  <c r="Z1670" i="1"/>
  <c r="Y1670" i="1"/>
  <c r="X1670" i="1"/>
  <c r="Z652" i="1"/>
  <c r="Y652" i="1"/>
  <c r="X652" i="1"/>
  <c r="X2476" i="1"/>
  <c r="Y2476" i="1"/>
  <c r="Z2476" i="1"/>
  <c r="Z2544" i="1"/>
  <c r="X2544" i="1"/>
  <c r="Y2544" i="1"/>
  <c r="Y648" i="1"/>
  <c r="Z648" i="1"/>
  <c r="X648" i="1"/>
  <c r="Z353" i="1"/>
  <c r="X353" i="1"/>
  <c r="X2202" i="1"/>
  <c r="Y2202" i="1"/>
  <c r="Z2202" i="1"/>
  <c r="X2347" i="1"/>
  <c r="Y2347" i="1"/>
  <c r="Z2347" i="1"/>
  <c r="Y2430" i="1"/>
  <c r="Z2430" i="1"/>
  <c r="X2430" i="1"/>
  <c r="Y591" i="1"/>
  <c r="X591" i="1"/>
  <c r="Z591" i="1"/>
  <c r="X2550" i="1"/>
  <c r="Y2550" i="1"/>
  <c r="Z2550" i="1"/>
  <c r="X2110" i="1"/>
  <c r="Y2110" i="1"/>
  <c r="Z2110" i="1"/>
  <c r="X2212" i="1"/>
  <c r="Y2212" i="1"/>
  <c r="Z2212" i="1"/>
  <c r="Y2467" i="1"/>
  <c r="Z2467" i="1"/>
  <c r="X2467" i="1"/>
  <c r="Z2250" i="1"/>
  <c r="X2250" i="1"/>
  <c r="Y2250" i="1"/>
  <c r="X2174" i="1"/>
  <c r="Y2174" i="1"/>
  <c r="Z2174" i="1"/>
  <c r="X575" i="1"/>
  <c r="Y575" i="1"/>
  <c r="Z575" i="1"/>
  <c r="X621" i="1"/>
  <c r="Z621" i="1"/>
  <c r="Y621" i="1"/>
  <c r="Y2086" i="1"/>
  <c r="X2086" i="1"/>
  <c r="Z2086" i="1"/>
  <c r="Y2541" i="1"/>
  <c r="Z2541" i="1"/>
  <c r="X2541" i="1"/>
  <c r="Z2385" i="1"/>
  <c r="Y2385" i="1"/>
  <c r="X2385" i="1"/>
  <c r="X1889" i="1"/>
  <c r="Z1889" i="1"/>
  <c r="Y1889" i="1"/>
  <c r="Y2492" i="1"/>
  <c r="X2492" i="1"/>
  <c r="Z2492" i="1"/>
  <c r="Y581" i="1"/>
  <c r="X581" i="1"/>
  <c r="Z581" i="1"/>
  <c r="X145" i="1"/>
  <c r="Y145" i="1"/>
  <c r="Z145" i="1"/>
  <c r="X2415" i="1"/>
  <c r="Y2415" i="1"/>
  <c r="Z2415" i="1"/>
  <c r="Z2170" i="1"/>
  <c r="X2170" i="1"/>
  <c r="Y2170" i="1"/>
  <c r="X2509" i="1"/>
  <c r="Y2509" i="1"/>
  <c r="Z2509" i="1"/>
  <c r="X2024" i="1"/>
  <c r="Y2024" i="1"/>
  <c r="Z2024" i="1"/>
  <c r="X2089" i="1"/>
  <c r="Y2089" i="1"/>
  <c r="Z2089" i="1"/>
  <c r="X598" i="1"/>
  <c r="Y598" i="1"/>
  <c r="Z598" i="1"/>
  <c r="X123" i="1"/>
  <c r="Z123" i="1"/>
  <c r="Y123" i="1"/>
  <c r="Z2041" i="1"/>
  <c r="X2041" i="1"/>
  <c r="Y2041" i="1"/>
  <c r="X1669" i="1"/>
  <c r="Y1669" i="1"/>
  <c r="Z1669" i="1"/>
  <c r="X651" i="1"/>
  <c r="Z651" i="1"/>
  <c r="Y651" i="1"/>
  <c r="Z419" i="1"/>
  <c r="Y419" i="1"/>
  <c r="X419" i="1"/>
  <c r="Z2575" i="1"/>
  <c r="Y2575" i="1"/>
  <c r="X2575" i="1"/>
  <c r="X2545" i="1"/>
  <c r="Y2545" i="1"/>
  <c r="Z2545" i="1"/>
  <c r="X1885" i="1"/>
  <c r="Y1885" i="1"/>
  <c r="Z1885" i="1"/>
  <c r="X352" i="1"/>
  <c r="Y352" i="1"/>
  <c r="Z352" i="1"/>
  <c r="Y2625" i="1"/>
  <c r="X2625" i="1"/>
  <c r="Z2625" i="1"/>
  <c r="Y2350" i="1"/>
  <c r="X2350" i="1"/>
  <c r="Z2350" i="1"/>
  <c r="X590" i="1"/>
  <c r="Y590" i="1"/>
  <c r="Z590" i="1"/>
  <c r="Y492" i="1"/>
  <c r="X492" i="1"/>
  <c r="Z492" i="1"/>
  <c r="Z2523" i="1"/>
  <c r="Y2523" i="1"/>
  <c r="X2523" i="1"/>
  <c r="X2109" i="1"/>
  <c r="Y2109" i="1"/>
  <c r="Z2109" i="1"/>
  <c r="Y2211" i="1"/>
  <c r="Z2211" i="1"/>
  <c r="X2211" i="1"/>
  <c r="Z1657" i="1"/>
  <c r="X1657" i="1"/>
  <c r="Y1657" i="1"/>
  <c r="Y312" i="1"/>
  <c r="Z312" i="1"/>
  <c r="X312" i="1"/>
  <c r="X2470" i="1"/>
  <c r="Z2470" i="1"/>
  <c r="Y2470" i="1"/>
  <c r="Z2556" i="1"/>
  <c r="Y2556" i="1"/>
  <c r="X2556" i="1"/>
  <c r="X2173" i="1"/>
  <c r="Y2173" i="1"/>
  <c r="Z2173" i="1"/>
  <c r="X2017" i="1"/>
  <c r="Z2017" i="1"/>
  <c r="Y2017" i="1"/>
  <c r="Z620" i="1"/>
  <c r="Y620" i="1"/>
  <c r="X620" i="1"/>
  <c r="Z2246" i="1"/>
  <c r="Y2246" i="1"/>
  <c r="X2246" i="1"/>
  <c r="Z2083" i="1"/>
  <c r="X2083" i="1"/>
  <c r="Y2083" i="1"/>
  <c r="Z2366" i="1"/>
  <c r="Y2366" i="1"/>
  <c r="X2366" i="1"/>
  <c r="Z2100" i="1"/>
  <c r="Y2100" i="1"/>
  <c r="X2100" i="1"/>
  <c r="Y1888" i="1"/>
  <c r="Z1888" i="1"/>
  <c r="Y617" i="1"/>
  <c r="X617" i="1"/>
  <c r="Z617" i="1"/>
  <c r="Z170" i="1"/>
  <c r="X170" i="1"/>
  <c r="Y170" i="1"/>
  <c r="Y2494" i="1"/>
  <c r="X2494" i="1"/>
  <c r="Z2494" i="1"/>
  <c r="X2071" i="1"/>
  <c r="Z2071" i="1"/>
  <c r="Y2071" i="1"/>
  <c r="X1673" i="1"/>
  <c r="Y1673" i="1"/>
  <c r="Z1673" i="1"/>
  <c r="X638" i="1"/>
  <c r="Y638" i="1"/>
  <c r="Z638" i="1"/>
  <c r="Z2571" i="1"/>
  <c r="X2571" i="1"/>
  <c r="Y2571" i="1"/>
  <c r="Y2163" i="1"/>
  <c r="X2163" i="1"/>
  <c r="Z2163" i="1"/>
  <c r="Y2414" i="1"/>
  <c r="X2414" i="1"/>
  <c r="Z2414" i="1"/>
  <c r="Y2508" i="1"/>
  <c r="X2508" i="1"/>
  <c r="Z2508" i="1"/>
  <c r="Z2023" i="1"/>
  <c r="X2023" i="1"/>
  <c r="Y2023" i="1"/>
  <c r="Z597" i="1"/>
  <c r="X597" i="1"/>
  <c r="Y597" i="1"/>
  <c r="Z2518" i="1"/>
  <c r="X2518" i="1"/>
  <c r="Y2518" i="1"/>
  <c r="Z2040" i="1"/>
  <c r="X2040" i="1"/>
  <c r="Y2040" i="1"/>
  <c r="Z650" i="1"/>
  <c r="Y650" i="1"/>
  <c r="X650" i="1"/>
  <c r="X416" i="1"/>
  <c r="Z416" i="1"/>
  <c r="Y416" i="1"/>
  <c r="Y162" i="1"/>
  <c r="X162" i="1"/>
  <c r="Z162" i="1"/>
  <c r="Y2574" i="1"/>
  <c r="Z2574" i="1"/>
  <c r="X2574" i="1"/>
  <c r="X2566" i="1"/>
  <c r="Y2566" i="1"/>
  <c r="Z2566" i="1"/>
  <c r="Y2391" i="1"/>
  <c r="X2391" i="1"/>
  <c r="Z2391" i="1"/>
  <c r="Z2475" i="1"/>
  <c r="Y2475" i="1"/>
  <c r="X2475" i="1"/>
  <c r="X2547" i="1"/>
  <c r="Z2547" i="1"/>
  <c r="Y2547" i="1"/>
  <c r="Z1884" i="1"/>
  <c r="Y1884" i="1"/>
  <c r="X1884" i="1"/>
  <c r="X646" i="1"/>
  <c r="Y646" i="1"/>
  <c r="Z646" i="1"/>
  <c r="X2206" i="1"/>
  <c r="Y2206" i="1"/>
  <c r="Z2206" i="1"/>
  <c r="Y2432" i="1"/>
  <c r="Z2432" i="1"/>
  <c r="X2432" i="1"/>
  <c r="X594" i="1"/>
  <c r="Y594" i="1"/>
  <c r="Z594" i="1"/>
  <c r="X535" i="1"/>
  <c r="Y535" i="1"/>
  <c r="Z535" i="1"/>
  <c r="Z1996" i="1"/>
  <c r="Y2551" i="1"/>
  <c r="Z2551" i="1"/>
  <c r="X2551" i="1"/>
  <c r="X2108" i="1"/>
  <c r="Y2108" i="1"/>
  <c r="Z2108" i="1"/>
  <c r="X2210" i="1"/>
  <c r="Y2210" i="1"/>
  <c r="Z2210" i="1"/>
  <c r="X1997" i="1"/>
  <c r="Y1997" i="1"/>
  <c r="Z1997" i="1"/>
  <c r="X628" i="1"/>
  <c r="Z628" i="1"/>
  <c r="Y628" i="1"/>
  <c r="Y308" i="1"/>
  <c r="X308" i="1"/>
  <c r="Z308" i="1"/>
  <c r="Z2254" i="1"/>
  <c r="X2254" i="1"/>
  <c r="Y2254" i="1"/>
  <c r="Z2016" i="1"/>
  <c r="X2016" i="1"/>
  <c r="Y2016" i="1"/>
  <c r="Z2245" i="1"/>
  <c r="Y2245" i="1"/>
  <c r="X2245" i="1"/>
  <c r="Y2540" i="1"/>
  <c r="X2540" i="1"/>
  <c r="Z2540" i="1"/>
  <c r="X2365" i="1"/>
  <c r="Y2365" i="1"/>
  <c r="Z2365" i="1"/>
  <c r="Y2384" i="1"/>
  <c r="X2384" i="1"/>
  <c r="Z2384" i="1"/>
  <c r="Y1887" i="1"/>
  <c r="Z1887" i="1"/>
  <c r="Y616" i="1"/>
  <c r="X616" i="1"/>
  <c r="Z616" i="1"/>
  <c r="X169" i="1"/>
  <c r="Z169" i="1"/>
  <c r="Y169" i="1"/>
  <c r="Z149" i="1"/>
  <c r="Y149" i="1"/>
  <c r="X149" i="1"/>
  <c r="X369" i="1"/>
  <c r="Y2081" i="1"/>
  <c r="Z2081" i="1"/>
  <c r="X2081" i="1"/>
  <c r="Y2490" i="1"/>
  <c r="X2490" i="1"/>
  <c r="Z2490" i="1"/>
  <c r="Z606" i="1"/>
  <c r="Y606" i="1"/>
  <c r="X606" i="1"/>
  <c r="Y2162" i="1"/>
  <c r="X2162" i="1"/>
  <c r="Z2162" i="1"/>
  <c r="Z2413" i="1"/>
  <c r="X2413" i="1"/>
  <c r="Y2413" i="1"/>
  <c r="Z2169" i="1"/>
  <c r="X2169" i="1"/>
  <c r="Y2169" i="1"/>
  <c r="X2259" i="1"/>
  <c r="Y2259" i="1"/>
  <c r="Z2259" i="1"/>
  <c r="X596" i="1"/>
  <c r="Y596" i="1"/>
  <c r="Z596" i="1"/>
  <c r="X2039" i="1"/>
  <c r="Y2039" i="1"/>
  <c r="Z2039" i="1"/>
  <c r="Y418" i="1"/>
  <c r="Z418" i="1"/>
  <c r="X418" i="1"/>
  <c r="Y358" i="1"/>
  <c r="X358" i="1"/>
  <c r="Z358" i="1"/>
  <c r="Y2577" i="1"/>
  <c r="X2577" i="1"/>
  <c r="Z2577" i="1"/>
  <c r="Y2390" i="1"/>
  <c r="Z2390" i="1"/>
  <c r="X2390" i="1"/>
  <c r="X1883" i="1"/>
  <c r="Y1883" i="1"/>
  <c r="Z1883" i="1"/>
  <c r="Z647" i="1"/>
  <c r="X647" i="1"/>
  <c r="Y647" i="1"/>
  <c r="Y351" i="1"/>
  <c r="Z351" i="1"/>
  <c r="X351" i="1"/>
  <c r="Y2434" i="1"/>
  <c r="Z2434" i="1"/>
  <c r="X2434" i="1"/>
  <c r="Y534" i="1"/>
  <c r="X534" i="1"/>
  <c r="Z534" i="1"/>
  <c r="Y2553" i="1"/>
  <c r="Z2553" i="1"/>
  <c r="X2553" i="1"/>
  <c r="Z2521" i="1"/>
  <c r="X2521" i="1"/>
  <c r="Y2521" i="1"/>
  <c r="Y2209" i="1"/>
  <c r="X2209" i="1"/>
  <c r="Z2209" i="1"/>
  <c r="Y627" i="1"/>
  <c r="X627" i="1"/>
  <c r="Z627" i="1"/>
  <c r="Y293" i="1"/>
  <c r="X293" i="1"/>
  <c r="Z293" i="1"/>
  <c r="Y2176" i="1"/>
  <c r="Z2176" i="1"/>
  <c r="X2176" i="1"/>
  <c r="Y2015" i="1"/>
  <c r="Z2015" i="1"/>
  <c r="X2015" i="1"/>
  <c r="Z2248" i="1"/>
  <c r="X2248" i="1"/>
  <c r="Y2248" i="1"/>
  <c r="X2085" i="1"/>
  <c r="Y2085" i="1"/>
  <c r="Z2085" i="1"/>
  <c r="Y2542" i="1"/>
  <c r="Z2542" i="1"/>
  <c r="X2542" i="1"/>
  <c r="Y2364" i="1"/>
  <c r="X2364" i="1"/>
  <c r="Z2364" i="1"/>
  <c r="Y2099" i="1"/>
  <c r="Z2099" i="1"/>
  <c r="X2099" i="1"/>
  <c r="Z2383" i="1"/>
  <c r="X2383" i="1"/>
  <c r="Y2383" i="1"/>
  <c r="Y615" i="1"/>
  <c r="Z615" i="1"/>
  <c r="X615" i="1"/>
  <c r="Y197" i="1"/>
  <c r="X197" i="1"/>
  <c r="Z197" i="1"/>
  <c r="X2491" i="1"/>
  <c r="Z2491" i="1"/>
  <c r="Y2491" i="1"/>
  <c r="X2570" i="1"/>
  <c r="Y2570" i="1"/>
  <c r="Z2570" i="1"/>
  <c r="Z2458" i="1"/>
  <c r="X2458" i="1"/>
  <c r="Y2458" i="1"/>
  <c r="Y2160" i="1"/>
  <c r="X2160" i="1"/>
  <c r="Z2160" i="1"/>
  <c r="Y2412" i="1"/>
  <c r="Z2412" i="1"/>
  <c r="X2412" i="1"/>
  <c r="X2258" i="1"/>
  <c r="Y2258" i="1"/>
  <c r="Z2258" i="1"/>
  <c r="X2088" i="1"/>
  <c r="Y2088" i="1"/>
  <c r="Z2088" i="1"/>
  <c r="Y2517" i="1"/>
  <c r="Z2517" i="1"/>
  <c r="X2517" i="1"/>
  <c r="Y654" i="1"/>
  <c r="X654" i="1"/>
  <c r="Z654" i="1"/>
  <c r="X360" i="1"/>
  <c r="Y360" i="1"/>
  <c r="Z360" i="1"/>
  <c r="Y2576" i="1"/>
  <c r="Z2576" i="1"/>
  <c r="X2576" i="1"/>
  <c r="Y2563" i="1"/>
  <c r="X2563" i="1"/>
  <c r="Z2563" i="1"/>
  <c r="Y2389" i="1"/>
  <c r="X2389" i="1"/>
  <c r="Z2389" i="1"/>
  <c r="X2474" i="1"/>
  <c r="Z2474" i="1"/>
  <c r="Y2474" i="1"/>
  <c r="Z645" i="1"/>
  <c r="Y645" i="1"/>
  <c r="X645" i="1"/>
  <c r="X350" i="1"/>
  <c r="Y350" i="1"/>
  <c r="Z350" i="1"/>
  <c r="Z2205" i="1"/>
  <c r="X2205" i="1"/>
  <c r="Y2205" i="1"/>
  <c r="X2349" i="1"/>
  <c r="Y2349" i="1"/>
  <c r="Z2349" i="1"/>
  <c r="X533" i="1"/>
  <c r="Z533" i="1"/>
  <c r="Y533" i="1"/>
  <c r="Y489" i="1"/>
  <c r="Z489" i="1"/>
  <c r="X489" i="1"/>
  <c r="X2524" i="1"/>
  <c r="Y2524" i="1"/>
  <c r="Z2524" i="1"/>
  <c r="X2208" i="1"/>
  <c r="Y2208" i="1"/>
  <c r="Z2208" i="1"/>
  <c r="X1659" i="1"/>
  <c r="Y1659" i="1"/>
  <c r="Z1659" i="1"/>
  <c r="X626" i="1"/>
  <c r="Z626" i="1"/>
  <c r="Y626" i="1"/>
  <c r="X310" i="1"/>
  <c r="Z310" i="1"/>
  <c r="Y310" i="1"/>
  <c r="Y2469" i="1"/>
  <c r="X2469" i="1"/>
  <c r="Z2469" i="1"/>
  <c r="Z2253" i="1"/>
  <c r="Y2253" i="1"/>
  <c r="X2253" i="1"/>
  <c r="X2559" i="1"/>
  <c r="Z2559" i="1"/>
  <c r="Y2559" i="1"/>
  <c r="X623" i="1"/>
  <c r="Z623" i="1"/>
  <c r="Y623" i="1"/>
  <c r="X2244" i="1"/>
  <c r="Z2244" i="1"/>
  <c r="Y2244" i="1"/>
  <c r="Y2539" i="1"/>
  <c r="X2539" i="1"/>
  <c r="Z2539" i="1"/>
  <c r="Y2382" i="1"/>
  <c r="X2382" i="1"/>
  <c r="Z2382" i="1"/>
  <c r="Y1762" i="1"/>
  <c r="X1762" i="1"/>
  <c r="Y614" i="1"/>
  <c r="Z614" i="1"/>
  <c r="X614" i="1"/>
  <c r="X2080" i="1"/>
  <c r="Y2080" i="1"/>
  <c r="Z2080" i="1"/>
  <c r="X2070" i="1"/>
  <c r="Y2070" i="1"/>
  <c r="Z2070" i="1"/>
  <c r="X1675" i="1"/>
  <c r="Z1675" i="1"/>
  <c r="Y1675" i="1"/>
  <c r="X640" i="1"/>
  <c r="Z640" i="1"/>
  <c r="Y640" i="1"/>
  <c r="X582" i="1"/>
  <c r="Z582" i="1"/>
  <c r="Y582" i="1"/>
  <c r="X605" i="1"/>
  <c r="Z605" i="1"/>
  <c r="Y605" i="1"/>
  <c r="X2568" i="1"/>
  <c r="Y2568" i="1"/>
  <c r="Z2568" i="1"/>
  <c r="Y2457" i="1"/>
  <c r="X2457" i="1"/>
  <c r="Z2457" i="1"/>
  <c r="Y2161" i="1"/>
  <c r="X2161" i="1"/>
  <c r="Z2161" i="1"/>
  <c r="Z2167" i="1"/>
  <c r="X2167" i="1"/>
  <c r="Y2167" i="1"/>
  <c r="Y2512" i="1"/>
  <c r="Z2512" i="1"/>
  <c r="X2512" i="1"/>
  <c r="X2257" i="1"/>
  <c r="Z2257" i="1"/>
  <c r="Y2257" i="1"/>
  <c r="X2005" i="1"/>
  <c r="Y2005" i="1"/>
  <c r="Z2005" i="1"/>
  <c r="Y484" i="1"/>
  <c r="Z484" i="1"/>
  <c r="X484" i="1"/>
  <c r="Z122" i="1"/>
  <c r="Y122" i="1"/>
  <c r="X122" i="1"/>
  <c r="Y2578" i="1"/>
  <c r="Z2578" i="1"/>
  <c r="X2578" i="1"/>
  <c r="X2562" i="1"/>
  <c r="Y2562" i="1"/>
  <c r="Z2562" i="1"/>
  <c r="X2388" i="1"/>
  <c r="Y2388" i="1"/>
  <c r="Z2388" i="1"/>
  <c r="Z2473" i="1"/>
  <c r="X2473" i="1"/>
  <c r="Y2473" i="1"/>
  <c r="Z2546" i="1"/>
  <c r="X2546" i="1"/>
  <c r="Y2546" i="1"/>
  <c r="X644" i="1"/>
  <c r="Z644" i="1"/>
  <c r="Y644" i="1"/>
  <c r="Y2204" i="1"/>
  <c r="Z2204" i="1"/>
  <c r="X2204" i="1"/>
  <c r="Z2433" i="1"/>
  <c r="X2433" i="1"/>
  <c r="Y2433" i="1"/>
  <c r="Z494" i="1"/>
  <c r="Y494" i="1"/>
  <c r="X494" i="1"/>
  <c r="X488" i="1"/>
  <c r="Y488" i="1"/>
  <c r="Z488" i="1"/>
  <c r="X2552" i="1"/>
  <c r="Z2552" i="1"/>
  <c r="Y2552" i="1"/>
  <c r="X2520" i="1"/>
  <c r="Y2520" i="1"/>
  <c r="Z2520" i="1"/>
  <c r="Y1658" i="1"/>
  <c r="Z1658" i="1"/>
  <c r="X1658" i="1"/>
  <c r="X630" i="1"/>
  <c r="Z630" i="1"/>
  <c r="Y630" i="1"/>
  <c r="X309" i="1"/>
  <c r="Y309" i="1"/>
  <c r="Z309" i="1"/>
  <c r="Z2252" i="1"/>
  <c r="Y2252" i="1"/>
  <c r="X2252" i="1"/>
  <c r="X2558" i="1"/>
  <c r="Y2558" i="1"/>
  <c r="Z2558" i="1"/>
  <c r="Y727" i="1"/>
  <c r="Z727" i="1"/>
  <c r="X727" i="1"/>
  <c r="X2367" i="1"/>
  <c r="Y2367" i="1"/>
  <c r="Z2367" i="1"/>
  <c r="Z2098" i="1"/>
  <c r="X2098" i="1"/>
  <c r="Y2098" i="1"/>
  <c r="X2013" i="1"/>
  <c r="Z2013" i="1"/>
  <c r="Y2013" i="1"/>
  <c r="Y618" i="1"/>
  <c r="X618" i="1"/>
  <c r="Z618" i="1"/>
  <c r="Z2079" i="1"/>
  <c r="Y2079" i="1"/>
  <c r="X2079" i="1"/>
  <c r="X2069" i="1"/>
  <c r="Y2069" i="1"/>
  <c r="Z2069" i="1"/>
  <c r="X1674" i="1"/>
  <c r="Y1674" i="1"/>
  <c r="Z1674" i="1"/>
  <c r="Z639" i="1"/>
  <c r="X639" i="1"/>
  <c r="Y639" i="1"/>
  <c r="Z604" i="1"/>
  <c r="Y604" i="1"/>
  <c r="X604" i="1"/>
  <c r="Y276" i="1"/>
  <c r="X276" i="1"/>
  <c r="Z276" i="1"/>
  <c r="Z146" i="1"/>
  <c r="Y146" i="1"/>
  <c r="X146" i="1"/>
  <c r="Z2456" i="1"/>
  <c r="X2456" i="1"/>
  <c r="Y2456" i="1"/>
  <c r="Z2166" i="1"/>
  <c r="X2166" i="1"/>
  <c r="Y2166" i="1"/>
  <c r="Y2511" i="1"/>
  <c r="X2511" i="1"/>
  <c r="Z2511" i="1"/>
  <c r="Y2256" i="1"/>
  <c r="Z2256" i="1"/>
  <c r="X2256" i="1"/>
  <c r="X2004" i="1"/>
  <c r="Y2004" i="1"/>
  <c r="Z2004" i="1"/>
  <c r="X600" i="1"/>
  <c r="Y600" i="1"/>
  <c r="Z600" i="1"/>
  <c r="Z483" i="1"/>
  <c r="Y483" i="1"/>
  <c r="X483" i="1"/>
  <c r="X121" i="1"/>
  <c r="Y121" i="1"/>
  <c r="Z121" i="1"/>
  <c r="X2516" i="1"/>
  <c r="Y2516" i="1"/>
  <c r="Z2516" i="1"/>
  <c r="X1606" i="1"/>
  <c r="Z1606" i="1"/>
  <c r="Y1606" i="1"/>
  <c r="X653" i="1"/>
  <c r="Z653" i="1"/>
  <c r="Y653" i="1"/>
  <c r="X161" i="1"/>
  <c r="Y161" i="1"/>
  <c r="Z161" i="1"/>
  <c r="X357" i="1"/>
  <c r="Z357" i="1"/>
  <c r="Y357" i="1"/>
  <c r="X2565" i="1"/>
  <c r="Z2565" i="1"/>
  <c r="Y2565" i="1"/>
  <c r="X2392" i="1"/>
  <c r="Y2392" i="1"/>
  <c r="Z2392" i="1"/>
  <c r="Z2203" i="1"/>
  <c r="X2203" i="1"/>
  <c r="Y2203" i="1"/>
  <c r="Y2348" i="1"/>
  <c r="X2348" i="1"/>
  <c r="Z2348" i="1"/>
  <c r="Y593" i="1"/>
  <c r="X593" i="1"/>
  <c r="Z593" i="1"/>
  <c r="Y493" i="1"/>
  <c r="Z493" i="1"/>
  <c r="X493" i="1"/>
  <c r="X178" i="1"/>
  <c r="Y178" i="1"/>
  <c r="Z178" i="1"/>
  <c r="Y487" i="1"/>
  <c r="X487" i="1"/>
  <c r="Z487" i="1"/>
  <c r="X2522" i="1"/>
  <c r="Y2522" i="1"/>
  <c r="Z2522" i="1"/>
  <c r="Y2111" i="1"/>
  <c r="Z2111" i="1"/>
  <c r="X2111" i="1"/>
  <c r="Y1995" i="1"/>
  <c r="Z1995" i="1"/>
  <c r="X1995" i="1"/>
  <c r="Y2468" i="1"/>
  <c r="X2468" i="1"/>
  <c r="Z2468" i="1"/>
  <c r="Z2251" i="1"/>
  <c r="X2251" i="1"/>
  <c r="Y2251" i="1"/>
  <c r="Y2557" i="1"/>
  <c r="X2557" i="1"/>
  <c r="Z2557" i="1"/>
  <c r="Z2175" i="1"/>
  <c r="Y2175" i="1"/>
  <c r="X2175" i="1"/>
  <c r="Y726" i="1"/>
  <c r="Z726" i="1"/>
  <c r="X726" i="1"/>
  <c r="Y371" i="1"/>
  <c r="X371" i="1"/>
  <c r="Z371" i="1"/>
  <c r="Z624" i="1"/>
  <c r="X624" i="1"/>
  <c r="Y624" i="1"/>
  <c r="Z2084" i="1"/>
  <c r="X2084" i="1"/>
  <c r="Y2084" i="1"/>
  <c r="Y2538" i="1"/>
  <c r="Z2538" i="1"/>
  <c r="X2538" i="1"/>
  <c r="Y2386" i="1"/>
  <c r="X2386" i="1"/>
  <c r="Z2386" i="1"/>
  <c r="X2012" i="1"/>
  <c r="Z2012" i="1"/>
  <c r="Y2012" i="1"/>
  <c r="X148" i="1"/>
  <c r="Z148" i="1"/>
  <c r="Y148" i="1"/>
  <c r="X2078" i="1"/>
  <c r="Y2078" i="1"/>
  <c r="Z2078" i="1"/>
  <c r="Z2493" i="1"/>
  <c r="X2493" i="1"/>
  <c r="Y2493" i="1"/>
  <c r="Y2068" i="1"/>
  <c r="Z2068" i="1"/>
  <c r="X2068" i="1"/>
  <c r="X641" i="1"/>
  <c r="Y641" i="1"/>
  <c r="Z641" i="1"/>
  <c r="X603" i="1"/>
  <c r="Z603" i="1"/>
  <c r="Y603" i="1"/>
  <c r="Y353" i="1"/>
  <c r="Y1895" i="1"/>
  <c r="Z1895" i="1"/>
  <c r="X1895" i="1"/>
  <c r="X2439" i="1"/>
  <c r="Y2439" i="1"/>
  <c r="Z2439" i="1"/>
  <c r="X254" i="1"/>
  <c r="Y254" i="1"/>
  <c r="Z254" i="1"/>
  <c r="X1851" i="1"/>
  <c r="Z1851" i="1"/>
  <c r="Y1851" i="1"/>
  <c r="X1911" i="1"/>
  <c r="Y1911" i="1"/>
  <c r="Z1911" i="1"/>
  <c r="X1811" i="1"/>
  <c r="Y1811" i="1"/>
  <c r="Z1811" i="1"/>
  <c r="Z1985" i="1"/>
  <c r="Y1985" i="1"/>
  <c r="X1985" i="1"/>
  <c r="X1896" i="1"/>
  <c r="Z1896" i="1"/>
  <c r="Y1896" i="1"/>
  <c r="X1807" i="1"/>
  <c r="Y1807" i="1"/>
  <c r="Z1807" i="1"/>
  <c r="Y316" i="1"/>
  <c r="Z316" i="1"/>
  <c r="X316" i="1"/>
  <c r="X1850" i="1"/>
  <c r="Y1850" i="1"/>
  <c r="Z1850" i="1"/>
  <c r="X1928" i="1"/>
  <c r="Z1928" i="1"/>
  <c r="Y1928" i="1"/>
  <c r="X296" i="1"/>
  <c r="Z296" i="1"/>
  <c r="Y296" i="1"/>
  <c r="X390" i="1"/>
  <c r="Y390" i="1"/>
  <c r="Z390" i="1"/>
  <c r="X1873" i="1"/>
  <c r="Y1873" i="1"/>
  <c r="Z1873" i="1"/>
  <c r="Z1758" i="1"/>
  <c r="X1758" i="1"/>
  <c r="Y1758" i="1"/>
  <c r="Z1810" i="1"/>
  <c r="Y1810" i="1"/>
  <c r="X1810" i="1"/>
  <c r="Z1984" i="1"/>
  <c r="X1984" i="1"/>
  <c r="Y1984" i="1"/>
  <c r="Z1897" i="1"/>
  <c r="X1897" i="1"/>
  <c r="Y1897" i="1"/>
  <c r="Z1968" i="1"/>
  <c r="X1968" i="1"/>
  <c r="Y1968" i="1"/>
  <c r="X315" i="1"/>
  <c r="Z315" i="1"/>
  <c r="Y315" i="1"/>
  <c r="X2000" i="1"/>
  <c r="Z2000" i="1"/>
  <c r="Y2000" i="1"/>
  <c r="X1927" i="1"/>
  <c r="Y1927" i="1"/>
  <c r="Z1927" i="1"/>
  <c r="Y267" i="1"/>
  <c r="X267" i="1"/>
  <c r="Z267" i="1"/>
  <c r="X285" i="1"/>
  <c r="Z285" i="1"/>
  <c r="Y285" i="1"/>
  <c r="X1980" i="1"/>
  <c r="Y1980" i="1"/>
  <c r="Z1980" i="1"/>
  <c r="X1965" i="1"/>
  <c r="Y1965" i="1"/>
  <c r="Z1965" i="1"/>
  <c r="Z1834" i="1"/>
  <c r="X1834" i="1"/>
  <c r="Y1834" i="1"/>
  <c r="Y1793" i="1"/>
  <c r="X1793" i="1"/>
  <c r="Z1793" i="1"/>
  <c r="Z1701" i="1"/>
  <c r="X1701" i="1"/>
  <c r="Y1701" i="1"/>
  <c r="X388" i="1"/>
  <c r="Y388" i="1"/>
  <c r="Z388" i="1"/>
  <c r="X299" i="1"/>
  <c r="Y299" i="1"/>
  <c r="Z299" i="1"/>
  <c r="X281" i="1"/>
  <c r="Y281" i="1"/>
  <c r="Z281" i="1"/>
  <c r="Y1819" i="1"/>
  <c r="X1819" i="1"/>
  <c r="Z1819" i="1"/>
  <c r="Y426" i="1"/>
  <c r="X426" i="1"/>
  <c r="Z426" i="1"/>
  <c r="Y262" i="1"/>
  <c r="X262" i="1"/>
  <c r="Z262" i="1"/>
  <c r="X347" i="1"/>
  <c r="Y347" i="1"/>
  <c r="Z347" i="1"/>
  <c r="Z1868" i="1"/>
  <c r="X1868" i="1"/>
  <c r="Y1868" i="1"/>
  <c r="X1814" i="1"/>
  <c r="Z1814" i="1"/>
  <c r="Y1814" i="1"/>
  <c r="X1992" i="1"/>
  <c r="Z1992" i="1"/>
  <c r="Y1992" i="1"/>
  <c r="X1972" i="1"/>
  <c r="Y1972" i="1"/>
  <c r="Z1972" i="1"/>
  <c r="Z430" i="1"/>
  <c r="Y430" i="1"/>
  <c r="X430" i="1"/>
  <c r="Y381" i="1"/>
  <c r="X381" i="1"/>
  <c r="Z381" i="1"/>
  <c r="X1770" i="1"/>
  <c r="Z1770" i="1"/>
  <c r="Y1770" i="1"/>
  <c r="Y324" i="1"/>
  <c r="Z324" i="1"/>
  <c r="X324" i="1"/>
  <c r="Z273" i="1"/>
  <c r="Y273" i="1"/>
  <c r="X273" i="1"/>
  <c r="Y1801" i="1"/>
  <c r="X1801" i="1"/>
  <c r="Z1801" i="1"/>
  <c r="Z1953" i="1"/>
  <c r="X1953" i="1"/>
  <c r="Y1953" i="1"/>
  <c r="X414" i="1"/>
  <c r="Y414" i="1"/>
  <c r="Z414" i="1"/>
  <c r="Z318" i="1"/>
  <c r="Y318" i="1"/>
  <c r="X318" i="1"/>
  <c r="Z1999" i="1"/>
  <c r="X1999" i="1"/>
  <c r="Y1999" i="1"/>
  <c r="X1912" i="1"/>
  <c r="Y1912" i="1"/>
  <c r="Z1912" i="1"/>
  <c r="X1848" i="1"/>
  <c r="Y1848" i="1"/>
  <c r="Z1848" i="1"/>
  <c r="Y269" i="1"/>
  <c r="X269" i="1"/>
  <c r="Z269" i="1"/>
  <c r="X1979" i="1"/>
  <c r="Z1979" i="1"/>
  <c r="Y1979" i="1"/>
  <c r="X1964" i="1"/>
  <c r="Z1964" i="1"/>
  <c r="Y1964" i="1"/>
  <c r="Z1791" i="1"/>
  <c r="X1791" i="1"/>
  <c r="Y1791" i="1"/>
  <c r="X547" i="1"/>
  <c r="Y547" i="1"/>
  <c r="Z547" i="1"/>
  <c r="X386" i="1"/>
  <c r="Y386" i="1"/>
  <c r="Z386" i="1"/>
  <c r="X258" i="1"/>
  <c r="Z258" i="1"/>
  <c r="Y258" i="1"/>
  <c r="Y1939" i="1"/>
  <c r="X1939" i="1"/>
  <c r="Z1939" i="1"/>
  <c r="X1908" i="1"/>
  <c r="Y1908" i="1"/>
  <c r="Z1908" i="1"/>
  <c r="X1832" i="1"/>
  <c r="Z1832" i="1"/>
  <c r="Y1832" i="1"/>
  <c r="X345" i="1"/>
  <c r="Y345" i="1"/>
  <c r="Z345" i="1"/>
  <c r="X365" i="1"/>
  <c r="Z365" i="1"/>
  <c r="Y365" i="1"/>
  <c r="X1867" i="1"/>
  <c r="Y1867" i="1"/>
  <c r="Z1867" i="1"/>
  <c r="Z1921" i="1"/>
  <c r="Y1921" i="1"/>
  <c r="X1921" i="1"/>
  <c r="Z1991" i="1"/>
  <c r="X1991" i="1"/>
  <c r="Y1991" i="1"/>
  <c r="Z1838" i="1"/>
  <c r="X1838" i="1"/>
  <c r="Y1838" i="1"/>
  <c r="Z428" i="1"/>
  <c r="X428" i="1"/>
  <c r="Y428" i="1"/>
  <c r="X380" i="1"/>
  <c r="Y380" i="1"/>
  <c r="Z380" i="1"/>
  <c r="Z341" i="1"/>
  <c r="Y341" i="1"/>
  <c r="X341" i="1"/>
  <c r="Y1828" i="1"/>
  <c r="Z1828" i="1"/>
  <c r="X1828" i="1"/>
  <c r="Y1824" i="1"/>
  <c r="Z1824" i="1"/>
  <c r="X1824" i="1"/>
  <c r="X272" i="1"/>
  <c r="Z272" i="1"/>
  <c r="Y272" i="1"/>
  <c r="Z1969" i="1"/>
  <c r="Y1969" i="1"/>
  <c r="X1969" i="1"/>
  <c r="X2438" i="1"/>
  <c r="Y2438" i="1"/>
  <c r="Z2438" i="1"/>
  <c r="X2440" i="1"/>
  <c r="Y2440" i="1"/>
  <c r="Z2440" i="1"/>
  <c r="Z1983" i="1"/>
  <c r="X1983" i="1"/>
  <c r="Y1983" i="1"/>
  <c r="Z1951" i="1"/>
  <c r="X1951" i="1"/>
  <c r="Y1951" i="1"/>
  <c r="X1808" i="1"/>
  <c r="Y1808" i="1"/>
  <c r="Z1808" i="1"/>
  <c r="X413" i="1"/>
  <c r="Y413" i="1"/>
  <c r="Z413" i="1"/>
  <c r="Z314" i="1"/>
  <c r="Y314" i="1"/>
  <c r="X314" i="1"/>
  <c r="X255" i="1"/>
  <c r="Y255" i="1"/>
  <c r="Z255" i="1"/>
  <c r="Z1844" i="1"/>
  <c r="X1844" i="1"/>
  <c r="Y1844" i="1"/>
  <c r="X1846" i="1"/>
  <c r="Y1846" i="1"/>
  <c r="Z1846" i="1"/>
  <c r="X554" i="1"/>
  <c r="Y554" i="1"/>
  <c r="Z554" i="1"/>
  <c r="X268" i="1"/>
  <c r="Y268" i="1"/>
  <c r="Z268" i="1"/>
  <c r="X1949" i="1"/>
  <c r="Z1949" i="1"/>
  <c r="Y1949" i="1"/>
  <c r="Z257" i="1"/>
  <c r="Y257" i="1"/>
  <c r="X257" i="1"/>
  <c r="X87" i="1"/>
  <c r="Z87" i="1"/>
  <c r="Y87" i="1"/>
  <c r="X1872" i="1"/>
  <c r="Y1872" i="1"/>
  <c r="Z1872" i="1"/>
  <c r="X372" i="1"/>
  <c r="Y372" i="1"/>
  <c r="Z372" i="1"/>
  <c r="X288" i="1"/>
  <c r="Z288" i="1"/>
  <c r="Y288" i="1"/>
  <c r="X1945" i="1"/>
  <c r="Z1945" i="1"/>
  <c r="Y1945" i="1"/>
  <c r="X363" i="1"/>
  <c r="Z363" i="1"/>
  <c r="Y363" i="1"/>
  <c r="Z1988" i="1"/>
  <c r="Y1988" i="1"/>
  <c r="X1988" i="1"/>
  <c r="X1854" i="1"/>
  <c r="Y1854" i="1"/>
  <c r="Z1854" i="1"/>
  <c r="Z1937" i="1"/>
  <c r="X1937" i="1"/>
  <c r="Y1937" i="1"/>
  <c r="Z1920" i="1"/>
  <c r="X1920" i="1"/>
  <c r="Y1920" i="1"/>
  <c r="Z1815" i="1"/>
  <c r="X1815" i="1"/>
  <c r="Y1815" i="1"/>
  <c r="Z746" i="1"/>
  <c r="Y746" i="1"/>
  <c r="X746" i="1"/>
  <c r="Y333" i="1"/>
  <c r="Z333" i="1"/>
  <c r="X333" i="1"/>
  <c r="Z1804" i="1"/>
  <c r="X1804" i="1"/>
  <c r="Y1804" i="1"/>
  <c r="Y1956" i="1"/>
  <c r="X1956" i="1"/>
  <c r="Z1956" i="1"/>
  <c r="X438" i="1"/>
  <c r="Y438" i="1"/>
  <c r="Z438" i="1"/>
  <c r="Z1827" i="1"/>
  <c r="X1827" i="1"/>
  <c r="Y1827" i="1"/>
  <c r="Y2445" i="1"/>
  <c r="X2445" i="1"/>
  <c r="Z2445" i="1"/>
  <c r="X1765" i="1"/>
  <c r="Z1765" i="1"/>
  <c r="Y1765" i="1"/>
  <c r="Y1916" i="1"/>
  <c r="Z1916" i="1"/>
  <c r="X1916" i="1"/>
  <c r="Y1843" i="1"/>
  <c r="X1843" i="1"/>
  <c r="Z1843" i="1"/>
  <c r="Y553" i="1"/>
  <c r="Z553" i="1"/>
  <c r="X553" i="1"/>
  <c r="Y1756" i="1"/>
  <c r="X1756" i="1"/>
  <c r="Z1756" i="1"/>
  <c r="X1836" i="1"/>
  <c r="Y1836" i="1"/>
  <c r="Z1836" i="1"/>
  <c r="Y441" i="1"/>
  <c r="X441" i="1"/>
  <c r="Z441" i="1"/>
  <c r="X389" i="1"/>
  <c r="Z389" i="1"/>
  <c r="Y389" i="1"/>
  <c r="Y282" i="1"/>
  <c r="Z282" i="1"/>
  <c r="X282" i="1"/>
  <c r="X1871" i="1"/>
  <c r="Z1871" i="1"/>
  <c r="Y1871" i="1"/>
  <c r="X1818" i="1"/>
  <c r="Z1818" i="1"/>
  <c r="Y1818" i="1"/>
  <c r="X1925" i="1"/>
  <c r="Y1925" i="1"/>
  <c r="Z1925" i="1"/>
  <c r="X1785" i="1"/>
  <c r="Y1785" i="1"/>
  <c r="Z1785" i="1"/>
  <c r="Y425" i="1"/>
  <c r="X425" i="1"/>
  <c r="Z425" i="1"/>
  <c r="Y287" i="1"/>
  <c r="X287" i="1"/>
  <c r="Z287" i="1"/>
  <c r="X1961" i="1"/>
  <c r="Y1961" i="1"/>
  <c r="Z1961" i="1"/>
  <c r="X1943" i="1"/>
  <c r="Z1943" i="1"/>
  <c r="Y1943" i="1"/>
  <c r="Y346" i="1"/>
  <c r="X346" i="1"/>
  <c r="Z346" i="1"/>
  <c r="X366" i="1"/>
  <c r="Y366" i="1"/>
  <c r="Z366" i="1"/>
  <c r="Z1869" i="1"/>
  <c r="Y1869" i="1"/>
  <c r="X1869" i="1"/>
  <c r="Z1936" i="1"/>
  <c r="X1936" i="1"/>
  <c r="Y1936" i="1"/>
  <c r="Z1919" i="1"/>
  <c r="X1919" i="1"/>
  <c r="Y1919" i="1"/>
  <c r="Y336" i="1"/>
  <c r="X336" i="1"/>
  <c r="Z336" i="1"/>
  <c r="Z2450" i="1"/>
  <c r="X2450" i="1"/>
  <c r="Y2450" i="1"/>
  <c r="Z1803" i="1"/>
  <c r="X1803" i="1"/>
  <c r="Y1803" i="1"/>
  <c r="Y429" i="1"/>
  <c r="Z429" i="1"/>
  <c r="X429" i="1"/>
  <c r="Y339" i="1"/>
  <c r="X339" i="1"/>
  <c r="Z339" i="1"/>
  <c r="Y2444" i="1"/>
  <c r="X2444" i="1"/>
  <c r="Z2444" i="1"/>
  <c r="X1822" i="1"/>
  <c r="Y1822" i="1"/>
  <c r="Z1822" i="1"/>
  <c r="X1915" i="1"/>
  <c r="Z1915" i="1"/>
  <c r="Y1915" i="1"/>
  <c r="Z1806" i="1"/>
  <c r="X1806" i="1"/>
  <c r="Y1806" i="1"/>
  <c r="Z1800" i="1"/>
  <c r="X1800" i="1"/>
  <c r="Y1800" i="1"/>
  <c r="X412" i="1"/>
  <c r="Z412" i="1"/>
  <c r="Y412" i="1"/>
  <c r="X253" i="1"/>
  <c r="Y253" i="1"/>
  <c r="Z253" i="1"/>
  <c r="Z1842" i="1"/>
  <c r="X1842" i="1"/>
  <c r="Y1842" i="1"/>
  <c r="X1929" i="1"/>
  <c r="Y1929" i="1"/>
  <c r="Z1929" i="1"/>
  <c r="Z1755" i="1"/>
  <c r="X1755" i="1"/>
  <c r="Y1755" i="1"/>
  <c r="X1963" i="1"/>
  <c r="Y1963" i="1"/>
  <c r="Z1963" i="1"/>
  <c r="X546" i="1"/>
  <c r="Y546" i="1"/>
  <c r="Z546" i="1"/>
  <c r="Y259" i="1"/>
  <c r="X259" i="1"/>
  <c r="Z259" i="1"/>
  <c r="Z1941" i="1"/>
  <c r="X1941" i="1"/>
  <c r="Y1941" i="1"/>
  <c r="Y1924" i="1"/>
  <c r="X1924" i="1"/>
  <c r="Z1924" i="1"/>
  <c r="Y1784" i="1"/>
  <c r="Z1784" i="1"/>
  <c r="X1784" i="1"/>
  <c r="Y423" i="1"/>
  <c r="X423" i="1"/>
  <c r="Z423" i="1"/>
  <c r="Y290" i="1"/>
  <c r="X290" i="1"/>
  <c r="Z290" i="1"/>
  <c r="X265" i="1"/>
  <c r="Y265" i="1"/>
  <c r="Z265" i="1"/>
  <c r="X1977" i="1"/>
  <c r="Y1977" i="1"/>
  <c r="Z1977" i="1"/>
  <c r="X1959" i="1"/>
  <c r="Y1959" i="1"/>
  <c r="Z1959" i="1"/>
  <c r="X1944" i="1"/>
  <c r="Y1944" i="1"/>
  <c r="Z1944" i="1"/>
  <c r="Y1759" i="1"/>
  <c r="X1759" i="1"/>
  <c r="Z1759" i="1"/>
  <c r="Y344" i="1"/>
  <c r="Z344" i="1"/>
  <c r="X344" i="1"/>
  <c r="X1857" i="1"/>
  <c r="Y1857" i="1"/>
  <c r="Z1857" i="1"/>
  <c r="X2449" i="1"/>
  <c r="Y2449" i="1"/>
  <c r="Z2449" i="1"/>
  <c r="Z1971" i="1"/>
  <c r="X1971" i="1"/>
  <c r="Y1971" i="1"/>
  <c r="X1839" i="1"/>
  <c r="Y1839" i="1"/>
  <c r="Z1839" i="1"/>
  <c r="Y432" i="1"/>
  <c r="X432" i="1"/>
  <c r="Z432" i="1"/>
  <c r="X437" i="1"/>
  <c r="Z437" i="1"/>
  <c r="Y437" i="1"/>
  <c r="X338" i="1"/>
  <c r="Z338" i="1"/>
  <c r="Y338" i="1"/>
  <c r="X2443" i="1"/>
  <c r="Y2443" i="1"/>
  <c r="Z2443" i="1"/>
  <c r="Z1764" i="1"/>
  <c r="Y1764" i="1"/>
  <c r="X1764" i="1"/>
  <c r="X1933" i="1"/>
  <c r="Y1933" i="1"/>
  <c r="Z1933" i="1"/>
  <c r="X1639" i="1"/>
  <c r="Y1639" i="1"/>
  <c r="Z1639" i="1"/>
  <c r="Y411" i="1"/>
  <c r="X411" i="1"/>
  <c r="Z411" i="1"/>
  <c r="X1852" i="1"/>
  <c r="Y1852" i="1"/>
  <c r="Z1852" i="1"/>
  <c r="X1913" i="1"/>
  <c r="Z1913" i="1"/>
  <c r="Y1913" i="1"/>
  <c r="X270" i="1"/>
  <c r="Y270" i="1"/>
  <c r="Z270" i="1"/>
  <c r="Z284" i="1"/>
  <c r="X284" i="1"/>
  <c r="Y284" i="1"/>
  <c r="Z1835" i="1"/>
  <c r="X1835" i="1"/>
  <c r="Y1835" i="1"/>
  <c r="Z1792" i="1"/>
  <c r="Y1792" i="1"/>
  <c r="X1792" i="1"/>
  <c r="X545" i="1"/>
  <c r="Z545" i="1"/>
  <c r="Y545" i="1"/>
  <c r="Y387" i="1"/>
  <c r="X387" i="1"/>
  <c r="Z387" i="1"/>
  <c r="X1940" i="1"/>
  <c r="Y1940" i="1"/>
  <c r="Z1940" i="1"/>
  <c r="Y1909" i="1"/>
  <c r="X1909" i="1"/>
  <c r="Z1909" i="1"/>
  <c r="X1783" i="1"/>
  <c r="Z1783" i="1"/>
  <c r="Y1783" i="1"/>
  <c r="X291" i="1"/>
  <c r="Y291" i="1"/>
  <c r="Z291" i="1"/>
  <c r="X1976" i="1"/>
  <c r="Y1976" i="1"/>
  <c r="Z1976" i="1"/>
  <c r="X1989" i="1"/>
  <c r="Z1989" i="1"/>
  <c r="Y1989" i="1"/>
  <c r="X1856" i="1"/>
  <c r="Z1856" i="1"/>
  <c r="Y1856" i="1"/>
  <c r="Y1935" i="1"/>
  <c r="Z1935" i="1"/>
  <c r="X1935" i="1"/>
  <c r="Z1768" i="1"/>
  <c r="X1768" i="1"/>
  <c r="Y1768" i="1"/>
  <c r="Y335" i="1"/>
  <c r="Z335" i="1"/>
  <c r="X335" i="1"/>
  <c r="X1993" i="1"/>
  <c r="Y1993" i="1"/>
  <c r="Z1993" i="1"/>
  <c r="Z2452" i="1"/>
  <c r="X2452" i="1"/>
  <c r="Y2452" i="1"/>
  <c r="X1957" i="1"/>
  <c r="Y1957" i="1"/>
  <c r="Z1957" i="1"/>
  <c r="Y1840" i="1"/>
  <c r="X1840" i="1"/>
  <c r="Z1840" i="1"/>
  <c r="Y384" i="1"/>
  <c r="X384" i="1"/>
  <c r="Z384" i="1"/>
  <c r="X436" i="1"/>
  <c r="Y436" i="1"/>
  <c r="Z436" i="1"/>
  <c r="X1826" i="1"/>
  <c r="Z1826" i="1"/>
  <c r="Y1826" i="1"/>
  <c r="Y1905" i="1"/>
  <c r="X1905" i="1"/>
  <c r="Z1905" i="1"/>
  <c r="Y2442" i="1"/>
  <c r="X2442" i="1"/>
  <c r="Z2442" i="1"/>
  <c r="X1932" i="1"/>
  <c r="Z1932" i="1"/>
  <c r="Y1932" i="1"/>
  <c r="X496" i="1"/>
  <c r="Y496" i="1"/>
  <c r="Z496" i="1"/>
  <c r="Z1812" i="1"/>
  <c r="X1812" i="1"/>
  <c r="Y1812" i="1"/>
  <c r="X1967" i="1"/>
  <c r="Y1967" i="1"/>
  <c r="Z1967" i="1"/>
  <c r="X2437" i="1"/>
  <c r="Y2437" i="1"/>
  <c r="Z2437" i="1"/>
  <c r="Y410" i="1"/>
  <c r="X410" i="1"/>
  <c r="Z410" i="1"/>
  <c r="Z1847" i="1"/>
  <c r="Y1847" i="1"/>
  <c r="X1847" i="1"/>
  <c r="X555" i="1"/>
  <c r="Y555" i="1"/>
  <c r="Z555" i="1"/>
  <c r="X1947" i="1"/>
  <c r="Z1947" i="1"/>
  <c r="Y1947" i="1"/>
  <c r="Y1820" i="1"/>
  <c r="X1820" i="1"/>
  <c r="Z1820" i="1"/>
  <c r="X1907" i="1"/>
  <c r="Y1907" i="1"/>
  <c r="Z1907" i="1"/>
  <c r="Y1831" i="1"/>
  <c r="X1831" i="1"/>
  <c r="Z1831" i="1"/>
  <c r="Y424" i="1"/>
  <c r="X424" i="1"/>
  <c r="Z424" i="1"/>
  <c r="Y264" i="1"/>
  <c r="X264" i="1"/>
  <c r="Z264" i="1"/>
  <c r="X1753" i="1"/>
  <c r="Y1753" i="1"/>
  <c r="Z1753" i="1"/>
  <c r="X1975" i="1"/>
  <c r="Y1975" i="1"/>
  <c r="Z1975" i="1"/>
  <c r="X1960" i="1"/>
  <c r="Z1960" i="1"/>
  <c r="Y1960" i="1"/>
  <c r="X364" i="1"/>
  <c r="Z364" i="1"/>
  <c r="Y364" i="1"/>
  <c r="X1987" i="1"/>
  <c r="Y1987" i="1"/>
  <c r="Z1987" i="1"/>
  <c r="Y1855" i="1"/>
  <c r="Z1855" i="1"/>
  <c r="X1855" i="1"/>
  <c r="X1767" i="1"/>
  <c r="Y1767" i="1"/>
  <c r="Z1767" i="1"/>
  <c r="Y332" i="1"/>
  <c r="Z332" i="1"/>
  <c r="X332" i="1"/>
  <c r="Y279" i="1"/>
  <c r="Z279" i="1"/>
  <c r="X279" i="1"/>
  <c r="Z2448" i="1"/>
  <c r="Y2448" i="1"/>
  <c r="X2448" i="1"/>
  <c r="X1955" i="1"/>
  <c r="Y1955" i="1"/>
  <c r="Z1955" i="1"/>
  <c r="Y431" i="1"/>
  <c r="Z431" i="1"/>
  <c r="X431" i="1"/>
  <c r="Y383" i="1"/>
  <c r="X383" i="1"/>
  <c r="Z383" i="1"/>
  <c r="Y435" i="1"/>
  <c r="Z435" i="1"/>
  <c r="X435" i="1"/>
  <c r="X342" i="1"/>
  <c r="Y342" i="1"/>
  <c r="Z342" i="1"/>
  <c r="X1904" i="1"/>
  <c r="Z1904" i="1"/>
  <c r="Y1904" i="1"/>
  <c r="Z1823" i="1"/>
  <c r="Y1823" i="1"/>
  <c r="X1823" i="1"/>
  <c r="X1931" i="1"/>
  <c r="Y1931" i="1"/>
  <c r="Z1931" i="1"/>
  <c r="Z420" i="1"/>
  <c r="Y420" i="1"/>
  <c r="X420" i="1"/>
  <c r="X317" i="1"/>
  <c r="Z317" i="1"/>
  <c r="Y317" i="1"/>
  <c r="Z1952" i="1"/>
  <c r="X1952" i="1"/>
  <c r="Y1952" i="1"/>
  <c r="Y297" i="1"/>
  <c r="X297" i="1"/>
  <c r="Z297" i="1"/>
  <c r="Y2436" i="1"/>
  <c r="Z2436" i="1"/>
  <c r="X2436" i="1"/>
  <c r="X252" i="1"/>
  <c r="Y252" i="1"/>
  <c r="Z252" i="1"/>
  <c r="Z2001" i="1"/>
  <c r="Y2001" i="1"/>
  <c r="X2001" i="1"/>
  <c r="X1981" i="1"/>
  <c r="Z1981" i="1"/>
  <c r="Y1981" i="1"/>
  <c r="X1948" i="1"/>
  <c r="Z1948" i="1"/>
  <c r="Y1948" i="1"/>
  <c r="Y300" i="1"/>
  <c r="X300" i="1"/>
  <c r="Z300" i="1"/>
  <c r="X260" i="1"/>
  <c r="Y260" i="1"/>
  <c r="Z260" i="1"/>
  <c r="X1923" i="1"/>
  <c r="Y1923" i="1"/>
  <c r="Z1923" i="1"/>
  <c r="Z1830" i="1"/>
  <c r="X1830" i="1"/>
  <c r="Y1830" i="1"/>
  <c r="Y422" i="1"/>
  <c r="X422" i="1"/>
  <c r="Z422" i="1"/>
  <c r="X263" i="1"/>
  <c r="Y263" i="1"/>
  <c r="Z263" i="1"/>
  <c r="X1752" i="1"/>
  <c r="Z1752" i="1"/>
  <c r="Y1752" i="1"/>
  <c r="Y348" i="1"/>
  <c r="X348" i="1"/>
  <c r="Z348" i="1"/>
  <c r="Y362" i="1"/>
  <c r="Z362" i="1"/>
  <c r="X362" i="1"/>
  <c r="Y1816" i="1"/>
  <c r="Z1816" i="1"/>
  <c r="X1816" i="1"/>
  <c r="X334" i="1"/>
  <c r="Z334" i="1"/>
  <c r="Y334" i="1"/>
  <c r="Z278" i="1"/>
  <c r="X278" i="1"/>
  <c r="Y278" i="1"/>
  <c r="X2451" i="1"/>
  <c r="Z2451" i="1"/>
  <c r="Y2451" i="1"/>
  <c r="Y1973" i="1"/>
  <c r="X1973" i="1"/>
  <c r="Z1973" i="1"/>
  <c r="Z382" i="1"/>
  <c r="Y382" i="1"/>
  <c r="X382" i="1"/>
  <c r="Y434" i="1"/>
  <c r="Z434" i="1"/>
  <c r="X434" i="1"/>
  <c r="X340" i="1"/>
  <c r="Y340" i="1"/>
  <c r="Z340" i="1"/>
  <c r="X1903" i="1"/>
  <c r="Y1903" i="1"/>
  <c r="Z1903" i="1"/>
  <c r="Y2446" i="1"/>
  <c r="X2446" i="1"/>
  <c r="Z2446" i="1"/>
  <c r="X1917" i="1"/>
  <c r="Z1917" i="1"/>
  <c r="Y1917" i="1"/>
  <c r="Z1771" i="1"/>
  <c r="X1771" i="1"/>
  <c r="Y1771" i="1"/>
  <c r="M27" i="15" l="1"/>
  <c r="N27" i="15" s="1"/>
  <c r="I27" i="15"/>
  <c r="M26" i="15"/>
  <c r="K26" i="15"/>
  <c r="I26" i="15"/>
  <c r="I25" i="15"/>
  <c r="M25" i="15" s="1"/>
  <c r="N25" i="15" s="1"/>
  <c r="K24" i="15"/>
  <c r="M24" i="15" s="1"/>
  <c r="I24" i="15"/>
  <c r="K23" i="15"/>
  <c r="I23" i="15"/>
  <c r="K22" i="15"/>
  <c r="M22" i="15" s="1"/>
  <c r="N22" i="15" s="1"/>
  <c r="I22" i="15"/>
  <c r="K21" i="15"/>
  <c r="I21" i="15"/>
  <c r="K20" i="15"/>
  <c r="M20" i="15" s="1"/>
  <c r="N20" i="15" s="1"/>
  <c r="I20" i="15"/>
  <c r="K19" i="15"/>
  <c r="I19" i="15"/>
  <c r="M19" i="15" s="1"/>
  <c r="K17" i="15"/>
  <c r="I17" i="15"/>
  <c r="K16" i="15"/>
  <c r="I16" i="15"/>
  <c r="M16" i="15" s="1"/>
  <c r="N16" i="15" s="1"/>
  <c r="K15" i="15"/>
  <c r="I15" i="15"/>
  <c r="G15" i="15"/>
  <c r="K14" i="15"/>
  <c r="I14" i="15"/>
  <c r="M14" i="15" s="1"/>
  <c r="N14" i="15" s="1"/>
  <c r="G14" i="15"/>
  <c r="K13" i="15"/>
  <c r="I13" i="15"/>
  <c r="M13" i="15" s="1"/>
  <c r="K12" i="15"/>
  <c r="M12" i="15" s="1"/>
  <c r="I12" i="15"/>
  <c r="G12" i="15"/>
  <c r="N12" i="15" l="1"/>
  <c r="I577" i="1"/>
  <c r="I230" i="1"/>
  <c r="N13" i="15"/>
  <c r="I438" i="1"/>
  <c r="M15" i="15"/>
  <c r="M17" i="15"/>
  <c r="I432" i="1" s="1"/>
  <c r="N26" i="15"/>
  <c r="I276" i="1"/>
  <c r="I288" i="1"/>
  <c r="I282" i="1"/>
  <c r="I294" i="1"/>
  <c r="I291" i="1"/>
  <c r="I582" i="1"/>
  <c r="I285" i="1"/>
  <c r="I273" i="1"/>
  <c r="I279" i="1"/>
  <c r="I300" i="1"/>
  <c r="N24" i="15"/>
  <c r="I226" i="1"/>
  <c r="I579" i="1"/>
  <c r="I573" i="1"/>
  <c r="I232" i="1"/>
  <c r="N19" i="15"/>
  <c r="I575" i="1"/>
  <c r="I228" i="1"/>
  <c r="M21" i="15"/>
  <c r="M23" i="15"/>
  <c r="M18" i="15"/>
  <c r="N18" i="15" s="1"/>
  <c r="N23" i="15" l="1"/>
  <c r="I312" i="1"/>
  <c r="I336" i="1"/>
  <c r="I594" i="1"/>
  <c r="I618" i="1"/>
  <c r="I318" i="1"/>
  <c r="I348" i="1"/>
  <c r="I612" i="1"/>
  <c r="I306" i="1"/>
  <c r="I342" i="1"/>
  <c r="I606" i="1"/>
  <c r="I324" i="1"/>
  <c r="I588" i="1"/>
  <c r="I624" i="1"/>
  <c r="I330" i="1"/>
  <c r="I600" i="1"/>
  <c r="I630" i="1"/>
  <c r="N21" i="15"/>
  <c r="I260" i="1"/>
  <c r="I270" i="1"/>
  <c r="I265" i="1"/>
  <c r="I255" i="1"/>
  <c r="N17" i="15"/>
  <c r="N15" i="15"/>
  <c r="I360" i="1"/>
  <c r="I384" i="1"/>
  <c r="I408" i="1"/>
  <c r="I642" i="1"/>
  <c r="I378" i="1"/>
  <c r="I414" i="1"/>
  <c r="I648" i="1"/>
  <c r="I396" i="1"/>
  <c r="I372" i="1"/>
  <c r="I402" i="1"/>
  <c r="I636" i="1"/>
  <c r="I297" i="1"/>
  <c r="I354" i="1"/>
  <c r="I390" i="1"/>
  <c r="I420" i="1"/>
  <c r="I654" i="1"/>
  <c r="I366" i="1"/>
  <c r="I426" i="1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L7" i="2"/>
  <c r="G2146" i="1" s="1"/>
  <c r="H2146" i="1" s="1"/>
  <c r="F19" i="16" l="1"/>
  <c r="G13" i="16"/>
  <c r="H64" i="2" l="1"/>
  <c r="G2486" i="1" s="1"/>
  <c r="H2486" i="1" s="1"/>
  <c r="H65" i="2"/>
  <c r="G2492" i="1" s="1"/>
  <c r="H2492" i="1" s="1"/>
  <c r="H66" i="2"/>
  <c r="G2498" i="1" s="1"/>
  <c r="H2498" i="1" s="1"/>
  <c r="H67" i="2"/>
  <c r="G2504" i="1" s="1"/>
  <c r="H2504" i="1" s="1"/>
  <c r="H68" i="2"/>
  <c r="G2510" i="1" s="1"/>
  <c r="H2510" i="1" s="1"/>
  <c r="H69" i="2"/>
  <c r="G2516" i="1" s="1"/>
  <c r="H2516" i="1" s="1"/>
  <c r="H5" i="2"/>
  <c r="G2132" i="1" s="1"/>
  <c r="H2132" i="1" s="1"/>
  <c r="H6" i="2"/>
  <c r="G2138" i="1" s="1"/>
  <c r="H2138" i="1" s="1"/>
  <c r="H8" i="2"/>
  <c r="G2150" i="1" s="1"/>
  <c r="H2150" i="1" s="1"/>
  <c r="H4" i="2"/>
  <c r="G2126" i="1" s="1"/>
  <c r="H2126" i="1" s="1"/>
  <c r="H3" i="2"/>
  <c r="G2120" i="1" s="1"/>
  <c r="H2120" i="1" s="1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G2514" i="1" s="1"/>
  <c r="H2514" i="1" s="1"/>
  <c r="F68" i="2"/>
  <c r="G2508" i="1" s="1"/>
  <c r="H2508" i="1" s="1"/>
  <c r="F67" i="2"/>
  <c r="G2502" i="1" s="1"/>
  <c r="H2502" i="1" s="1"/>
  <c r="F66" i="2"/>
  <c r="G2496" i="1" s="1"/>
  <c r="H2496" i="1" s="1"/>
  <c r="F65" i="2"/>
  <c r="G2490" i="1" s="1"/>
  <c r="H2490" i="1" s="1"/>
  <c r="F64" i="2"/>
  <c r="G2484" i="1" s="1"/>
  <c r="H2484" i="1" s="1"/>
  <c r="F8" i="2"/>
  <c r="G2148" i="1" s="1"/>
  <c r="H2148" i="1" s="1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G2518" i="1" s="1"/>
  <c r="H2518" i="1" s="1"/>
  <c r="L68" i="2"/>
  <c r="G2512" i="1" s="1"/>
  <c r="H2512" i="1" s="1"/>
  <c r="L67" i="2"/>
  <c r="G2506" i="1" s="1"/>
  <c r="H2506" i="1" s="1"/>
  <c r="L66" i="2"/>
  <c r="G2500" i="1" s="1"/>
  <c r="H2500" i="1" s="1"/>
  <c r="L65" i="2"/>
  <c r="G2494" i="1" s="1"/>
  <c r="H2494" i="1" s="1"/>
  <c r="L64" i="2"/>
  <c r="G2488" i="1" s="1"/>
  <c r="H2488" i="1" s="1"/>
  <c r="L63" i="2"/>
  <c r="G2482" i="1" s="1"/>
  <c r="H2482" i="1" s="1"/>
  <c r="L62" i="2"/>
  <c r="G2476" i="1" s="1"/>
  <c r="H2476" i="1" s="1"/>
  <c r="L61" i="2"/>
  <c r="G2470" i="1" s="1"/>
  <c r="H2470" i="1" s="1"/>
  <c r="L60" i="2"/>
  <c r="G2464" i="1" s="1"/>
  <c r="H2464" i="1" s="1"/>
  <c r="L59" i="2"/>
  <c r="G2458" i="1" s="1"/>
  <c r="H2458" i="1" s="1"/>
  <c r="L58" i="2"/>
  <c r="G2452" i="1" s="1"/>
  <c r="H2452" i="1" s="1"/>
  <c r="L57" i="2"/>
  <c r="G2446" i="1" s="1"/>
  <c r="H2446" i="1" s="1"/>
  <c r="L55" i="2"/>
  <c r="G2434" i="1" s="1"/>
  <c r="H2434" i="1" s="1"/>
  <c r="L54" i="2"/>
  <c r="G2428" i="1" s="1"/>
  <c r="H2428" i="1" s="1"/>
  <c r="L53" i="2"/>
  <c r="G2422" i="1" s="1"/>
  <c r="H2422" i="1" s="1"/>
  <c r="L52" i="2"/>
  <c r="G2416" i="1" s="1"/>
  <c r="H2416" i="1" s="1"/>
  <c r="L50" i="2"/>
  <c r="G2404" i="1" s="1"/>
  <c r="H2404" i="1" s="1"/>
  <c r="L49" i="2"/>
  <c r="G2398" i="1" s="1"/>
  <c r="H2398" i="1" s="1"/>
  <c r="L43" i="2"/>
  <c r="G2362" i="1" s="1"/>
  <c r="H2362" i="1" s="1"/>
  <c r="L42" i="2"/>
  <c r="G2356" i="1" s="1"/>
  <c r="H2356" i="1" s="1"/>
  <c r="L41" i="2"/>
  <c r="G2350" i="1" s="1"/>
  <c r="H2350" i="1" s="1"/>
  <c r="L40" i="2"/>
  <c r="G2344" i="1" s="1"/>
  <c r="H2344" i="1" s="1"/>
  <c r="L39" i="2"/>
  <c r="G2338" i="1" s="1"/>
  <c r="H2338" i="1" s="1"/>
  <c r="L38" i="2"/>
  <c r="G2332" i="1" s="1"/>
  <c r="H2332" i="1" s="1"/>
  <c r="L37" i="2"/>
  <c r="G2326" i="1" s="1"/>
  <c r="H2326" i="1" s="1"/>
  <c r="L36" i="2"/>
  <c r="G2320" i="1" s="1"/>
  <c r="H2320" i="1" s="1"/>
  <c r="L35" i="2"/>
  <c r="G2314" i="1" s="1"/>
  <c r="H2314" i="1" s="1"/>
  <c r="L34" i="2"/>
  <c r="G2308" i="1" s="1"/>
  <c r="H2308" i="1" s="1"/>
  <c r="L33" i="2"/>
  <c r="G2302" i="1" s="1"/>
  <c r="H2302" i="1" s="1"/>
  <c r="L32" i="2"/>
  <c r="G2296" i="1" s="1"/>
  <c r="H2296" i="1" s="1"/>
  <c r="L26" i="2"/>
  <c r="G2260" i="1" s="1"/>
  <c r="H2260" i="1" s="1"/>
  <c r="L25" i="2"/>
  <c r="G2254" i="1" s="1"/>
  <c r="H2254" i="1" s="1"/>
  <c r="L24" i="2"/>
  <c r="G2248" i="1" s="1"/>
  <c r="H2248" i="1" s="1"/>
  <c r="L23" i="2"/>
  <c r="G2242" i="1" s="1"/>
  <c r="H2242" i="1" s="1"/>
  <c r="L22" i="2"/>
  <c r="G2236" i="1" s="1"/>
  <c r="H2236" i="1" s="1"/>
  <c r="L21" i="2"/>
  <c r="G2230" i="1" s="1"/>
  <c r="H2230" i="1" s="1"/>
  <c r="L20" i="2"/>
  <c r="G2224" i="1" s="1"/>
  <c r="H2224" i="1" s="1"/>
  <c r="L19" i="2"/>
  <c r="G2218" i="1" s="1"/>
  <c r="H2218" i="1" s="1"/>
  <c r="L14" i="2"/>
  <c r="G2188" i="1" s="1"/>
  <c r="H2188" i="1" s="1"/>
  <c r="L13" i="2"/>
  <c r="G2182" i="1" s="1"/>
  <c r="H2182" i="1" s="1"/>
  <c r="L12" i="2"/>
  <c r="G2176" i="1" s="1"/>
  <c r="H2176" i="1" s="1"/>
  <c r="L11" i="2"/>
  <c r="G2170" i="1" s="1"/>
  <c r="H2170" i="1" s="1"/>
  <c r="L10" i="2"/>
  <c r="G2164" i="1" s="1"/>
  <c r="H2164" i="1" s="1"/>
  <c r="L9" i="2"/>
  <c r="G2158" i="1" s="1"/>
  <c r="H2158" i="1" s="1"/>
  <c r="L8" i="2"/>
  <c r="G2152" i="1" s="1"/>
  <c r="H2152" i="1" s="1"/>
  <c r="H82" i="2"/>
  <c r="G82" i="2"/>
  <c r="E82" i="2"/>
  <c r="H81" i="2"/>
  <c r="G81" i="2"/>
  <c r="E81" i="2"/>
  <c r="H80" i="2"/>
  <c r="G80" i="2"/>
  <c r="E80" i="2"/>
  <c r="H79" i="2"/>
  <c r="G79" i="2"/>
  <c r="E79" i="2"/>
  <c r="H78" i="2"/>
  <c r="G78" i="2"/>
  <c r="E78" i="2"/>
  <c r="H77" i="2"/>
  <c r="G77" i="2"/>
  <c r="E77" i="2"/>
  <c r="H76" i="2"/>
  <c r="G76" i="2"/>
  <c r="E76" i="2"/>
  <c r="H75" i="2"/>
  <c r="G75" i="2"/>
  <c r="E75" i="2"/>
  <c r="H74" i="2"/>
  <c r="G74" i="2"/>
  <c r="E74" i="2"/>
  <c r="H73" i="2"/>
  <c r="G73" i="2"/>
  <c r="E73" i="2"/>
  <c r="H72" i="2"/>
  <c r="G72" i="2"/>
  <c r="E72" i="2"/>
  <c r="H71" i="2"/>
  <c r="G71" i="2"/>
  <c r="E71" i="2"/>
  <c r="H70" i="2"/>
  <c r="G70" i="2"/>
  <c r="E70" i="2"/>
  <c r="G69" i="2"/>
  <c r="G2515" i="1" s="1"/>
  <c r="H2515" i="1" s="1"/>
  <c r="E69" i="2"/>
  <c r="G2517" i="1" s="1"/>
  <c r="H2517" i="1" s="1"/>
  <c r="G68" i="2"/>
  <c r="G2509" i="1" s="1"/>
  <c r="H2509" i="1" s="1"/>
  <c r="E68" i="2"/>
  <c r="G2511" i="1" s="1"/>
  <c r="H2511" i="1" s="1"/>
  <c r="G67" i="2"/>
  <c r="G2503" i="1" s="1"/>
  <c r="H2503" i="1" s="1"/>
  <c r="E67" i="2"/>
  <c r="G2505" i="1" s="1"/>
  <c r="H2505" i="1" s="1"/>
  <c r="G66" i="2"/>
  <c r="G2497" i="1" s="1"/>
  <c r="H2497" i="1" s="1"/>
  <c r="E66" i="2"/>
  <c r="G2499" i="1" s="1"/>
  <c r="H2499" i="1" s="1"/>
  <c r="G65" i="2"/>
  <c r="G2491" i="1" s="1"/>
  <c r="H2491" i="1" s="1"/>
  <c r="E65" i="2"/>
  <c r="G2493" i="1" s="1"/>
  <c r="H2493" i="1" s="1"/>
  <c r="G64" i="2"/>
  <c r="G2485" i="1" s="1"/>
  <c r="H2485" i="1" s="1"/>
  <c r="E64" i="2"/>
  <c r="G2487" i="1" s="1"/>
  <c r="H2487" i="1" s="1"/>
  <c r="E63" i="2"/>
  <c r="G2481" i="1" s="1"/>
  <c r="H2481" i="1" s="1"/>
  <c r="E62" i="2"/>
  <c r="G2475" i="1" s="1"/>
  <c r="H2475" i="1" s="1"/>
  <c r="E61" i="2"/>
  <c r="G2469" i="1" s="1"/>
  <c r="H2469" i="1" s="1"/>
  <c r="E60" i="2"/>
  <c r="G2463" i="1" s="1"/>
  <c r="H2463" i="1" s="1"/>
  <c r="E59" i="2"/>
  <c r="G2457" i="1" s="1"/>
  <c r="H2457" i="1" s="1"/>
  <c r="E58" i="2"/>
  <c r="G2451" i="1" s="1"/>
  <c r="H2451" i="1" s="1"/>
  <c r="E57" i="2"/>
  <c r="G2445" i="1" s="1"/>
  <c r="H2445" i="1" s="1"/>
  <c r="E55" i="2"/>
  <c r="G2433" i="1" s="1"/>
  <c r="H2433" i="1" s="1"/>
  <c r="E54" i="2"/>
  <c r="G2427" i="1" s="1"/>
  <c r="H2427" i="1" s="1"/>
  <c r="E53" i="2"/>
  <c r="G2421" i="1" s="1"/>
  <c r="H2421" i="1" s="1"/>
  <c r="E52" i="2"/>
  <c r="G2415" i="1" s="1"/>
  <c r="H2415" i="1" s="1"/>
  <c r="E50" i="2"/>
  <c r="G2403" i="1" s="1"/>
  <c r="H2403" i="1" s="1"/>
  <c r="E49" i="2"/>
  <c r="G2397" i="1" s="1"/>
  <c r="H2397" i="1" s="1"/>
  <c r="E43" i="2"/>
  <c r="G2361" i="1" s="1"/>
  <c r="H2361" i="1" s="1"/>
  <c r="E42" i="2"/>
  <c r="G2355" i="1" s="1"/>
  <c r="H2355" i="1" s="1"/>
  <c r="E41" i="2"/>
  <c r="G2349" i="1" s="1"/>
  <c r="H2349" i="1" s="1"/>
  <c r="E40" i="2"/>
  <c r="G2343" i="1" s="1"/>
  <c r="H2343" i="1" s="1"/>
  <c r="E39" i="2"/>
  <c r="G2337" i="1" s="1"/>
  <c r="H2337" i="1" s="1"/>
  <c r="E38" i="2"/>
  <c r="G2331" i="1" s="1"/>
  <c r="H2331" i="1" s="1"/>
  <c r="E37" i="2"/>
  <c r="G2325" i="1" s="1"/>
  <c r="H2325" i="1" s="1"/>
  <c r="E36" i="2"/>
  <c r="G2319" i="1" s="1"/>
  <c r="H2319" i="1" s="1"/>
  <c r="E35" i="2"/>
  <c r="G2313" i="1" s="1"/>
  <c r="H2313" i="1" s="1"/>
  <c r="E34" i="2"/>
  <c r="G2307" i="1" s="1"/>
  <c r="H2307" i="1" s="1"/>
  <c r="E33" i="2"/>
  <c r="G2301" i="1" s="1"/>
  <c r="H2301" i="1" s="1"/>
  <c r="E32" i="2"/>
  <c r="G2295" i="1" s="1"/>
  <c r="H2295" i="1" s="1"/>
  <c r="E26" i="2"/>
  <c r="G2259" i="1" s="1"/>
  <c r="H2259" i="1" s="1"/>
  <c r="E25" i="2"/>
  <c r="G2253" i="1" s="1"/>
  <c r="H2253" i="1" s="1"/>
  <c r="E24" i="2"/>
  <c r="G2247" i="1" s="1"/>
  <c r="H2247" i="1" s="1"/>
  <c r="E23" i="2"/>
  <c r="G2241" i="1" s="1"/>
  <c r="H2241" i="1" s="1"/>
  <c r="E22" i="2"/>
  <c r="G2235" i="1" s="1"/>
  <c r="H2235" i="1" s="1"/>
  <c r="E21" i="2"/>
  <c r="G2229" i="1" s="1"/>
  <c r="H2229" i="1" s="1"/>
  <c r="E20" i="2"/>
  <c r="G2223" i="1" s="1"/>
  <c r="H2223" i="1" s="1"/>
  <c r="E19" i="2"/>
  <c r="G2217" i="1" s="1"/>
  <c r="H2217" i="1" s="1"/>
  <c r="E14" i="2"/>
  <c r="G2187" i="1" s="1"/>
  <c r="H2187" i="1" s="1"/>
  <c r="E13" i="2"/>
  <c r="G2181" i="1" s="1"/>
  <c r="H2181" i="1" s="1"/>
  <c r="E12" i="2"/>
  <c r="G2175" i="1" s="1"/>
  <c r="H2175" i="1" s="1"/>
  <c r="E11" i="2"/>
  <c r="G2169" i="1" s="1"/>
  <c r="H2169" i="1" s="1"/>
  <c r="E10" i="2"/>
  <c r="G2163" i="1" s="1"/>
  <c r="H2163" i="1" s="1"/>
  <c r="E9" i="2"/>
  <c r="G2157" i="1" s="1"/>
  <c r="H2157" i="1" s="1"/>
  <c r="G8" i="2"/>
  <c r="G2149" i="1" s="1"/>
  <c r="H2149" i="1" s="1"/>
  <c r="E8" i="2"/>
  <c r="G2151" i="1" s="1"/>
  <c r="H2151" i="1" s="1"/>
  <c r="E7" i="2"/>
  <c r="G2145" i="1" s="1"/>
  <c r="H2145" i="1" s="1"/>
  <c r="H2147" i="1" l="1"/>
  <c r="H2483" i="1"/>
  <c r="H2507" i="1"/>
  <c r="H2495" i="1"/>
  <c r="H2501" i="1"/>
  <c r="H2489" i="1"/>
  <c r="H2513" i="1"/>
  <c r="B26" i="14"/>
  <c r="C2" i="14" s="1"/>
  <c r="C6" i="14" s="1"/>
  <c r="B13" i="14" s="1"/>
  <c r="B15" i="14" s="1"/>
  <c r="F10" i="1" s="1"/>
  <c r="C13" i="14"/>
  <c r="B17" i="14" s="1"/>
  <c r="F9" i="1" s="1"/>
  <c r="K45" i="1" l="1"/>
  <c r="K2590" i="1"/>
  <c r="K2602" i="1"/>
  <c r="T2602" i="1" s="1"/>
  <c r="K687" i="1"/>
  <c r="K688" i="1"/>
  <c r="K2580" i="1"/>
  <c r="K689" i="1"/>
  <c r="K2581" i="1"/>
  <c r="K2599" i="1"/>
  <c r="T2599" i="1" s="1"/>
  <c r="K43" i="1"/>
  <c r="T43" i="1" s="1"/>
  <c r="K2582" i="1"/>
  <c r="K2600" i="1"/>
  <c r="T2600" i="1" s="1"/>
  <c r="K44" i="1"/>
  <c r="T44" i="1" s="1"/>
  <c r="K2583" i="1"/>
  <c r="K2589" i="1"/>
  <c r="K2595" i="1"/>
  <c r="T2595" i="1" s="1"/>
  <c r="K2601" i="1"/>
  <c r="T2601" i="1" s="1"/>
  <c r="J612" i="1"/>
  <c r="J573" i="1"/>
  <c r="J291" i="1"/>
  <c r="K291" i="1" s="1"/>
  <c r="J265" i="1"/>
  <c r="J654" i="1"/>
  <c r="J606" i="1"/>
  <c r="K606" i="1" s="1"/>
  <c r="J324" i="1"/>
  <c r="J288" i="1"/>
  <c r="K288" i="1" s="1"/>
  <c r="J260" i="1"/>
  <c r="J648" i="1"/>
  <c r="J600" i="1"/>
  <c r="K600" i="1" s="1"/>
  <c r="J318" i="1"/>
  <c r="K318" i="1" s="1"/>
  <c r="J285" i="1"/>
  <c r="J255" i="1"/>
  <c r="K255" i="1" s="1"/>
  <c r="J642" i="1"/>
  <c r="J594" i="1"/>
  <c r="K594" i="1" s="1"/>
  <c r="J312" i="1"/>
  <c r="J282" i="1"/>
  <c r="K282" i="1" s="1"/>
  <c r="J232" i="1"/>
  <c r="J636" i="1"/>
  <c r="K636" i="1" s="1"/>
  <c r="J588" i="1"/>
  <c r="J306" i="1"/>
  <c r="K306" i="1" s="1"/>
  <c r="J279" i="1"/>
  <c r="K279" i="1" s="1"/>
  <c r="J230" i="1"/>
  <c r="K230" i="1" s="1"/>
  <c r="J630" i="1"/>
  <c r="J582" i="1"/>
  <c r="J300" i="1"/>
  <c r="K300" i="1" s="1"/>
  <c r="J276" i="1"/>
  <c r="K276" i="1" s="1"/>
  <c r="J228" i="1"/>
  <c r="J624" i="1"/>
  <c r="K624" i="1" s="1"/>
  <c r="J579" i="1"/>
  <c r="K579" i="1" s="1"/>
  <c r="J297" i="1"/>
  <c r="K297" i="1" s="1"/>
  <c r="J273" i="1"/>
  <c r="J226" i="1"/>
  <c r="J618" i="1"/>
  <c r="J577" i="1"/>
  <c r="K577" i="1" s="1"/>
  <c r="J294" i="1"/>
  <c r="J270" i="1"/>
  <c r="K270" i="1" s="1"/>
  <c r="J575" i="1"/>
  <c r="K575" i="1" s="1"/>
  <c r="J342" i="1"/>
  <c r="K342" i="1" s="1"/>
  <c r="J420" i="1"/>
  <c r="J360" i="1"/>
  <c r="K360" i="1" s="1"/>
  <c r="K251" i="1"/>
  <c r="J426" i="1"/>
  <c r="J366" i="1"/>
  <c r="J378" i="1"/>
  <c r="K378" i="1" s="1"/>
  <c r="K256" i="1"/>
  <c r="J372" i="1"/>
  <c r="K372" i="1" s="1"/>
  <c r="J384" i="1"/>
  <c r="J396" i="1"/>
  <c r="K225" i="1"/>
  <c r="K261" i="1"/>
  <c r="J390" i="1"/>
  <c r="J402" i="1"/>
  <c r="K402" i="1" s="1"/>
  <c r="K229" i="1"/>
  <c r="K266" i="1"/>
  <c r="J408" i="1"/>
  <c r="J348" i="1"/>
  <c r="J354" i="1"/>
  <c r="K354" i="1" s="1"/>
  <c r="J432" i="1"/>
  <c r="K432" i="1" s="1"/>
  <c r="K572" i="1"/>
  <c r="K224" i="1"/>
  <c r="T224" i="1" s="1"/>
  <c r="K574" i="1"/>
  <c r="J438" i="1"/>
  <c r="K438" i="1" s="1"/>
  <c r="J330" i="1"/>
  <c r="K576" i="1"/>
  <c r="K227" i="1"/>
  <c r="S227" i="1" s="1"/>
  <c r="U227" i="1" s="1"/>
  <c r="J336" i="1"/>
  <c r="K336" i="1" s="1"/>
  <c r="K145" i="1"/>
  <c r="T145" i="1" s="1"/>
  <c r="K157" i="1"/>
  <c r="T157" i="1" s="1"/>
  <c r="K167" i="1"/>
  <c r="T167" i="1" s="1"/>
  <c r="K178" i="1"/>
  <c r="T178" i="1" s="1"/>
  <c r="K482" i="1"/>
  <c r="T482" i="1" s="1"/>
  <c r="K494" i="1"/>
  <c r="T494" i="1" s="1"/>
  <c r="K559" i="1"/>
  <c r="T559" i="1" s="1"/>
  <c r="K822" i="1"/>
  <c r="T822" i="1" s="1"/>
  <c r="K894" i="1"/>
  <c r="T894" i="1" s="1"/>
  <c r="K950" i="1"/>
  <c r="T950" i="1" s="1"/>
  <c r="K1028" i="1"/>
  <c r="T1028" i="1" s="1"/>
  <c r="K1110" i="1"/>
  <c r="T1110" i="1" s="1"/>
  <c r="K1174" i="1"/>
  <c r="T1174" i="1" s="1"/>
  <c r="K1282" i="1"/>
  <c r="T1282" i="1" s="1"/>
  <c r="K1390" i="1"/>
  <c r="T1390" i="1" s="1"/>
  <c r="K1486" i="1"/>
  <c r="T1486" i="1" s="1"/>
  <c r="K1550" i="1"/>
  <c r="T1550" i="1" s="1"/>
  <c r="J414" i="1"/>
  <c r="K414" i="1" s="1"/>
  <c r="K578" i="1"/>
  <c r="K121" i="1"/>
  <c r="T121" i="1" s="1"/>
  <c r="K146" i="1"/>
  <c r="T146" i="1" s="1"/>
  <c r="K158" i="1"/>
  <c r="T158" i="1" s="1"/>
  <c r="K169" i="1"/>
  <c r="T169" i="1" s="1"/>
  <c r="K179" i="1"/>
  <c r="T179" i="1" s="1"/>
  <c r="K248" i="1"/>
  <c r="T248" i="1" s="1"/>
  <c r="K483" i="1"/>
  <c r="T483" i="1" s="1"/>
  <c r="K826" i="1"/>
  <c r="T826" i="1" s="1"/>
  <c r="K914" i="1"/>
  <c r="T914" i="1" s="1"/>
  <c r="K974" i="1"/>
  <c r="T974" i="1" s="1"/>
  <c r="K1046" i="1"/>
  <c r="T1046" i="1" s="1"/>
  <c r="K1118" i="1"/>
  <c r="T1118" i="1" s="1"/>
  <c r="K1202" i="1"/>
  <c r="T1202" i="1" s="1"/>
  <c r="K1286" i="1"/>
  <c r="T1286" i="1" s="1"/>
  <c r="K1402" i="1"/>
  <c r="T1402" i="1" s="1"/>
  <c r="K1490" i="1"/>
  <c r="T1490" i="1" s="1"/>
  <c r="K1578" i="1"/>
  <c r="T1578" i="1" s="1"/>
  <c r="K20" i="1"/>
  <c r="T20" i="1" s="1"/>
  <c r="K122" i="1"/>
  <c r="T122" i="1" s="1"/>
  <c r="K148" i="1"/>
  <c r="T148" i="1" s="1"/>
  <c r="K159" i="1"/>
  <c r="T159" i="1" s="1"/>
  <c r="K170" i="1"/>
  <c r="T170" i="1" s="1"/>
  <c r="K187" i="1"/>
  <c r="T187" i="1" s="1"/>
  <c r="K484" i="1"/>
  <c r="T484" i="1" s="1"/>
  <c r="K533" i="1"/>
  <c r="T533" i="1" s="1"/>
  <c r="K30" i="1"/>
  <c r="T30" i="1" s="1"/>
  <c r="K123" i="1"/>
  <c r="T123" i="1" s="1"/>
  <c r="K149" i="1"/>
  <c r="T149" i="1" s="1"/>
  <c r="K161" i="1"/>
  <c r="T161" i="1" s="1"/>
  <c r="K171" i="1"/>
  <c r="T171" i="1" s="1"/>
  <c r="K189" i="1"/>
  <c r="T189" i="1" s="1"/>
  <c r="K487" i="1"/>
  <c r="T487" i="1" s="1"/>
  <c r="K534" i="1"/>
  <c r="T534" i="1" s="1"/>
  <c r="K676" i="1"/>
  <c r="T676" i="1" s="1"/>
  <c r="K846" i="1"/>
  <c r="T846" i="1" s="1"/>
  <c r="K918" i="1"/>
  <c r="T918" i="1" s="1"/>
  <c r="K982" i="1"/>
  <c r="T982" i="1" s="1"/>
  <c r="K1054" i="1"/>
  <c r="T1054" i="1" s="1"/>
  <c r="K1142" i="1"/>
  <c r="T1142" i="1" s="1"/>
  <c r="K1223" i="1"/>
  <c r="T1223" i="1" s="1"/>
  <c r="K1322" i="1"/>
  <c r="T1322" i="1" s="1"/>
  <c r="K1446" i="1"/>
  <c r="T1446" i="1" s="1"/>
  <c r="K1516" i="1"/>
  <c r="T1516" i="1" s="1"/>
  <c r="K1588" i="1"/>
  <c r="T1588" i="1" s="1"/>
  <c r="K41" i="1"/>
  <c r="T41" i="1" s="1"/>
  <c r="K140" i="1"/>
  <c r="T140" i="1" s="1"/>
  <c r="K152" i="1"/>
  <c r="T152" i="1" s="1"/>
  <c r="K163" i="1"/>
  <c r="T163" i="1" s="1"/>
  <c r="K174" i="1"/>
  <c r="T174" i="1" s="1"/>
  <c r="K192" i="1"/>
  <c r="T192" i="1" s="1"/>
  <c r="K477" i="1"/>
  <c r="T477" i="1" s="1"/>
  <c r="K489" i="1"/>
  <c r="T489" i="1" s="1"/>
  <c r="K684" i="1"/>
  <c r="T684" i="1" s="1"/>
  <c r="K786" i="1"/>
  <c r="T786" i="1" s="1"/>
  <c r="K860" i="1"/>
  <c r="T860" i="1" s="1"/>
  <c r="K932" i="1"/>
  <c r="T932" i="1" s="1"/>
  <c r="K998" i="1"/>
  <c r="T998" i="1" s="1"/>
  <c r="K1090" i="1"/>
  <c r="T1090" i="1" s="1"/>
  <c r="K1158" i="1"/>
  <c r="T1158" i="1" s="1"/>
  <c r="K1234" i="1"/>
  <c r="T1234" i="1" s="1"/>
  <c r="K1342" i="1"/>
  <c r="T1342" i="1" s="1"/>
  <c r="K1458" i="1"/>
  <c r="T1458" i="1" s="1"/>
  <c r="K1530" i="1"/>
  <c r="T1530" i="1" s="1"/>
  <c r="K142" i="1"/>
  <c r="T142" i="1" s="1"/>
  <c r="K154" i="1"/>
  <c r="T154" i="1" s="1"/>
  <c r="K165" i="1"/>
  <c r="T165" i="1" s="1"/>
  <c r="K175" i="1"/>
  <c r="T175" i="1" s="1"/>
  <c r="K194" i="1"/>
  <c r="T194" i="1" s="1"/>
  <c r="K478" i="1"/>
  <c r="T478" i="1" s="1"/>
  <c r="K492" i="1"/>
  <c r="T492" i="1" s="1"/>
  <c r="K557" i="1"/>
  <c r="T557" i="1" s="1"/>
  <c r="K790" i="1"/>
  <c r="T790" i="1" s="1"/>
  <c r="K862" i="1"/>
  <c r="T862" i="1" s="1"/>
  <c r="K938" i="1"/>
  <c r="T938" i="1" s="1"/>
  <c r="K1006" i="1"/>
  <c r="T1006" i="1" s="1"/>
  <c r="K1098" i="1"/>
  <c r="T1098" i="1" s="1"/>
  <c r="K1162" i="1"/>
  <c r="T1162" i="1" s="1"/>
  <c r="K1238" i="1"/>
  <c r="T1238" i="1" s="1"/>
  <c r="K1350" i="1"/>
  <c r="T1350" i="1" s="1"/>
  <c r="K1460" i="1"/>
  <c r="T1460" i="1" s="1"/>
  <c r="K1538" i="1"/>
  <c r="T1538" i="1" s="1"/>
  <c r="K1650" i="1"/>
  <c r="T1650" i="1" s="1"/>
  <c r="K1665" i="1"/>
  <c r="T1665" i="1" s="1"/>
  <c r="K1675" i="1"/>
  <c r="T1675" i="1" s="1"/>
  <c r="K1832" i="1"/>
  <c r="T1832" i="1" s="1"/>
  <c r="K1843" i="1"/>
  <c r="T1843" i="1" s="1"/>
  <c r="K1854" i="1"/>
  <c r="T1854" i="1" s="1"/>
  <c r="K1864" i="1"/>
  <c r="T1864" i="1" s="1"/>
  <c r="K1875" i="1"/>
  <c r="T1875" i="1" s="1"/>
  <c r="K1885" i="1"/>
  <c r="T1885" i="1" s="1"/>
  <c r="K1896" i="1"/>
  <c r="T1896" i="1" s="1"/>
  <c r="K1907" i="1"/>
  <c r="T1907" i="1" s="1"/>
  <c r="K1917" i="1"/>
  <c r="T1917" i="1" s="1"/>
  <c r="K1928" i="1"/>
  <c r="T1928" i="1" s="1"/>
  <c r="K1939" i="1"/>
  <c r="T1939" i="1" s="1"/>
  <c r="K166" i="1"/>
  <c r="T166" i="1" s="1"/>
  <c r="K942" i="1"/>
  <c r="T942" i="1" s="1"/>
  <c r="K1156" i="1"/>
  <c r="T1156" i="1" s="1"/>
  <c r="K1410" i="1"/>
  <c r="T1410" i="1" s="1"/>
  <c r="K1649" i="1"/>
  <c r="T1649" i="1" s="1"/>
  <c r="K1666" i="1"/>
  <c r="T1666" i="1" s="1"/>
  <c r="K1836" i="1"/>
  <c r="T1836" i="1" s="1"/>
  <c r="K1848" i="1"/>
  <c r="T1848" i="1" s="1"/>
  <c r="K1860" i="1"/>
  <c r="T1860" i="1" s="1"/>
  <c r="K1872" i="1"/>
  <c r="T1872" i="1" s="1"/>
  <c r="K1884" i="1"/>
  <c r="T1884" i="1" s="1"/>
  <c r="K1897" i="1"/>
  <c r="T1897" i="1" s="1"/>
  <c r="K1909" i="1"/>
  <c r="T1909" i="1" s="1"/>
  <c r="K1921" i="1"/>
  <c r="T1921" i="1" s="1"/>
  <c r="K1933" i="1"/>
  <c r="T1933" i="1" s="1"/>
  <c r="K81" i="1"/>
  <c r="T81" i="1" s="1"/>
  <c r="K173" i="1"/>
  <c r="T173" i="1" s="1"/>
  <c r="K479" i="1"/>
  <c r="T479" i="1" s="1"/>
  <c r="K666" i="1"/>
  <c r="T666" i="1" s="1"/>
  <c r="K732" i="1"/>
  <c r="T732" i="1" s="1"/>
  <c r="K978" i="1"/>
  <c r="T978" i="1" s="1"/>
  <c r="K1166" i="1"/>
  <c r="T1166" i="1" s="1"/>
  <c r="K1454" i="1"/>
  <c r="T1454" i="1" s="1"/>
  <c r="K1651" i="1"/>
  <c r="T1651" i="1" s="1"/>
  <c r="K1667" i="1"/>
  <c r="T1667" i="1" s="1"/>
  <c r="K1791" i="1"/>
  <c r="T1791" i="1" s="1"/>
  <c r="K1826" i="1"/>
  <c r="T1826" i="1" s="1"/>
  <c r="K1838" i="1"/>
  <c r="T1838" i="1" s="1"/>
  <c r="K1850" i="1"/>
  <c r="T1850" i="1" s="1"/>
  <c r="K1861" i="1"/>
  <c r="T1861" i="1" s="1"/>
  <c r="K1873" i="1"/>
  <c r="T1873" i="1" s="1"/>
  <c r="K1887" i="1"/>
  <c r="T1887" i="1" s="1"/>
  <c r="K1899" i="1"/>
  <c r="T1899" i="1" s="1"/>
  <c r="K1911" i="1"/>
  <c r="T1911" i="1" s="1"/>
  <c r="K1923" i="1"/>
  <c r="T1923" i="1" s="1"/>
  <c r="K1935" i="1"/>
  <c r="T1935" i="1" s="1"/>
  <c r="K177" i="1"/>
  <c r="T177" i="1" s="1"/>
  <c r="K488" i="1"/>
  <c r="T488" i="1" s="1"/>
  <c r="K682" i="1"/>
  <c r="T682" i="1" s="1"/>
  <c r="K820" i="1"/>
  <c r="T820" i="1" s="1"/>
  <c r="K990" i="1"/>
  <c r="T990" i="1" s="1"/>
  <c r="K1222" i="1"/>
  <c r="T1222" i="1" s="1"/>
  <c r="K1461" i="1"/>
  <c r="T1461" i="1" s="1"/>
  <c r="K1657" i="1"/>
  <c r="T1657" i="1" s="1"/>
  <c r="K1669" i="1"/>
  <c r="T1669" i="1" s="1"/>
  <c r="K1792" i="1"/>
  <c r="T1792" i="1" s="1"/>
  <c r="K1827" i="1"/>
  <c r="T1827" i="1" s="1"/>
  <c r="K1839" i="1"/>
  <c r="T1839" i="1" s="1"/>
  <c r="K1851" i="1"/>
  <c r="T1851" i="1" s="1"/>
  <c r="K1863" i="1"/>
  <c r="T1863" i="1" s="1"/>
  <c r="K1876" i="1"/>
  <c r="T1876" i="1" s="1"/>
  <c r="K1888" i="1"/>
  <c r="T1888" i="1" s="1"/>
  <c r="K1900" i="1"/>
  <c r="T1900" i="1" s="1"/>
  <c r="K1912" i="1"/>
  <c r="T1912" i="1" s="1"/>
  <c r="K1924" i="1"/>
  <c r="T1924" i="1" s="1"/>
  <c r="K1936" i="1"/>
  <c r="T1936" i="1" s="1"/>
  <c r="K139" i="1"/>
  <c r="T139" i="1" s="1"/>
  <c r="K191" i="1"/>
  <c r="T191" i="1" s="1"/>
  <c r="K493" i="1"/>
  <c r="T493" i="1" s="1"/>
  <c r="K834" i="1"/>
  <c r="T834" i="1" s="1"/>
  <c r="K1010" i="1"/>
  <c r="T1010" i="1" s="1"/>
  <c r="K1228" i="1"/>
  <c r="T1228" i="1" s="1"/>
  <c r="K1494" i="1"/>
  <c r="T1494" i="1" s="1"/>
  <c r="K1658" i="1"/>
  <c r="T1658" i="1" s="1"/>
  <c r="K1670" i="1"/>
  <c r="T1670" i="1" s="1"/>
  <c r="K1793" i="1"/>
  <c r="T1793" i="1" s="1"/>
  <c r="K1828" i="1"/>
  <c r="T1828" i="1" s="1"/>
  <c r="K1840" i="1"/>
  <c r="T1840" i="1" s="1"/>
  <c r="K1852" i="1"/>
  <c r="T1852" i="1" s="1"/>
  <c r="K1865" i="1"/>
  <c r="T1865" i="1" s="1"/>
  <c r="K1877" i="1"/>
  <c r="T1877" i="1" s="1"/>
  <c r="K1889" i="1"/>
  <c r="T1889" i="1" s="1"/>
  <c r="K1901" i="1"/>
  <c r="T1901" i="1" s="1"/>
  <c r="K1913" i="1"/>
  <c r="T1913" i="1" s="1"/>
  <c r="K1925" i="1"/>
  <c r="T1925" i="1" s="1"/>
  <c r="K1937" i="1"/>
  <c r="T1937" i="1" s="1"/>
  <c r="K231" i="1"/>
  <c r="K143" i="1"/>
  <c r="T143" i="1" s="1"/>
  <c r="K195" i="1"/>
  <c r="T195" i="1" s="1"/>
  <c r="K854" i="1"/>
  <c r="T854" i="1" s="1"/>
  <c r="K1050" i="1"/>
  <c r="T1050" i="1" s="1"/>
  <c r="K1278" i="1"/>
  <c r="T1278" i="1" s="1"/>
  <c r="K1526" i="1"/>
  <c r="T1526" i="1" s="1"/>
  <c r="K1659" i="1"/>
  <c r="T1659" i="1" s="1"/>
  <c r="K1671" i="1"/>
  <c r="T1671" i="1" s="1"/>
  <c r="K1830" i="1"/>
  <c r="T1830" i="1" s="1"/>
  <c r="K1842" i="1"/>
  <c r="T1842" i="1" s="1"/>
  <c r="K1855" i="1"/>
  <c r="T1855" i="1" s="1"/>
  <c r="K1867" i="1"/>
  <c r="T1867" i="1" s="1"/>
  <c r="K1879" i="1"/>
  <c r="T1879" i="1" s="1"/>
  <c r="K1891" i="1"/>
  <c r="T1891" i="1" s="1"/>
  <c r="K1903" i="1"/>
  <c r="T1903" i="1" s="1"/>
  <c r="K1915" i="1"/>
  <c r="T1915" i="1" s="1"/>
  <c r="K1927" i="1"/>
  <c r="T1927" i="1" s="1"/>
  <c r="K1940" i="1"/>
  <c r="T1940" i="1" s="1"/>
  <c r="K151" i="1"/>
  <c r="T151" i="1" s="1"/>
  <c r="K535" i="1"/>
  <c r="T535" i="1" s="1"/>
  <c r="K866" i="1"/>
  <c r="T866" i="1" s="1"/>
  <c r="K1062" i="1"/>
  <c r="T1062" i="1" s="1"/>
  <c r="K1294" i="1"/>
  <c r="T1294" i="1" s="1"/>
  <c r="K1542" i="1"/>
  <c r="T1542" i="1" s="1"/>
  <c r="K1661" i="1"/>
  <c r="T1661" i="1" s="1"/>
  <c r="K1673" i="1"/>
  <c r="T1673" i="1" s="1"/>
  <c r="K1831" i="1"/>
  <c r="T1831" i="1" s="1"/>
  <c r="K1844" i="1"/>
  <c r="T1844" i="1" s="1"/>
  <c r="K1856" i="1"/>
  <c r="T1856" i="1" s="1"/>
  <c r="K1868" i="1"/>
  <c r="T1868" i="1" s="1"/>
  <c r="K1880" i="1"/>
  <c r="T1880" i="1" s="1"/>
  <c r="K1892" i="1"/>
  <c r="T1892" i="1" s="1"/>
  <c r="K1904" i="1"/>
  <c r="T1904" i="1" s="1"/>
  <c r="K1916" i="1"/>
  <c r="T1916" i="1" s="1"/>
  <c r="K1929" i="1"/>
  <c r="T1929" i="1" s="1"/>
  <c r="K1941" i="1"/>
  <c r="T1941" i="1" s="1"/>
  <c r="K33" i="1"/>
  <c r="T33" i="1" s="1"/>
  <c r="K926" i="1"/>
  <c r="T926" i="1" s="1"/>
  <c r="K1358" i="1"/>
  <c r="T1358" i="1" s="1"/>
  <c r="K1663" i="1"/>
  <c r="T1663" i="1" s="1"/>
  <c r="K1835" i="1"/>
  <c r="T1835" i="1" s="1"/>
  <c r="K1859" i="1"/>
  <c r="T1859" i="1" s="1"/>
  <c r="K1883" i="1"/>
  <c r="T1883" i="1" s="1"/>
  <c r="K1908" i="1"/>
  <c r="T1908" i="1" s="1"/>
  <c r="K1932" i="1"/>
  <c r="T1932" i="1" s="1"/>
  <c r="K155" i="1"/>
  <c r="T155" i="1" s="1"/>
  <c r="K916" i="1"/>
  <c r="T916" i="1" s="1"/>
  <c r="K1102" i="1"/>
  <c r="T1102" i="1" s="1"/>
  <c r="K1330" i="1"/>
  <c r="T1330" i="1" s="1"/>
  <c r="K1586" i="1"/>
  <c r="T1586" i="1" s="1"/>
  <c r="K1662" i="1"/>
  <c r="T1662" i="1" s="1"/>
  <c r="K1674" i="1"/>
  <c r="T1674" i="1" s="1"/>
  <c r="K1834" i="1"/>
  <c r="T1834" i="1" s="1"/>
  <c r="K1846" i="1"/>
  <c r="T1846" i="1" s="1"/>
  <c r="K1857" i="1"/>
  <c r="T1857" i="1" s="1"/>
  <c r="K1869" i="1"/>
  <c r="T1869" i="1" s="1"/>
  <c r="K1881" i="1"/>
  <c r="T1881" i="1" s="1"/>
  <c r="K1893" i="1"/>
  <c r="T1893" i="1" s="1"/>
  <c r="K1905" i="1"/>
  <c r="T1905" i="1" s="1"/>
  <c r="K1919" i="1"/>
  <c r="T1919" i="1" s="1"/>
  <c r="K1931" i="1"/>
  <c r="T1931" i="1" s="1"/>
  <c r="K162" i="1"/>
  <c r="T162" i="1" s="1"/>
  <c r="K558" i="1"/>
  <c r="T558" i="1" s="1"/>
  <c r="K1130" i="1"/>
  <c r="T1130" i="1" s="1"/>
  <c r="K1590" i="1"/>
  <c r="T1590" i="1" s="1"/>
  <c r="K1690" i="1"/>
  <c r="T1690" i="1" s="1"/>
  <c r="K1847" i="1"/>
  <c r="T1847" i="1" s="1"/>
  <c r="K1871" i="1"/>
  <c r="T1871" i="1" s="1"/>
  <c r="K1895" i="1"/>
  <c r="T1895" i="1" s="1"/>
  <c r="K1920" i="1"/>
  <c r="T1920" i="1" s="1"/>
  <c r="K1786" i="1"/>
  <c r="T1786" i="1" s="1"/>
  <c r="K1591" i="1"/>
  <c r="T1591" i="1" s="1"/>
  <c r="K1527" i="1"/>
  <c r="T1527" i="1" s="1"/>
  <c r="K1463" i="1"/>
  <c r="T1463" i="1" s="1"/>
  <c r="K1399" i="1"/>
  <c r="T1399" i="1" s="1"/>
  <c r="K1335" i="1"/>
  <c r="T1335" i="1" s="1"/>
  <c r="K1271" i="1"/>
  <c r="T1271" i="1" s="1"/>
  <c r="K1747" i="1"/>
  <c r="T1747" i="1" s="1"/>
  <c r="K1682" i="1"/>
  <c r="T1682" i="1" s="1"/>
  <c r="K1551" i="1"/>
  <c r="T1551" i="1" s="1"/>
  <c r="K1487" i="1"/>
  <c r="T1487" i="1" s="1"/>
  <c r="K1423" i="1"/>
  <c r="T1423" i="1" s="1"/>
  <c r="K1359" i="1"/>
  <c r="T1359" i="1" s="1"/>
  <c r="K1295" i="1"/>
  <c r="T1295" i="1" s="1"/>
  <c r="K1231" i="1"/>
  <c r="T1231" i="1" s="1"/>
  <c r="K1604" i="1"/>
  <c r="T1604" i="1" s="1"/>
  <c r="K1532" i="1"/>
  <c r="T1532" i="1" s="1"/>
  <c r="K1452" i="1"/>
  <c r="T1452" i="1" s="1"/>
  <c r="K1388" i="1"/>
  <c r="T1388" i="1" s="1"/>
  <c r="K1324" i="1"/>
  <c r="T1324" i="1" s="1"/>
  <c r="K1260" i="1"/>
  <c r="T1260" i="1" s="1"/>
  <c r="K1781" i="1"/>
  <c r="T1781" i="1" s="1"/>
  <c r="K1582" i="1"/>
  <c r="T1582" i="1" s="1"/>
  <c r="K1478" i="1"/>
  <c r="T1478" i="1" s="1"/>
  <c r="K1398" i="1"/>
  <c r="T1398" i="1" s="1"/>
  <c r="K1302" i="1"/>
  <c r="T1302" i="1" s="1"/>
  <c r="K1777" i="1"/>
  <c r="T1777" i="1" s="1"/>
  <c r="K1581" i="1"/>
  <c r="T1581" i="1" s="1"/>
  <c r="K1517" i="1"/>
  <c r="T1517" i="1" s="1"/>
  <c r="K1445" i="1"/>
  <c r="T1445" i="1" s="1"/>
  <c r="K1381" i="1"/>
  <c r="T1381" i="1" s="1"/>
  <c r="K1317" i="1"/>
  <c r="T1317" i="1" s="1"/>
  <c r="K1253" i="1"/>
  <c r="T1253" i="1" s="1"/>
  <c r="K664" i="1"/>
  <c r="T664" i="1" s="1"/>
  <c r="K1775" i="1"/>
  <c r="T1775" i="1" s="1"/>
  <c r="K1587" i="1"/>
  <c r="T1587" i="1" s="1"/>
  <c r="K1523" i="1"/>
  <c r="T1523" i="1" s="1"/>
  <c r="K1459" i="1"/>
  <c r="T1459" i="1" s="1"/>
  <c r="K1395" i="1"/>
  <c r="T1395" i="1" s="1"/>
  <c r="K1331" i="1"/>
  <c r="T1331" i="1" s="1"/>
  <c r="K1267" i="1"/>
  <c r="T1267" i="1" s="1"/>
  <c r="K1203" i="1"/>
  <c r="T1203" i="1" s="1"/>
  <c r="K2616" i="1"/>
  <c r="T2616" i="1" s="1"/>
  <c r="K1594" i="1"/>
  <c r="T1594" i="1" s="1"/>
  <c r="K1498" i="1"/>
  <c r="T1498" i="1" s="1"/>
  <c r="K1418" i="1"/>
  <c r="T1418" i="1" s="1"/>
  <c r="K1338" i="1"/>
  <c r="T1338" i="1" s="1"/>
  <c r="K1250" i="1"/>
  <c r="T1250" i="1" s="1"/>
  <c r="K1170" i="1"/>
  <c r="T1170" i="1" s="1"/>
  <c r="K1074" i="1"/>
  <c r="T1074" i="1" s="1"/>
  <c r="K994" i="1"/>
  <c r="T994" i="1" s="1"/>
  <c r="K906" i="1"/>
  <c r="T906" i="1" s="1"/>
  <c r="K818" i="1"/>
  <c r="T818" i="1" s="1"/>
  <c r="K658" i="1"/>
  <c r="T658" i="1" s="1"/>
  <c r="K1676" i="1"/>
  <c r="T1676" i="1" s="1"/>
  <c r="K1545" i="1"/>
  <c r="T1545" i="1" s="1"/>
  <c r="K1481" i="1"/>
  <c r="T1481" i="1" s="1"/>
  <c r="K1417" i="1"/>
  <c r="T1417" i="1" s="1"/>
  <c r="K1353" i="1"/>
  <c r="T1353" i="1" s="1"/>
  <c r="K1289" i="1"/>
  <c r="T1289" i="1" s="1"/>
  <c r="K1225" i="1"/>
  <c r="T1225" i="1" s="1"/>
  <c r="K1652" i="1"/>
  <c r="T1652" i="1" s="1"/>
  <c r="K1735" i="1"/>
  <c r="T1735" i="1" s="1"/>
  <c r="K1568" i="1"/>
  <c r="T1568" i="1" s="1"/>
  <c r="K1504" i="1"/>
  <c r="T1504" i="1" s="1"/>
  <c r="K1440" i="1"/>
  <c r="T1440" i="1" s="1"/>
  <c r="K1376" i="1"/>
  <c r="T1376" i="1" s="1"/>
  <c r="K1312" i="1"/>
  <c r="T1312" i="1" s="1"/>
  <c r="K1248" i="1"/>
  <c r="T1248" i="1" s="1"/>
  <c r="K1185" i="1"/>
  <c r="T1185" i="1" s="1"/>
  <c r="K1121" i="1"/>
  <c r="T1121" i="1" s="1"/>
  <c r="K1057" i="1"/>
  <c r="T1057" i="1" s="1"/>
  <c r="K993" i="1"/>
  <c r="T993" i="1" s="1"/>
  <c r="K929" i="1"/>
  <c r="T929" i="1" s="1"/>
  <c r="K865" i="1"/>
  <c r="T865" i="1" s="1"/>
  <c r="K801" i="1"/>
  <c r="T801" i="1" s="1"/>
  <c r="K536" i="1"/>
  <c r="T536" i="1" s="1"/>
  <c r="K21" i="1"/>
  <c r="T21" i="1" s="1"/>
  <c r="K125" i="1"/>
  <c r="T125" i="1" s="1"/>
  <c r="K1168" i="1"/>
  <c r="T1168" i="1" s="1"/>
  <c r="K1104" i="1"/>
  <c r="T1104" i="1" s="1"/>
  <c r="K1040" i="1"/>
  <c r="T1040" i="1" s="1"/>
  <c r="K976" i="1"/>
  <c r="T976" i="1" s="1"/>
  <c r="K1644" i="1"/>
  <c r="T1644" i="1" s="1"/>
  <c r="K1519" i="1"/>
  <c r="T1519" i="1" s="1"/>
  <c r="K1439" i="1"/>
  <c r="T1439" i="1" s="1"/>
  <c r="K1351" i="1"/>
  <c r="T1351" i="1" s="1"/>
  <c r="K1263" i="1"/>
  <c r="T1263" i="1" s="1"/>
  <c r="K1689" i="1"/>
  <c r="T1689" i="1" s="1"/>
  <c r="K1540" i="1"/>
  <c r="T1540" i="1" s="1"/>
  <c r="K1444" i="1"/>
  <c r="T1444" i="1" s="1"/>
  <c r="K1372" i="1"/>
  <c r="T1372" i="1" s="1"/>
  <c r="K1300" i="1"/>
  <c r="T1300" i="1" s="1"/>
  <c r="K1681" i="1"/>
  <c r="T1681" i="1" s="1"/>
  <c r="K1510" i="1"/>
  <c r="T1510" i="1" s="1"/>
  <c r="K1406" i="1"/>
  <c r="T1406" i="1" s="1"/>
  <c r="K1270" i="1"/>
  <c r="T1270" i="1" s="1"/>
  <c r="K1740" i="1"/>
  <c r="T1740" i="1" s="1"/>
  <c r="K1557" i="1"/>
  <c r="T1557" i="1" s="1"/>
  <c r="K1485" i="1"/>
  <c r="T1485" i="1" s="1"/>
  <c r="K1405" i="1"/>
  <c r="T1405" i="1" s="1"/>
  <c r="K1333" i="1"/>
  <c r="T1333" i="1" s="1"/>
  <c r="K1261" i="1"/>
  <c r="T1261" i="1" s="1"/>
  <c r="K1252" i="1"/>
  <c r="T1252" i="1" s="1"/>
  <c r="K1738" i="1"/>
  <c r="T1738" i="1" s="1"/>
  <c r="K1563" i="1"/>
  <c r="T1563" i="1" s="1"/>
  <c r="K1491" i="1"/>
  <c r="T1491" i="1" s="1"/>
  <c r="K1419" i="1"/>
  <c r="T1419" i="1" s="1"/>
  <c r="K1347" i="1"/>
  <c r="T1347" i="1" s="1"/>
  <c r="K1275" i="1"/>
  <c r="T1275" i="1" s="1"/>
  <c r="K541" i="1"/>
  <c r="T541" i="1" s="1"/>
  <c r="K1745" i="1"/>
  <c r="T1745" i="1" s="1"/>
  <c r="K1554" i="1"/>
  <c r="T1554" i="1" s="1"/>
  <c r="K1450" i="1"/>
  <c r="T1450" i="1" s="1"/>
  <c r="K1362" i="1"/>
  <c r="T1362" i="1" s="1"/>
  <c r="K1266" i="1"/>
  <c r="T1266" i="1" s="1"/>
  <c r="K1178" i="1"/>
  <c r="T1178" i="1" s="1"/>
  <c r="K1066" i="1"/>
  <c r="T1066" i="1" s="1"/>
  <c r="K970" i="1"/>
  <c r="T970" i="1" s="1"/>
  <c r="K882" i="1"/>
  <c r="T882" i="1" s="1"/>
  <c r="K744" i="1"/>
  <c r="S744" i="1" s="1"/>
  <c r="U744" i="1" s="1"/>
  <c r="K1736" i="1"/>
  <c r="S1736" i="1" s="1"/>
  <c r="U1736" i="1" s="1"/>
  <c r="K1561" i="1"/>
  <c r="T1561" i="1" s="1"/>
  <c r="K1489" i="1"/>
  <c r="T1489" i="1" s="1"/>
  <c r="K1409" i="1"/>
  <c r="T1409" i="1" s="1"/>
  <c r="K1337" i="1"/>
  <c r="T1337" i="1" s="1"/>
  <c r="K1265" i="1"/>
  <c r="T1265" i="1" s="1"/>
  <c r="K78" i="1"/>
  <c r="S78" i="1" s="1"/>
  <c r="U78" i="1" s="1"/>
  <c r="K1795" i="1"/>
  <c r="T1795" i="1" s="1"/>
  <c r="K1584" i="1"/>
  <c r="T1584" i="1" s="1"/>
  <c r="K1512" i="1"/>
  <c r="T1512" i="1" s="1"/>
  <c r="K1432" i="1"/>
  <c r="T1432" i="1" s="1"/>
  <c r="K1360" i="1"/>
  <c r="T1360" i="1" s="1"/>
  <c r="K1288" i="1"/>
  <c r="T1288" i="1" s="1"/>
  <c r="K1216" i="1"/>
  <c r="T1216" i="1" s="1"/>
  <c r="K1145" i="1"/>
  <c r="T1145" i="1" s="1"/>
  <c r="K1073" i="1"/>
  <c r="T1073" i="1" s="1"/>
  <c r="K1001" i="1"/>
  <c r="T1001" i="1" s="1"/>
  <c r="K921" i="1"/>
  <c r="T921" i="1" s="1"/>
  <c r="K849" i="1"/>
  <c r="T849" i="1" s="1"/>
  <c r="K743" i="1"/>
  <c r="S743" i="1" s="1"/>
  <c r="U743" i="1" s="1"/>
  <c r="K117" i="1"/>
  <c r="T117" i="1" s="1"/>
  <c r="K663" i="1"/>
  <c r="T663" i="1" s="1"/>
  <c r="K1184" i="1"/>
  <c r="T1184" i="1" s="1"/>
  <c r="K1112" i="1"/>
  <c r="T1112" i="1" s="1"/>
  <c r="K1032" i="1"/>
  <c r="T1032" i="1" s="1"/>
  <c r="K960" i="1"/>
  <c r="T960" i="1" s="1"/>
  <c r="K896" i="1"/>
  <c r="T896" i="1" s="1"/>
  <c r="K832" i="1"/>
  <c r="T832" i="1" s="1"/>
  <c r="K734" i="1"/>
  <c r="S734" i="1" s="1"/>
  <c r="U734" i="1" s="1"/>
  <c r="K31" i="1"/>
  <c r="T31" i="1" s="1"/>
  <c r="K531" i="1"/>
  <c r="T531" i="1" s="1"/>
  <c r="K1191" i="1"/>
  <c r="T1191" i="1" s="1"/>
  <c r="K1127" i="1"/>
  <c r="T1127" i="1" s="1"/>
  <c r="K1063" i="1"/>
  <c r="T1063" i="1" s="1"/>
  <c r="K999" i="1"/>
  <c r="T999" i="1" s="1"/>
  <c r="K935" i="1"/>
  <c r="T935" i="1" s="1"/>
  <c r="K871" i="1"/>
  <c r="T871" i="1" s="1"/>
  <c r="K807" i="1"/>
  <c r="T807" i="1" s="1"/>
  <c r="K1599" i="1"/>
  <c r="T1599" i="1" s="1"/>
  <c r="K1511" i="1"/>
  <c r="T1511" i="1" s="1"/>
  <c r="K1431" i="1"/>
  <c r="T1431" i="1" s="1"/>
  <c r="K1343" i="1"/>
  <c r="T1343" i="1" s="1"/>
  <c r="K1255" i="1"/>
  <c r="T1255" i="1" s="1"/>
  <c r="K1679" i="1"/>
  <c r="T1679" i="1" s="1"/>
  <c r="K1524" i="1"/>
  <c r="T1524" i="1" s="1"/>
  <c r="K1436" i="1"/>
  <c r="T1436" i="1" s="1"/>
  <c r="K1364" i="1"/>
  <c r="T1364" i="1" s="1"/>
  <c r="K1292" i="1"/>
  <c r="T1292" i="1" s="1"/>
  <c r="K1643" i="1"/>
  <c r="T1643" i="1" s="1"/>
  <c r="K1502" i="1"/>
  <c r="T1502" i="1" s="1"/>
  <c r="K1382" i="1"/>
  <c r="T1382" i="1" s="1"/>
  <c r="K1262" i="1"/>
  <c r="T1262" i="1" s="1"/>
  <c r="K1698" i="1"/>
  <c r="T1698" i="1" s="1"/>
  <c r="K1549" i="1"/>
  <c r="T1549" i="1" s="1"/>
  <c r="K1477" i="1"/>
  <c r="T1477" i="1" s="1"/>
  <c r="K1397" i="1"/>
  <c r="T1397" i="1" s="1"/>
  <c r="K1325" i="1"/>
  <c r="T1325" i="1" s="1"/>
  <c r="K1245" i="1"/>
  <c r="T1245" i="1" s="1"/>
  <c r="K1244" i="1"/>
  <c r="T1244" i="1" s="1"/>
  <c r="K1696" i="1"/>
  <c r="T1696" i="1" s="1"/>
  <c r="K1555" i="1"/>
  <c r="T1555" i="1" s="1"/>
  <c r="K1483" i="1"/>
  <c r="T1483" i="1" s="1"/>
  <c r="K1411" i="1"/>
  <c r="T1411" i="1" s="1"/>
  <c r="K1339" i="1"/>
  <c r="T1339" i="1" s="1"/>
  <c r="K1259" i="1"/>
  <c r="T1259" i="1" s="1"/>
  <c r="K2621" i="1"/>
  <c r="S2621" i="1" s="1"/>
  <c r="U2621" i="1" s="1"/>
  <c r="K1583" i="1"/>
  <c r="T1583" i="1" s="1"/>
  <c r="K1503" i="1"/>
  <c r="T1503" i="1" s="1"/>
  <c r="K1415" i="1"/>
  <c r="T1415" i="1" s="1"/>
  <c r="K1327" i="1"/>
  <c r="T1327" i="1" s="1"/>
  <c r="K1247" i="1"/>
  <c r="T1247" i="1" s="1"/>
  <c r="K1596" i="1"/>
  <c r="T1596" i="1" s="1"/>
  <c r="K1508" i="1"/>
  <c r="T1508" i="1" s="1"/>
  <c r="K1428" i="1"/>
  <c r="T1428" i="1" s="1"/>
  <c r="K1356" i="1"/>
  <c r="T1356" i="1" s="1"/>
  <c r="K1284" i="1"/>
  <c r="T1284" i="1" s="1"/>
  <c r="K2620" i="1"/>
  <c r="S2620" i="1" s="1"/>
  <c r="U2620" i="1" s="1"/>
  <c r="K1598" i="1"/>
  <c r="T1598" i="1" s="1"/>
  <c r="K1470" i="1"/>
  <c r="T1470" i="1" s="1"/>
  <c r="K1374" i="1"/>
  <c r="T1374" i="1" s="1"/>
  <c r="K1254" i="1"/>
  <c r="T1254" i="1" s="1"/>
  <c r="K1680" i="1"/>
  <c r="T1680" i="1" s="1"/>
  <c r="K1541" i="1"/>
  <c r="T1541" i="1" s="1"/>
  <c r="K1469" i="1"/>
  <c r="T1469" i="1" s="1"/>
  <c r="K1389" i="1"/>
  <c r="T1389" i="1" s="1"/>
  <c r="K1309" i="1"/>
  <c r="T1309" i="1" s="1"/>
  <c r="K1237" i="1"/>
  <c r="T1237" i="1" s="1"/>
  <c r="K1236" i="1"/>
  <c r="T1236" i="1" s="1"/>
  <c r="K1688" i="1"/>
  <c r="T1688" i="1" s="1"/>
  <c r="K1547" i="1"/>
  <c r="T1547" i="1" s="1"/>
  <c r="K1475" i="1"/>
  <c r="T1475" i="1" s="1"/>
  <c r="K1403" i="1"/>
  <c r="T1403" i="1" s="1"/>
  <c r="K2613" i="1"/>
  <c r="T2613" i="1" s="1"/>
  <c r="K1575" i="1"/>
  <c r="T1575" i="1" s="1"/>
  <c r="K1495" i="1"/>
  <c r="T1495" i="1" s="1"/>
  <c r="K1407" i="1"/>
  <c r="T1407" i="1" s="1"/>
  <c r="K1319" i="1"/>
  <c r="T1319" i="1" s="1"/>
  <c r="K1239" i="1"/>
  <c r="T1239" i="1" s="1"/>
  <c r="K1580" i="1"/>
  <c r="T1580" i="1" s="1"/>
  <c r="K1500" i="1"/>
  <c r="T1500" i="1" s="1"/>
  <c r="K1420" i="1"/>
  <c r="T1420" i="1" s="1"/>
  <c r="K1348" i="1"/>
  <c r="T1348" i="1" s="1"/>
  <c r="K1276" i="1"/>
  <c r="T1276" i="1" s="1"/>
  <c r="K2612" i="1"/>
  <c r="T2612" i="1" s="1"/>
  <c r="K1574" i="1"/>
  <c r="T1574" i="1" s="1"/>
  <c r="K1462" i="1"/>
  <c r="T1462" i="1" s="1"/>
  <c r="K1366" i="1"/>
  <c r="T1366" i="1" s="1"/>
  <c r="K1246" i="1"/>
  <c r="T1246" i="1" s="1"/>
  <c r="K1605" i="1"/>
  <c r="S1605" i="1" s="1"/>
  <c r="U1605" i="1" s="1"/>
  <c r="K1533" i="1"/>
  <c r="T1533" i="1" s="1"/>
  <c r="K1453" i="1"/>
  <c r="T1453" i="1" s="1"/>
  <c r="K1750" i="1"/>
  <c r="T1750" i="1" s="1"/>
  <c r="K1567" i="1"/>
  <c r="T1567" i="1" s="1"/>
  <c r="K1479" i="1"/>
  <c r="T1479" i="1" s="1"/>
  <c r="K1391" i="1"/>
  <c r="T1391" i="1" s="1"/>
  <c r="K1311" i="1"/>
  <c r="T1311" i="1" s="1"/>
  <c r="K1215" i="1"/>
  <c r="T1215" i="1" s="1"/>
  <c r="K2618" i="1"/>
  <c r="K1572" i="1"/>
  <c r="T1572" i="1" s="1"/>
  <c r="K1492" i="1"/>
  <c r="T1492" i="1" s="1"/>
  <c r="K1412" i="1"/>
  <c r="T1412" i="1" s="1"/>
  <c r="K1340" i="1"/>
  <c r="T1340" i="1" s="1"/>
  <c r="K1268" i="1"/>
  <c r="T1268" i="1" s="1"/>
  <c r="K1749" i="1"/>
  <c r="T1749" i="1" s="1"/>
  <c r="K1566" i="1"/>
  <c r="T1566" i="1" s="1"/>
  <c r="K1438" i="1"/>
  <c r="T1438" i="1" s="1"/>
  <c r="K1334" i="1"/>
  <c r="T1334" i="1" s="1"/>
  <c r="K1230" i="1"/>
  <c r="T1230" i="1" s="1"/>
  <c r="K1597" i="1"/>
  <c r="T1597" i="1" s="1"/>
  <c r="K1525" i="1"/>
  <c r="T1525" i="1" s="1"/>
  <c r="K1437" i="1"/>
  <c r="T1437" i="1" s="1"/>
  <c r="K1365" i="1"/>
  <c r="T1365" i="1" s="1"/>
  <c r="K1293" i="1"/>
  <c r="T1293" i="1" s="1"/>
  <c r="K1221" i="1"/>
  <c r="T1221" i="1" s="1"/>
  <c r="K1212" i="1"/>
  <c r="T1212" i="1" s="1"/>
  <c r="K1742" i="1"/>
  <c r="T1742" i="1" s="1"/>
  <c r="K1559" i="1"/>
  <c r="T1559" i="1" s="1"/>
  <c r="K1471" i="1"/>
  <c r="T1471" i="1" s="1"/>
  <c r="K1383" i="1"/>
  <c r="T1383" i="1" s="1"/>
  <c r="K1303" i="1"/>
  <c r="T1303" i="1" s="1"/>
  <c r="K1207" i="1"/>
  <c r="T1207" i="1" s="1"/>
  <c r="K1776" i="1"/>
  <c r="T1776" i="1" s="1"/>
  <c r="K1564" i="1"/>
  <c r="T1564" i="1" s="1"/>
  <c r="K1484" i="1"/>
  <c r="T1484" i="1" s="1"/>
  <c r="K1404" i="1"/>
  <c r="T1404" i="1" s="1"/>
  <c r="K1332" i="1"/>
  <c r="T1332" i="1" s="1"/>
  <c r="K1741" i="1"/>
  <c r="T1741" i="1" s="1"/>
  <c r="K1558" i="1"/>
  <c r="T1558" i="1" s="1"/>
  <c r="K1430" i="1"/>
  <c r="T1430" i="1" s="1"/>
  <c r="K1326" i="1"/>
  <c r="T1326" i="1" s="1"/>
  <c r="K1214" i="1"/>
  <c r="T1214" i="1" s="1"/>
  <c r="K1589" i="1"/>
  <c r="T1589" i="1" s="1"/>
  <c r="K1509" i="1"/>
  <c r="T1509" i="1" s="1"/>
  <c r="K1429" i="1"/>
  <c r="T1429" i="1" s="1"/>
  <c r="K1357" i="1"/>
  <c r="T1357" i="1" s="1"/>
  <c r="K1285" i="1"/>
  <c r="T1285" i="1" s="1"/>
  <c r="K1213" i="1"/>
  <c r="T1213" i="1" s="1"/>
  <c r="K1204" i="1"/>
  <c r="T1204" i="1" s="1"/>
  <c r="K1595" i="1"/>
  <c r="T1595" i="1" s="1"/>
  <c r="K1515" i="1"/>
  <c r="T1515" i="1" s="1"/>
  <c r="K1443" i="1"/>
  <c r="T1443" i="1" s="1"/>
  <c r="K1371" i="1"/>
  <c r="T1371" i="1" s="1"/>
  <c r="K1299" i="1"/>
  <c r="T1299" i="1" s="1"/>
  <c r="K1227" i="1"/>
  <c r="T1227" i="1" s="1"/>
  <c r="K238" i="1"/>
  <c r="T238" i="1" s="1"/>
  <c r="K1602" i="1"/>
  <c r="T1602" i="1" s="1"/>
  <c r="K1482" i="1"/>
  <c r="T1482" i="1" s="1"/>
  <c r="K1386" i="1"/>
  <c r="T1386" i="1" s="1"/>
  <c r="K1298" i="1"/>
  <c r="T1298" i="1" s="1"/>
  <c r="K1210" i="1"/>
  <c r="T1210" i="1" s="1"/>
  <c r="K1114" i="1"/>
  <c r="T1114" i="1" s="1"/>
  <c r="K1018" i="1"/>
  <c r="T1018" i="1" s="1"/>
  <c r="K922" i="1"/>
  <c r="T922" i="1" s="1"/>
  <c r="K810" i="1"/>
  <c r="T810" i="1" s="1"/>
  <c r="K2615" i="1"/>
  <c r="S2615" i="1" s="1"/>
  <c r="U2615" i="1" s="1"/>
  <c r="K1585" i="1"/>
  <c r="T1585" i="1" s="1"/>
  <c r="K1513" i="1"/>
  <c r="T1513" i="1" s="1"/>
  <c r="K1441" i="1"/>
  <c r="T1441" i="1" s="1"/>
  <c r="K1369" i="1"/>
  <c r="T1369" i="1" s="1"/>
  <c r="K1297" i="1"/>
  <c r="T1297" i="1" s="1"/>
  <c r="K1217" i="1"/>
  <c r="T1217" i="1" s="1"/>
  <c r="K665" i="1"/>
  <c r="T665" i="1" s="1"/>
  <c r="K1653" i="1"/>
  <c r="T1653" i="1" s="1"/>
  <c r="K1536" i="1"/>
  <c r="T1536" i="1" s="1"/>
  <c r="K1464" i="1"/>
  <c r="T1464" i="1" s="1"/>
  <c r="K1392" i="1"/>
  <c r="T1392" i="1" s="1"/>
  <c r="K1320" i="1"/>
  <c r="T1320" i="1" s="1"/>
  <c r="K1240" i="1"/>
  <c r="T1240" i="1" s="1"/>
  <c r="K1169" i="1"/>
  <c r="T1169" i="1" s="1"/>
  <c r="K1097" i="1"/>
  <c r="T1097" i="1" s="1"/>
  <c r="K1025" i="1"/>
  <c r="T1025" i="1" s="1"/>
  <c r="K953" i="1"/>
  <c r="T953" i="1" s="1"/>
  <c r="K881" i="1"/>
  <c r="T881" i="1" s="1"/>
  <c r="K809" i="1"/>
  <c r="T809" i="1" s="1"/>
  <c r="K469" i="1"/>
  <c r="T469" i="1" s="1"/>
  <c r="K1779" i="1"/>
  <c r="T1779" i="1" s="1"/>
  <c r="K1208" i="1"/>
  <c r="T1208" i="1" s="1"/>
  <c r="K1136" i="1"/>
  <c r="T1136" i="1" s="1"/>
  <c r="K1064" i="1"/>
  <c r="T1064" i="1" s="1"/>
  <c r="K992" i="1"/>
  <c r="T992" i="1" s="1"/>
  <c r="K920" i="1"/>
  <c r="T920" i="1" s="1"/>
  <c r="K856" i="1"/>
  <c r="T856" i="1" s="1"/>
  <c r="K792" i="1"/>
  <c r="T792" i="1" s="1"/>
  <c r="K86" i="1"/>
  <c r="T86" i="1" s="1"/>
  <c r="K662" i="1"/>
  <c r="T662" i="1" s="1"/>
  <c r="K114" i="1"/>
  <c r="T114" i="1" s="1"/>
  <c r="K1151" i="1"/>
  <c r="T1151" i="1" s="1"/>
  <c r="K1087" i="1"/>
  <c r="T1087" i="1" s="1"/>
  <c r="K1023" i="1"/>
  <c r="T1023" i="1" s="1"/>
  <c r="K959" i="1"/>
  <c r="T959" i="1" s="1"/>
  <c r="K895" i="1"/>
  <c r="T895" i="1" s="1"/>
  <c r="K831" i="1"/>
  <c r="T831" i="1" s="1"/>
  <c r="K733" i="1"/>
  <c r="S733" i="1" s="1"/>
  <c r="U733" i="1" s="1"/>
  <c r="K129" i="1"/>
  <c r="T129" i="1" s="1"/>
  <c r="K490" i="1"/>
  <c r="K1150" i="1"/>
  <c r="T1150" i="1" s="1"/>
  <c r="K1030" i="1"/>
  <c r="T1030" i="1" s="1"/>
  <c r="K886" i="1"/>
  <c r="T886" i="1" s="1"/>
  <c r="K782" i="1"/>
  <c r="T782" i="1" s="1"/>
  <c r="K82" i="1"/>
  <c r="T82" i="1" s="1"/>
  <c r="K660" i="1"/>
  <c r="T660" i="1" s="1"/>
  <c r="K85" i="1"/>
  <c r="T85" i="1" s="1"/>
  <c r="K1141" i="1"/>
  <c r="T1141" i="1" s="1"/>
  <c r="K1077" i="1"/>
  <c r="T1077" i="1" s="1"/>
  <c r="K1013" i="1"/>
  <c r="T1013" i="1" s="1"/>
  <c r="K949" i="1"/>
  <c r="T949" i="1" s="1"/>
  <c r="K885" i="1"/>
  <c r="T885" i="1" s="1"/>
  <c r="K821" i="1"/>
  <c r="T821" i="1" s="1"/>
  <c r="K681" i="1"/>
  <c r="K36" i="1"/>
  <c r="T36" i="1" s="1"/>
  <c r="K524" i="1"/>
  <c r="T524" i="1" s="1"/>
  <c r="K1196" i="1"/>
  <c r="T1196" i="1" s="1"/>
  <c r="K1124" i="1"/>
  <c r="T1124" i="1" s="1"/>
  <c r="K1060" i="1"/>
  <c r="T1060" i="1" s="1"/>
  <c r="K988" i="1"/>
  <c r="T988" i="1" s="1"/>
  <c r="K908" i="1"/>
  <c r="T908" i="1" s="1"/>
  <c r="K836" i="1"/>
  <c r="T836" i="1" s="1"/>
  <c r="K730" i="1"/>
  <c r="T730" i="1" s="1"/>
  <c r="K80" i="1"/>
  <c r="T80" i="1" s="1"/>
  <c r="K196" i="1"/>
  <c r="T196" i="1" s="1"/>
  <c r="K1147" i="1"/>
  <c r="T1147" i="1" s="1"/>
  <c r="K1083" i="1"/>
  <c r="T1083" i="1" s="1"/>
  <c r="K1019" i="1"/>
  <c r="T1019" i="1" s="1"/>
  <c r="K955" i="1"/>
  <c r="T955" i="1" s="1"/>
  <c r="K891" i="1"/>
  <c r="T891" i="1" s="1"/>
  <c r="K827" i="1"/>
  <c r="T827" i="1" s="1"/>
  <c r="K729" i="1"/>
  <c r="T729" i="1" s="1"/>
  <c r="K70" i="1"/>
  <c r="T70" i="1" s="1"/>
  <c r="K1700" i="1"/>
  <c r="T1700" i="1" s="1"/>
  <c r="K1543" i="1"/>
  <c r="T1543" i="1" s="1"/>
  <c r="K1476" i="1"/>
  <c r="T1476" i="1" s="1"/>
  <c r="K1699" i="1"/>
  <c r="T1699" i="1" s="1"/>
  <c r="K2619" i="1"/>
  <c r="S2619" i="1" s="1"/>
  <c r="U2619" i="1" s="1"/>
  <c r="K1373" i="1"/>
  <c r="T1373" i="1" s="1"/>
  <c r="K76" i="1"/>
  <c r="T76" i="1" s="1"/>
  <c r="K1539" i="1"/>
  <c r="T1539" i="1" s="1"/>
  <c r="K1387" i="1"/>
  <c r="T1387" i="1" s="1"/>
  <c r="K1283" i="1"/>
  <c r="T1283" i="1" s="1"/>
  <c r="K542" i="1"/>
  <c r="T542" i="1" s="1"/>
  <c r="K1570" i="1"/>
  <c r="T1570" i="1" s="1"/>
  <c r="K1442" i="1"/>
  <c r="T1442" i="1" s="1"/>
  <c r="K1314" i="1"/>
  <c r="T1314" i="1" s="1"/>
  <c r="K1194" i="1"/>
  <c r="T1194" i="1" s="1"/>
  <c r="K1058" i="1"/>
  <c r="T1058" i="1" s="1"/>
  <c r="K946" i="1"/>
  <c r="T946" i="1" s="1"/>
  <c r="K802" i="1"/>
  <c r="T802" i="1" s="1"/>
  <c r="K1694" i="1"/>
  <c r="T1694" i="1" s="1"/>
  <c r="K1529" i="1"/>
  <c r="T1529" i="1" s="1"/>
  <c r="K1433" i="1"/>
  <c r="T1433" i="1" s="1"/>
  <c r="K1329" i="1"/>
  <c r="T1329" i="1" s="1"/>
  <c r="K1241" i="1"/>
  <c r="T1241" i="1" s="1"/>
  <c r="K2622" i="1"/>
  <c r="S2622" i="1" s="1"/>
  <c r="U2622" i="1" s="1"/>
  <c r="K1576" i="1"/>
  <c r="T1576" i="1" s="1"/>
  <c r="K1480" i="1"/>
  <c r="T1480" i="1" s="1"/>
  <c r="K1384" i="1"/>
  <c r="T1384" i="1" s="1"/>
  <c r="K1280" i="1"/>
  <c r="T1280" i="1" s="1"/>
  <c r="K1193" i="1"/>
  <c r="T1193" i="1" s="1"/>
  <c r="K1089" i="1"/>
  <c r="T1089" i="1" s="1"/>
  <c r="K985" i="1"/>
  <c r="T985" i="1" s="1"/>
  <c r="K897" i="1"/>
  <c r="T897" i="1" s="1"/>
  <c r="K793" i="1"/>
  <c r="T793" i="1" s="1"/>
  <c r="K77" i="1"/>
  <c r="K116" i="1"/>
  <c r="T116" i="1" s="1"/>
  <c r="K1128" i="1"/>
  <c r="T1128" i="1" s="1"/>
  <c r="K1024" i="1"/>
  <c r="T1024" i="1" s="1"/>
  <c r="K936" i="1"/>
  <c r="T936" i="1" s="1"/>
  <c r="K848" i="1"/>
  <c r="T848" i="1" s="1"/>
  <c r="K529" i="1"/>
  <c r="T529" i="1" s="1"/>
  <c r="K1640" i="1"/>
  <c r="T1640" i="1" s="1"/>
  <c r="K28" i="1"/>
  <c r="T28" i="1" s="1"/>
  <c r="K1119" i="1"/>
  <c r="T1119" i="1" s="1"/>
  <c r="K1039" i="1"/>
  <c r="T1039" i="1" s="1"/>
  <c r="K951" i="1"/>
  <c r="T951" i="1" s="1"/>
  <c r="K863" i="1"/>
  <c r="T863" i="1" s="1"/>
  <c r="K783" i="1"/>
  <c r="T783" i="1" s="1"/>
  <c r="K184" i="1"/>
  <c r="T184" i="1" s="1"/>
  <c r="K439" i="1"/>
  <c r="T439" i="1" s="1"/>
  <c r="K1126" i="1"/>
  <c r="T1126" i="1" s="1"/>
  <c r="K966" i="1"/>
  <c r="T966" i="1" s="1"/>
  <c r="K830" i="1"/>
  <c r="T830" i="1" s="1"/>
  <c r="K237" i="1"/>
  <c r="T237" i="1" s="1"/>
  <c r="K1647" i="1"/>
  <c r="T1647" i="1" s="1"/>
  <c r="K135" i="1"/>
  <c r="T135" i="1" s="1"/>
  <c r="K1133" i="1"/>
  <c r="T1133" i="1" s="1"/>
  <c r="K1061" i="1"/>
  <c r="T1061" i="1" s="1"/>
  <c r="K989" i="1"/>
  <c r="T989" i="1" s="1"/>
  <c r="K917" i="1"/>
  <c r="T917" i="1" s="1"/>
  <c r="K845" i="1"/>
  <c r="T845" i="1" s="1"/>
  <c r="K739" i="1"/>
  <c r="T739" i="1" s="1"/>
  <c r="K72" i="1"/>
  <c r="T72" i="1" s="1"/>
  <c r="K249" i="1"/>
  <c r="T249" i="1" s="1"/>
  <c r="K1180" i="1"/>
  <c r="T1180" i="1" s="1"/>
  <c r="K1100" i="1"/>
  <c r="T1100" i="1" s="1"/>
  <c r="K1020" i="1"/>
  <c r="T1020" i="1" s="1"/>
  <c r="K948" i="1"/>
  <c r="T948" i="1" s="1"/>
  <c r="K852" i="1"/>
  <c r="T852" i="1" s="1"/>
  <c r="K738" i="1"/>
  <c r="T738" i="1" s="1"/>
  <c r="K71" i="1"/>
  <c r="K1195" i="1"/>
  <c r="T1195" i="1" s="1"/>
  <c r="K1123" i="1"/>
  <c r="T1123" i="1" s="1"/>
  <c r="K1051" i="1"/>
  <c r="T1051" i="1" s="1"/>
  <c r="K979" i="1"/>
  <c r="T979" i="1" s="1"/>
  <c r="K907" i="1"/>
  <c r="T907" i="1" s="1"/>
  <c r="K835" i="1"/>
  <c r="T835" i="1" s="1"/>
  <c r="K679" i="1"/>
  <c r="T679" i="1" s="1"/>
  <c r="K23" i="1"/>
  <c r="T23" i="1" s="1"/>
  <c r="K1455" i="1"/>
  <c r="T1455" i="1" s="1"/>
  <c r="K1396" i="1"/>
  <c r="T1396" i="1" s="1"/>
  <c r="K1534" i="1"/>
  <c r="T1534" i="1" s="1"/>
  <c r="K1573" i="1"/>
  <c r="T1573" i="1" s="1"/>
  <c r="K1341" i="1"/>
  <c r="T1341" i="1" s="1"/>
  <c r="K2617" i="1"/>
  <c r="T2617" i="1" s="1"/>
  <c r="K1507" i="1"/>
  <c r="T1507" i="1" s="1"/>
  <c r="K1363" i="1"/>
  <c r="T1363" i="1" s="1"/>
  <c r="K1243" i="1"/>
  <c r="T1243" i="1" s="1"/>
  <c r="K2624" i="1"/>
  <c r="S2624" i="1" s="1"/>
  <c r="U2624" i="1" s="1"/>
  <c r="K1546" i="1"/>
  <c r="T1546" i="1" s="1"/>
  <c r="K1426" i="1"/>
  <c r="T1426" i="1" s="1"/>
  <c r="K1290" i="1"/>
  <c r="T1290" i="1" s="1"/>
  <c r="K1154" i="1"/>
  <c r="T1154" i="1" s="1"/>
  <c r="K1034" i="1"/>
  <c r="T1034" i="1" s="1"/>
  <c r="K898" i="1"/>
  <c r="T898" i="1" s="1"/>
  <c r="K736" i="1"/>
  <c r="S736" i="1" s="1"/>
  <c r="U736" i="1" s="1"/>
  <c r="K1601" i="1"/>
  <c r="T1601" i="1" s="1"/>
  <c r="K1505" i="1"/>
  <c r="T1505" i="1" s="1"/>
  <c r="K1401" i="1"/>
  <c r="T1401" i="1" s="1"/>
  <c r="K1313" i="1"/>
  <c r="T1313" i="1" s="1"/>
  <c r="K133" i="1"/>
  <c r="T133" i="1" s="1"/>
  <c r="K1772" i="1"/>
  <c r="S1772" i="1" s="1"/>
  <c r="U1772" i="1" s="1"/>
  <c r="K1552" i="1"/>
  <c r="T1552" i="1" s="1"/>
  <c r="K1456" i="1"/>
  <c r="T1456" i="1" s="1"/>
  <c r="K1352" i="1"/>
  <c r="T1352" i="1" s="1"/>
  <c r="K1264" i="1"/>
  <c r="T1264" i="1" s="1"/>
  <c r="K1161" i="1"/>
  <c r="T1161" i="1" s="1"/>
  <c r="K1065" i="1"/>
  <c r="T1065" i="1" s="1"/>
  <c r="K969" i="1"/>
  <c r="T969" i="1" s="1"/>
  <c r="K873" i="1"/>
  <c r="T873" i="1" s="1"/>
  <c r="K735" i="1"/>
  <c r="T735" i="1" s="1"/>
  <c r="K32" i="1"/>
  <c r="T32" i="1" s="1"/>
  <c r="K1200" i="1"/>
  <c r="T1200" i="1" s="1"/>
  <c r="K1096" i="1"/>
  <c r="T1096" i="1" s="1"/>
  <c r="K1008" i="1"/>
  <c r="T1008" i="1" s="1"/>
  <c r="K912" i="1"/>
  <c r="T912" i="1" s="1"/>
  <c r="K824" i="1"/>
  <c r="T824" i="1" s="1"/>
  <c r="K244" i="1"/>
  <c r="T244" i="1" s="1"/>
  <c r="K564" i="1"/>
  <c r="T564" i="1" s="1"/>
  <c r="K1183" i="1"/>
  <c r="T1183" i="1" s="1"/>
  <c r="K1103" i="1"/>
  <c r="T1103" i="1" s="1"/>
  <c r="K1015" i="1"/>
  <c r="T1015" i="1" s="1"/>
  <c r="K927" i="1"/>
  <c r="T927" i="1" s="1"/>
  <c r="K847" i="1"/>
  <c r="T847" i="1" s="1"/>
  <c r="K683" i="1"/>
  <c r="T683" i="1" s="1"/>
  <c r="K74" i="1"/>
  <c r="T74" i="1" s="1"/>
  <c r="K233" i="1"/>
  <c r="T233" i="1" s="1"/>
  <c r="K1086" i="1"/>
  <c r="T1086" i="1" s="1"/>
  <c r="K934" i="1"/>
  <c r="T934" i="1" s="1"/>
  <c r="K806" i="1"/>
  <c r="T806" i="1" s="1"/>
  <c r="K128" i="1"/>
  <c r="T128" i="1" s="1"/>
  <c r="K570" i="1"/>
  <c r="T570" i="1" s="1"/>
  <c r="K1189" i="1"/>
  <c r="T1189" i="1" s="1"/>
  <c r="K1117" i="1"/>
  <c r="T1117" i="1" s="1"/>
  <c r="K1045" i="1"/>
  <c r="T1045" i="1" s="1"/>
  <c r="K973" i="1"/>
  <c r="T973" i="1" s="1"/>
  <c r="K901" i="1"/>
  <c r="T901" i="1" s="1"/>
  <c r="K829" i="1"/>
  <c r="T829" i="1" s="1"/>
  <c r="K1692" i="1"/>
  <c r="T1692" i="1" s="1"/>
  <c r="K1697" i="1"/>
  <c r="T1697" i="1" s="1"/>
  <c r="K1565" i="1"/>
  <c r="T1565" i="1" s="1"/>
  <c r="K1269" i="1"/>
  <c r="T1269" i="1" s="1"/>
  <c r="K1571" i="1"/>
  <c r="T1571" i="1" s="1"/>
  <c r="K1355" i="1"/>
  <c r="T1355" i="1" s="1"/>
  <c r="K1211" i="1"/>
  <c r="T1211" i="1" s="1"/>
  <c r="K1677" i="1"/>
  <c r="T1677" i="1" s="1"/>
  <c r="K1394" i="1"/>
  <c r="T1394" i="1" s="1"/>
  <c r="K1242" i="1"/>
  <c r="T1242" i="1" s="1"/>
  <c r="K1082" i="1"/>
  <c r="T1082" i="1" s="1"/>
  <c r="K890" i="1"/>
  <c r="T890" i="1" s="1"/>
  <c r="K2623" i="1"/>
  <c r="S2623" i="1" s="1"/>
  <c r="U2623" i="1" s="1"/>
  <c r="K1537" i="1"/>
  <c r="T1537" i="1" s="1"/>
  <c r="K1393" i="1"/>
  <c r="T1393" i="1" s="1"/>
  <c r="K1273" i="1"/>
  <c r="T1273" i="1" s="1"/>
  <c r="K1642" i="1"/>
  <c r="T1642" i="1" s="1"/>
  <c r="K1544" i="1"/>
  <c r="T1544" i="1" s="1"/>
  <c r="K1416" i="1"/>
  <c r="T1416" i="1" s="1"/>
  <c r="K1296" i="1"/>
  <c r="T1296" i="1" s="1"/>
  <c r="K1153" i="1"/>
  <c r="T1153" i="1" s="1"/>
  <c r="K1033" i="1"/>
  <c r="T1033" i="1" s="1"/>
  <c r="K905" i="1"/>
  <c r="T905" i="1" s="1"/>
  <c r="K685" i="1"/>
  <c r="T685" i="1" s="1"/>
  <c r="K672" i="1"/>
  <c r="T672" i="1" s="1"/>
  <c r="K1144" i="1"/>
  <c r="T1144" i="1" s="1"/>
  <c r="K1000" i="1"/>
  <c r="T1000" i="1" s="1"/>
  <c r="K880" i="1"/>
  <c r="T880" i="1" s="1"/>
  <c r="K742" i="1"/>
  <c r="T742" i="1" s="1"/>
  <c r="K540" i="1"/>
  <c r="T540" i="1" s="1"/>
  <c r="K1159" i="1"/>
  <c r="T1159" i="1" s="1"/>
  <c r="K1047" i="1"/>
  <c r="T1047" i="1" s="1"/>
  <c r="K919" i="1"/>
  <c r="T919" i="1" s="1"/>
  <c r="K815" i="1"/>
  <c r="T815" i="1" s="1"/>
  <c r="K240" i="1"/>
  <c r="T240" i="1" s="1"/>
  <c r="K1206" i="1"/>
  <c r="T1206" i="1" s="1"/>
  <c r="K1038" i="1"/>
  <c r="T1038" i="1" s="1"/>
  <c r="K838" i="1"/>
  <c r="T838" i="1" s="1"/>
  <c r="K73" i="1"/>
  <c r="T73" i="1" s="1"/>
  <c r="K250" i="1"/>
  <c r="T250" i="1" s="1"/>
  <c r="K1149" i="1"/>
  <c r="T1149" i="1" s="1"/>
  <c r="K1037" i="1"/>
  <c r="T1037" i="1" s="1"/>
  <c r="K941" i="1"/>
  <c r="T941" i="1" s="1"/>
  <c r="K853" i="1"/>
  <c r="T853" i="1" s="1"/>
  <c r="K673" i="1"/>
  <c r="T673" i="1" s="1"/>
  <c r="K1646" i="1"/>
  <c r="T1646" i="1" s="1"/>
  <c r="K25" i="1"/>
  <c r="T25" i="1" s="1"/>
  <c r="K1132" i="1"/>
  <c r="T1132" i="1" s="1"/>
  <c r="K1044" i="1"/>
  <c r="T1044" i="1" s="1"/>
  <c r="K956" i="1"/>
  <c r="T956" i="1" s="1"/>
  <c r="K844" i="1"/>
  <c r="T844" i="1" s="1"/>
  <c r="K670" i="1"/>
  <c r="T670" i="1" s="1"/>
  <c r="K1654" i="1"/>
  <c r="T1654" i="1" s="1"/>
  <c r="K1163" i="1"/>
  <c r="T1163" i="1" s="1"/>
  <c r="K1075" i="1"/>
  <c r="T1075" i="1" s="1"/>
  <c r="K995" i="1"/>
  <c r="T995" i="1" s="1"/>
  <c r="K915" i="1"/>
  <c r="T915" i="1" s="1"/>
  <c r="K819" i="1"/>
  <c r="T819" i="1" s="1"/>
  <c r="K485" i="1"/>
  <c r="K247" i="1"/>
  <c r="T247" i="1" s="1"/>
  <c r="K1535" i="1"/>
  <c r="T1535" i="1" s="1"/>
  <c r="K1556" i="1"/>
  <c r="T1556" i="1" s="1"/>
  <c r="K1691" i="1"/>
  <c r="T1691" i="1" s="1"/>
  <c r="K1501" i="1"/>
  <c r="T1501" i="1" s="1"/>
  <c r="K1229" i="1"/>
  <c r="T1229" i="1" s="1"/>
  <c r="K1531" i="1"/>
  <c r="T1531" i="1" s="1"/>
  <c r="K1323" i="1"/>
  <c r="T1323" i="1" s="1"/>
  <c r="K1447" i="1"/>
  <c r="T1447" i="1" s="1"/>
  <c r="K1548" i="1"/>
  <c r="T1548" i="1" s="1"/>
  <c r="K1518" i="1"/>
  <c r="T1518" i="1" s="1"/>
  <c r="K1493" i="1"/>
  <c r="T1493" i="1" s="1"/>
  <c r="K1205" i="1"/>
  <c r="T1205" i="1" s="1"/>
  <c r="K1499" i="1"/>
  <c r="T1499" i="1" s="1"/>
  <c r="K1315" i="1"/>
  <c r="T1315" i="1" s="1"/>
  <c r="K566" i="1"/>
  <c r="T566" i="1" s="1"/>
  <c r="K1522" i="1"/>
  <c r="T1522" i="1" s="1"/>
  <c r="K1375" i="1"/>
  <c r="T1375" i="1" s="1"/>
  <c r="K1468" i="1"/>
  <c r="T1468" i="1" s="1"/>
  <c r="K1422" i="1"/>
  <c r="T1422" i="1" s="1"/>
  <c r="K1421" i="1"/>
  <c r="T1421" i="1" s="1"/>
  <c r="K1220" i="1"/>
  <c r="T1220" i="1" s="1"/>
  <c r="K1467" i="1"/>
  <c r="T1467" i="1" s="1"/>
  <c r="K1307" i="1"/>
  <c r="T1307" i="1" s="1"/>
  <c r="K246" i="1"/>
  <c r="T246" i="1" s="1"/>
  <c r="K1514" i="1"/>
  <c r="T1514" i="1" s="1"/>
  <c r="K1367" i="1"/>
  <c r="T1367" i="1" s="1"/>
  <c r="K1380" i="1"/>
  <c r="T1380" i="1" s="1"/>
  <c r="K1414" i="1"/>
  <c r="T1414" i="1" s="1"/>
  <c r="K1413" i="1"/>
  <c r="T1413" i="1" s="1"/>
  <c r="K1746" i="1"/>
  <c r="K1451" i="1"/>
  <c r="T1451" i="1" s="1"/>
  <c r="K1291" i="1"/>
  <c r="T1291" i="1" s="1"/>
  <c r="K1774" i="1"/>
  <c r="K1506" i="1"/>
  <c r="T1506" i="1" s="1"/>
  <c r="K1287" i="1"/>
  <c r="T1287" i="1" s="1"/>
  <c r="K1316" i="1"/>
  <c r="T1316" i="1" s="1"/>
  <c r="K1318" i="1"/>
  <c r="T1318" i="1" s="1"/>
  <c r="K1349" i="1"/>
  <c r="T1349" i="1" s="1"/>
  <c r="K1678" i="1"/>
  <c r="T1678" i="1" s="1"/>
  <c r="K1435" i="1"/>
  <c r="T1435" i="1" s="1"/>
  <c r="K1251" i="1"/>
  <c r="T1251" i="1" s="1"/>
  <c r="K1737" i="1"/>
  <c r="T1737" i="1" s="1"/>
  <c r="K1474" i="1"/>
  <c r="T1474" i="1" s="1"/>
  <c r="K1306" i="1"/>
  <c r="T1306" i="1" s="1"/>
  <c r="K1138" i="1"/>
  <c r="T1138" i="1" s="1"/>
  <c r="K962" i="1"/>
  <c r="T962" i="1" s="1"/>
  <c r="K794" i="1"/>
  <c r="T794" i="1" s="1"/>
  <c r="K1577" i="1"/>
  <c r="T1577" i="1" s="1"/>
  <c r="K1457" i="1"/>
  <c r="T1457" i="1" s="1"/>
  <c r="K1321" i="1"/>
  <c r="T1321" i="1" s="1"/>
  <c r="K22" i="1"/>
  <c r="S22" i="1" s="1"/>
  <c r="U22" i="1" s="1"/>
  <c r="K1600" i="1"/>
  <c r="T1600" i="1" s="1"/>
  <c r="K1472" i="1"/>
  <c r="T1472" i="1" s="1"/>
  <c r="K1336" i="1"/>
  <c r="T1336" i="1" s="1"/>
  <c r="K1209" i="1"/>
  <c r="T1209" i="1" s="1"/>
  <c r="K1081" i="1"/>
  <c r="T1081" i="1" s="1"/>
  <c r="K945" i="1"/>
  <c r="T945" i="1" s="1"/>
  <c r="K825" i="1"/>
  <c r="T825" i="1" s="1"/>
  <c r="K40" i="1"/>
  <c r="T40" i="1" s="1"/>
  <c r="K1176" i="1"/>
  <c r="T1176" i="1" s="1"/>
  <c r="K1056" i="1"/>
  <c r="T1056" i="1" s="1"/>
  <c r="K928" i="1"/>
  <c r="T928" i="1" s="1"/>
  <c r="K808" i="1"/>
  <c r="T808" i="1" s="1"/>
  <c r="K1787" i="1"/>
  <c r="T1787" i="1" s="1"/>
  <c r="K1199" i="1"/>
  <c r="T1199" i="1" s="1"/>
  <c r="K1079" i="1"/>
  <c r="T1079" i="1" s="1"/>
  <c r="K975" i="1"/>
  <c r="T975" i="1" s="1"/>
  <c r="K855" i="1"/>
  <c r="T855" i="1" s="1"/>
  <c r="K568" i="1"/>
  <c r="T568" i="1" s="1"/>
  <c r="K539" i="1"/>
  <c r="T539" i="1" s="1"/>
  <c r="K1094" i="1"/>
  <c r="T1094" i="1" s="1"/>
  <c r="K902" i="1"/>
  <c r="T902" i="1" s="1"/>
  <c r="K565" i="1"/>
  <c r="T565" i="1" s="1"/>
  <c r="K669" i="1"/>
  <c r="T669" i="1" s="1"/>
  <c r="K1173" i="1"/>
  <c r="T1173" i="1" s="1"/>
  <c r="K1085" i="1"/>
  <c r="T1085" i="1" s="1"/>
  <c r="K981" i="1"/>
  <c r="T981" i="1" s="1"/>
  <c r="K877" i="1"/>
  <c r="T877" i="1" s="1"/>
  <c r="K789" i="1"/>
  <c r="T789" i="1" s="1"/>
  <c r="K127" i="1"/>
  <c r="T127" i="1" s="1"/>
  <c r="K241" i="1"/>
  <c r="T241" i="1" s="1"/>
  <c r="K1164" i="1"/>
  <c r="T1164" i="1" s="1"/>
  <c r="K1076" i="1"/>
  <c r="T1076" i="1" s="1"/>
  <c r="K980" i="1"/>
  <c r="T980" i="1" s="1"/>
  <c r="K884" i="1"/>
  <c r="T884" i="1" s="1"/>
  <c r="K788" i="1"/>
  <c r="T788" i="1" s="1"/>
  <c r="K126" i="1"/>
  <c r="T126" i="1" s="1"/>
  <c r="K1187" i="1"/>
  <c r="T1187" i="1" s="1"/>
  <c r="K1107" i="1"/>
  <c r="T1107" i="1" s="1"/>
  <c r="K1027" i="1"/>
  <c r="T1027" i="1" s="1"/>
  <c r="K939" i="1"/>
  <c r="T939" i="1" s="1"/>
  <c r="K859" i="1"/>
  <c r="T859" i="1" s="1"/>
  <c r="K745" i="1"/>
  <c r="T745" i="1" s="1"/>
  <c r="K34" i="1"/>
  <c r="S34" i="1" s="1"/>
  <c r="U34" i="1" s="1"/>
  <c r="K1279" i="1"/>
  <c r="T1279" i="1" s="1"/>
  <c r="K1308" i="1"/>
  <c r="T1308" i="1" s="1"/>
  <c r="K1310" i="1"/>
  <c r="T1310" i="1" s="1"/>
  <c r="K1301" i="1"/>
  <c r="T1301" i="1" s="1"/>
  <c r="K1603" i="1"/>
  <c r="T1603" i="1" s="1"/>
  <c r="K1427" i="1"/>
  <c r="T1427" i="1" s="1"/>
  <c r="K1235" i="1"/>
  <c r="T1235" i="1" s="1"/>
  <c r="K1695" i="1"/>
  <c r="T1695" i="1" s="1"/>
  <c r="K1466" i="1"/>
  <c r="T1466" i="1" s="1"/>
  <c r="K1274" i="1"/>
  <c r="T1274" i="1" s="1"/>
  <c r="K1122" i="1"/>
  <c r="T1122" i="1" s="1"/>
  <c r="K954" i="1"/>
  <c r="T954" i="1" s="1"/>
  <c r="K728" i="1"/>
  <c r="T728" i="1" s="1"/>
  <c r="K1569" i="1"/>
  <c r="T1569" i="1" s="1"/>
  <c r="K1449" i="1"/>
  <c r="T1449" i="1" s="1"/>
  <c r="K1305" i="1"/>
  <c r="T1305" i="1" s="1"/>
  <c r="K1789" i="1"/>
  <c r="T1789" i="1" s="1"/>
  <c r="K1592" i="1"/>
  <c r="T1592" i="1" s="1"/>
  <c r="K1448" i="1"/>
  <c r="T1448" i="1" s="1"/>
  <c r="K1328" i="1"/>
  <c r="T1328" i="1" s="1"/>
  <c r="K1201" i="1"/>
  <c r="T1201" i="1" s="1"/>
  <c r="K1049" i="1"/>
  <c r="T1049" i="1" s="1"/>
  <c r="K937" i="1"/>
  <c r="T937" i="1" s="1"/>
  <c r="K817" i="1"/>
  <c r="T817" i="1" s="1"/>
  <c r="K1788" i="1"/>
  <c r="T1788" i="1" s="1"/>
  <c r="K1160" i="1"/>
  <c r="T1160" i="1" s="1"/>
  <c r="K1048" i="1"/>
  <c r="T1048" i="1" s="1"/>
  <c r="K904" i="1"/>
  <c r="T904" i="1" s="1"/>
  <c r="K800" i="1"/>
  <c r="T800" i="1" s="1"/>
  <c r="K1778" i="1"/>
  <c r="T1778" i="1" s="1"/>
  <c r="K1175" i="1"/>
  <c r="T1175" i="1" s="1"/>
  <c r="K1071" i="1"/>
  <c r="T1071" i="1" s="1"/>
  <c r="K967" i="1"/>
  <c r="T967" i="1" s="1"/>
  <c r="K839" i="1"/>
  <c r="T839" i="1" s="1"/>
  <c r="K528" i="1"/>
  <c r="T528" i="1" s="1"/>
  <c r="K530" i="1"/>
  <c r="T530" i="1" s="1"/>
  <c r="K1078" i="1"/>
  <c r="T1078" i="1" s="1"/>
  <c r="K878" i="1"/>
  <c r="T878" i="1" s="1"/>
  <c r="K527" i="1"/>
  <c r="T527" i="1" s="1"/>
  <c r="K538" i="1"/>
  <c r="T538" i="1" s="1"/>
  <c r="K1165" i="1"/>
  <c r="T1165" i="1" s="1"/>
  <c r="K1069" i="1"/>
  <c r="T1069" i="1" s="1"/>
  <c r="K965" i="1"/>
  <c r="T965" i="1" s="1"/>
  <c r="K869" i="1"/>
  <c r="T869" i="1" s="1"/>
  <c r="K781" i="1"/>
  <c r="T781" i="1" s="1"/>
  <c r="K27" i="1"/>
  <c r="T27" i="1" s="1"/>
  <c r="K130" i="1"/>
  <c r="T130" i="1" s="1"/>
  <c r="K1148" i="1"/>
  <c r="T1148" i="1" s="1"/>
  <c r="K1068" i="1"/>
  <c r="T1068" i="1" s="1"/>
  <c r="K972" i="1"/>
  <c r="T972" i="1" s="1"/>
  <c r="K876" i="1"/>
  <c r="T876" i="1" s="1"/>
  <c r="K780" i="1"/>
  <c r="T780" i="1" s="1"/>
  <c r="K35" i="1"/>
  <c r="T35" i="1" s="1"/>
  <c r="K1179" i="1"/>
  <c r="T1179" i="1" s="1"/>
  <c r="K1099" i="1"/>
  <c r="T1099" i="1" s="1"/>
  <c r="K1011" i="1"/>
  <c r="T1011" i="1" s="1"/>
  <c r="K931" i="1"/>
  <c r="T931" i="1" s="1"/>
  <c r="K851" i="1"/>
  <c r="T851" i="1" s="1"/>
  <c r="K737" i="1"/>
  <c r="T737" i="1" s="1"/>
  <c r="K655" i="1"/>
  <c r="T655" i="1" s="1"/>
  <c r="K475" i="1"/>
  <c r="T475" i="1" s="1"/>
  <c r="K1258" i="1"/>
  <c r="T1258" i="1" s="1"/>
  <c r="K1002" i="1"/>
  <c r="T1002" i="1" s="1"/>
  <c r="K1773" i="1"/>
  <c r="T1773" i="1" s="1"/>
  <c r="K1465" i="1"/>
  <c r="T1465" i="1" s="1"/>
  <c r="K1249" i="1"/>
  <c r="T1249" i="1" s="1"/>
  <c r="K1560" i="1"/>
  <c r="T1560" i="1" s="1"/>
  <c r="K1368" i="1"/>
  <c r="T1368" i="1" s="1"/>
  <c r="K1137" i="1"/>
  <c r="T1137" i="1" s="1"/>
  <c r="K961" i="1"/>
  <c r="T961" i="1" s="1"/>
  <c r="K657" i="1"/>
  <c r="T657" i="1" s="1"/>
  <c r="K1152" i="1"/>
  <c r="T1152" i="1" s="1"/>
  <c r="K952" i="1"/>
  <c r="T952" i="1" s="1"/>
  <c r="K468" i="1"/>
  <c r="S468" i="1" s="1"/>
  <c r="U468" i="1" s="1"/>
  <c r="K124" i="1"/>
  <c r="T124" i="1" s="1"/>
  <c r="K1007" i="1"/>
  <c r="T1007" i="1" s="1"/>
  <c r="K823" i="1"/>
  <c r="T823" i="1" s="1"/>
  <c r="K19" i="1"/>
  <c r="T19" i="1" s="1"/>
  <c r="K1022" i="1"/>
  <c r="T1022" i="1" s="1"/>
  <c r="K674" i="1"/>
  <c r="T674" i="1" s="1"/>
  <c r="K188" i="1"/>
  <c r="T188" i="1" s="1"/>
  <c r="K1053" i="1"/>
  <c r="T1053" i="1" s="1"/>
  <c r="K909" i="1"/>
  <c r="T909" i="1" s="1"/>
  <c r="K561" i="1"/>
  <c r="S561" i="1" s="1"/>
  <c r="U561" i="1" s="1"/>
  <c r="K537" i="1"/>
  <c r="T537" i="1" s="1"/>
  <c r="K1108" i="1"/>
  <c r="T1108" i="1" s="1"/>
  <c r="K964" i="1"/>
  <c r="T964" i="1" s="1"/>
  <c r="K804" i="1"/>
  <c r="T804" i="1" s="1"/>
  <c r="K1645" i="1"/>
  <c r="T1645" i="1" s="1"/>
  <c r="K1115" i="1"/>
  <c r="T1115" i="1" s="1"/>
  <c r="K971" i="1"/>
  <c r="T971" i="1" s="1"/>
  <c r="K843" i="1"/>
  <c r="T843" i="1" s="1"/>
  <c r="K119" i="1"/>
  <c r="T119" i="1" s="1"/>
  <c r="K1739" i="1"/>
  <c r="T1739" i="1" s="1"/>
  <c r="K1685" i="1"/>
  <c r="T1685" i="1" s="1"/>
  <c r="K1226" i="1"/>
  <c r="T1226" i="1" s="1"/>
  <c r="K986" i="1"/>
  <c r="T986" i="1" s="1"/>
  <c r="K1744" i="1"/>
  <c r="S1744" i="1" s="1"/>
  <c r="U1744" i="1" s="1"/>
  <c r="K1425" i="1"/>
  <c r="T1425" i="1" s="1"/>
  <c r="K1233" i="1"/>
  <c r="T1233" i="1" s="1"/>
  <c r="K1528" i="1"/>
  <c r="T1528" i="1" s="1"/>
  <c r="K1344" i="1"/>
  <c r="T1344" i="1" s="1"/>
  <c r="K1129" i="1"/>
  <c r="T1129" i="1" s="1"/>
  <c r="K913" i="1"/>
  <c r="T913" i="1" s="1"/>
  <c r="K245" i="1"/>
  <c r="T245" i="1" s="1"/>
  <c r="K1120" i="1"/>
  <c r="T1120" i="1" s="1"/>
  <c r="K944" i="1"/>
  <c r="T944" i="1" s="1"/>
  <c r="K131" i="1"/>
  <c r="S131" i="1" s="1"/>
  <c r="U131" i="1" s="1"/>
  <c r="K1167" i="1"/>
  <c r="T1167" i="1" s="1"/>
  <c r="K991" i="1"/>
  <c r="T991" i="1" s="1"/>
  <c r="K799" i="1"/>
  <c r="T799" i="1" s="1"/>
  <c r="K562" i="1"/>
  <c r="T562" i="1" s="1"/>
  <c r="K1014" i="1"/>
  <c r="T1014" i="1" s="1"/>
  <c r="K183" i="1"/>
  <c r="S183" i="1" s="1"/>
  <c r="U183" i="1" s="1"/>
  <c r="K1197" i="1"/>
  <c r="T1197" i="1" s="1"/>
  <c r="K1029" i="1"/>
  <c r="T1029" i="1" s="1"/>
  <c r="K893" i="1"/>
  <c r="T893" i="1" s="1"/>
  <c r="K523" i="1"/>
  <c r="K84" i="1"/>
  <c r="T84" i="1" s="1"/>
  <c r="K1092" i="1"/>
  <c r="T1092" i="1" s="1"/>
  <c r="K940" i="1"/>
  <c r="T940" i="1" s="1"/>
  <c r="K796" i="1"/>
  <c r="T796" i="1" s="1"/>
  <c r="K667" i="1"/>
  <c r="T667" i="1" s="1"/>
  <c r="K1091" i="1"/>
  <c r="T1091" i="1" s="1"/>
  <c r="K963" i="1"/>
  <c r="T963" i="1" s="1"/>
  <c r="K811" i="1"/>
  <c r="T811" i="1" s="1"/>
  <c r="K79" i="1"/>
  <c r="T79" i="1" s="1"/>
  <c r="K1562" i="1"/>
  <c r="T1562" i="1" s="1"/>
  <c r="K1218" i="1"/>
  <c r="T1218" i="1" s="1"/>
  <c r="K930" i="1"/>
  <c r="T930" i="1" s="1"/>
  <c r="K1684" i="1"/>
  <c r="T1684" i="1" s="1"/>
  <c r="K1385" i="1"/>
  <c r="T1385" i="1" s="1"/>
  <c r="K118" i="1"/>
  <c r="T118" i="1" s="1"/>
  <c r="K1520" i="1"/>
  <c r="T1520" i="1" s="1"/>
  <c r="K1304" i="1"/>
  <c r="T1304" i="1" s="1"/>
  <c r="K1113" i="1"/>
  <c r="T1113" i="1" s="1"/>
  <c r="K889" i="1"/>
  <c r="T889" i="1" s="1"/>
  <c r="K132" i="1"/>
  <c r="T132" i="1" s="1"/>
  <c r="K1088" i="1"/>
  <c r="T1088" i="1" s="1"/>
  <c r="K888" i="1"/>
  <c r="T888" i="1" s="1"/>
  <c r="K75" i="1"/>
  <c r="T75" i="1" s="1"/>
  <c r="K1143" i="1"/>
  <c r="T1143" i="1" s="1"/>
  <c r="K983" i="1"/>
  <c r="T983" i="1" s="1"/>
  <c r="K791" i="1"/>
  <c r="T791" i="1" s="1"/>
  <c r="K243" i="1"/>
  <c r="T243" i="1" s="1"/>
  <c r="K958" i="1"/>
  <c r="T958" i="1" s="1"/>
  <c r="K37" i="1"/>
  <c r="S37" i="1" s="1"/>
  <c r="U37" i="1" s="1"/>
  <c r="K1181" i="1"/>
  <c r="T1181" i="1" s="1"/>
  <c r="K1021" i="1"/>
  <c r="T1021" i="1" s="1"/>
  <c r="K861" i="1"/>
  <c r="T861" i="1" s="1"/>
  <c r="K236" i="1"/>
  <c r="T236" i="1" s="1"/>
  <c r="K563" i="1"/>
  <c r="T563" i="1" s="1"/>
  <c r="K1084" i="1"/>
  <c r="T1084" i="1" s="1"/>
  <c r="K924" i="1"/>
  <c r="T924" i="1" s="1"/>
  <c r="K680" i="1"/>
  <c r="T680" i="1" s="1"/>
  <c r="K656" i="1"/>
  <c r="T656" i="1" s="1"/>
  <c r="K1067" i="1"/>
  <c r="T1067" i="1" s="1"/>
  <c r="K947" i="1"/>
  <c r="T947" i="1" s="1"/>
  <c r="K803" i="1"/>
  <c r="T803" i="1" s="1"/>
  <c r="K543" i="1"/>
  <c r="T543" i="1" s="1"/>
  <c r="K1748" i="1"/>
  <c r="T1748" i="1" s="1"/>
  <c r="K1434" i="1"/>
  <c r="T1434" i="1" s="1"/>
  <c r="K1186" i="1"/>
  <c r="T1186" i="1" s="1"/>
  <c r="K874" i="1"/>
  <c r="T874" i="1" s="1"/>
  <c r="K1593" i="1"/>
  <c r="T1593" i="1" s="1"/>
  <c r="K1377" i="1"/>
  <c r="T1377" i="1" s="1"/>
  <c r="K1780" i="1"/>
  <c r="T1780" i="1" s="1"/>
  <c r="K1496" i="1"/>
  <c r="T1496" i="1" s="1"/>
  <c r="K1272" i="1"/>
  <c r="T1272" i="1" s="1"/>
  <c r="K1105" i="1"/>
  <c r="T1105" i="1" s="1"/>
  <c r="K857" i="1"/>
  <c r="T857" i="1" s="1"/>
  <c r="K1641" i="1"/>
  <c r="T1641" i="1" s="1"/>
  <c r="K1080" i="1"/>
  <c r="T1080" i="1" s="1"/>
  <c r="K872" i="1"/>
  <c r="T872" i="1" s="1"/>
  <c r="K39" i="1"/>
  <c r="T39" i="1" s="1"/>
  <c r="K1135" i="1"/>
  <c r="T1135" i="1" s="1"/>
  <c r="K943" i="1"/>
  <c r="T943" i="1" s="1"/>
  <c r="K741" i="1"/>
  <c r="S741" i="1" s="1"/>
  <c r="U741" i="1" s="1"/>
  <c r="K1198" i="1"/>
  <c r="T1198" i="1" s="1"/>
  <c r="K910" i="1"/>
  <c r="T910" i="1" s="1"/>
  <c r="K29" i="1"/>
  <c r="T29" i="1" s="1"/>
  <c r="K1157" i="1"/>
  <c r="T1157" i="1" s="1"/>
  <c r="K1005" i="1"/>
  <c r="T1005" i="1" s="1"/>
  <c r="K837" i="1"/>
  <c r="T837" i="1" s="1"/>
  <c r="K180" i="1"/>
  <c r="T180" i="1" s="1"/>
  <c r="K525" i="1"/>
  <c r="T525" i="1" s="1"/>
  <c r="K1052" i="1"/>
  <c r="T1052" i="1" s="1"/>
  <c r="K900" i="1"/>
  <c r="T900" i="1" s="1"/>
  <c r="K560" i="1"/>
  <c r="T560" i="1" s="1"/>
  <c r="K185" i="1"/>
  <c r="S185" i="1" s="1"/>
  <c r="U185" i="1" s="1"/>
  <c r="K1059" i="1"/>
  <c r="T1059" i="1" s="1"/>
  <c r="K923" i="1"/>
  <c r="T923" i="1" s="1"/>
  <c r="K795" i="1"/>
  <c r="T795" i="1" s="1"/>
  <c r="K239" i="1"/>
  <c r="T239" i="1" s="1"/>
  <c r="K625" i="1"/>
  <c r="K1277" i="1"/>
  <c r="T1277" i="1" s="1"/>
  <c r="K1378" i="1"/>
  <c r="T1378" i="1" s="1"/>
  <c r="K1146" i="1"/>
  <c r="T1146" i="1" s="1"/>
  <c r="K858" i="1"/>
  <c r="T858" i="1" s="1"/>
  <c r="K1553" i="1"/>
  <c r="T1553" i="1" s="1"/>
  <c r="K1361" i="1"/>
  <c r="T1361" i="1" s="1"/>
  <c r="K2614" i="1"/>
  <c r="S2614" i="1" s="1"/>
  <c r="U2614" i="1" s="1"/>
  <c r="K1488" i="1"/>
  <c r="T1488" i="1" s="1"/>
  <c r="K1256" i="1"/>
  <c r="T1256" i="1" s="1"/>
  <c r="K1041" i="1"/>
  <c r="T1041" i="1" s="1"/>
  <c r="K841" i="1"/>
  <c r="T841" i="1" s="1"/>
  <c r="K470" i="1"/>
  <c r="T470" i="1" s="1"/>
  <c r="K1072" i="1"/>
  <c r="T1072" i="1" s="1"/>
  <c r="K864" i="1"/>
  <c r="T864" i="1" s="1"/>
  <c r="K671" i="1"/>
  <c r="T671" i="1" s="1"/>
  <c r="K1111" i="1"/>
  <c r="T1111" i="1" s="1"/>
  <c r="K911" i="1"/>
  <c r="T911" i="1" s="1"/>
  <c r="K675" i="1"/>
  <c r="T675" i="1" s="1"/>
  <c r="K1190" i="1"/>
  <c r="T1190" i="1" s="1"/>
  <c r="K870" i="1"/>
  <c r="T870" i="1" s="1"/>
  <c r="K1794" i="1"/>
  <c r="T1794" i="1" s="1"/>
  <c r="K1125" i="1"/>
  <c r="T1125" i="1" s="1"/>
  <c r="K997" i="1"/>
  <c r="T997" i="1" s="1"/>
  <c r="K813" i="1"/>
  <c r="T813" i="1" s="1"/>
  <c r="K1655" i="1"/>
  <c r="T1655" i="1" s="1"/>
  <c r="K1188" i="1"/>
  <c r="T1188" i="1" s="1"/>
  <c r="K1036" i="1"/>
  <c r="T1036" i="1" s="1"/>
  <c r="K892" i="1"/>
  <c r="T892" i="1" s="1"/>
  <c r="K495" i="1"/>
  <c r="T495" i="1" s="1"/>
  <c r="K1171" i="1"/>
  <c r="T1171" i="1" s="1"/>
  <c r="K1043" i="1"/>
  <c r="T1043" i="1" s="1"/>
  <c r="K899" i="1"/>
  <c r="T899" i="1" s="1"/>
  <c r="K787" i="1"/>
  <c r="T787" i="1" s="1"/>
  <c r="K115" i="1"/>
  <c r="T115" i="1" s="1"/>
  <c r="K1579" i="1"/>
  <c r="T1579" i="1" s="1"/>
  <c r="K1370" i="1"/>
  <c r="T1370" i="1" s="1"/>
  <c r="K1106" i="1"/>
  <c r="T1106" i="1" s="1"/>
  <c r="K850" i="1"/>
  <c r="T850" i="1" s="1"/>
  <c r="K1521" i="1"/>
  <c r="T1521" i="1" s="1"/>
  <c r="K1345" i="1"/>
  <c r="T1345" i="1" s="1"/>
  <c r="K1743" i="1"/>
  <c r="T1743" i="1" s="1"/>
  <c r="K1424" i="1"/>
  <c r="T1424" i="1" s="1"/>
  <c r="K1232" i="1"/>
  <c r="T1232" i="1" s="1"/>
  <c r="K1017" i="1"/>
  <c r="T1017" i="1" s="1"/>
  <c r="K833" i="1"/>
  <c r="T833" i="1" s="1"/>
  <c r="K182" i="1"/>
  <c r="T182" i="1" s="1"/>
  <c r="K1016" i="1"/>
  <c r="T1016" i="1" s="1"/>
  <c r="K840" i="1"/>
  <c r="T840" i="1" s="1"/>
  <c r="K480" i="1"/>
  <c r="K1095" i="1"/>
  <c r="T1095" i="1" s="1"/>
  <c r="K903" i="1"/>
  <c r="T903" i="1" s="1"/>
  <c r="K440" i="1"/>
  <c r="T440" i="1" s="1"/>
  <c r="K1182" i="1"/>
  <c r="T1182" i="1" s="1"/>
  <c r="K814" i="1"/>
  <c r="T814" i="1" s="1"/>
  <c r="K1687" i="1"/>
  <c r="T1687" i="1" s="1"/>
  <c r="K1109" i="1"/>
  <c r="T1109" i="1" s="1"/>
  <c r="K957" i="1"/>
  <c r="T957" i="1" s="1"/>
  <c r="K805" i="1"/>
  <c r="T805" i="1" s="1"/>
  <c r="K668" i="1"/>
  <c r="T668" i="1" s="1"/>
  <c r="K1172" i="1"/>
  <c r="T1172" i="1" s="1"/>
  <c r="K1012" i="1"/>
  <c r="T1012" i="1" s="1"/>
  <c r="K868" i="1"/>
  <c r="T868" i="1" s="1"/>
  <c r="K235" i="1"/>
  <c r="T235" i="1" s="1"/>
  <c r="K1155" i="1"/>
  <c r="T1155" i="1" s="1"/>
  <c r="K1035" i="1"/>
  <c r="T1035" i="1" s="1"/>
  <c r="K883" i="1"/>
  <c r="T883" i="1" s="1"/>
  <c r="K661" i="1"/>
  <c r="T661" i="1" s="1"/>
  <c r="K1379" i="1"/>
  <c r="T1379" i="1" s="1"/>
  <c r="K1354" i="1"/>
  <c r="T1354" i="1" s="1"/>
  <c r="K1042" i="1"/>
  <c r="T1042" i="1" s="1"/>
  <c r="K842" i="1"/>
  <c r="T842" i="1" s="1"/>
  <c r="K1497" i="1"/>
  <c r="T1497" i="1" s="1"/>
  <c r="K1281" i="1"/>
  <c r="T1281" i="1" s="1"/>
  <c r="K1693" i="1"/>
  <c r="T1693" i="1" s="1"/>
  <c r="K1408" i="1"/>
  <c r="T1408" i="1" s="1"/>
  <c r="K1224" i="1"/>
  <c r="T1224" i="1" s="1"/>
  <c r="K1009" i="1"/>
  <c r="T1009" i="1" s="1"/>
  <c r="K785" i="1"/>
  <c r="T785" i="1" s="1"/>
  <c r="K69" i="1"/>
  <c r="T69" i="1" s="1"/>
  <c r="K984" i="1"/>
  <c r="T984" i="1" s="1"/>
  <c r="K816" i="1"/>
  <c r="T816" i="1" s="1"/>
  <c r="K181" i="1"/>
  <c r="T181" i="1" s="1"/>
  <c r="K1055" i="1"/>
  <c r="T1055" i="1" s="1"/>
  <c r="K887" i="1"/>
  <c r="T887" i="1" s="1"/>
  <c r="K83" i="1"/>
  <c r="T83" i="1" s="1"/>
  <c r="K1134" i="1"/>
  <c r="T1134" i="1" s="1"/>
  <c r="K798" i="1"/>
  <c r="T798" i="1" s="1"/>
  <c r="K526" i="1"/>
  <c r="T526" i="1" s="1"/>
  <c r="K1101" i="1"/>
  <c r="T1101" i="1" s="1"/>
  <c r="K933" i="1"/>
  <c r="T933" i="1" s="1"/>
  <c r="K797" i="1"/>
  <c r="T797" i="1" s="1"/>
  <c r="K659" i="1"/>
  <c r="T659" i="1" s="1"/>
  <c r="K1140" i="1"/>
  <c r="T1140" i="1" s="1"/>
  <c r="K1004" i="1"/>
  <c r="T1004" i="1" s="1"/>
  <c r="K828" i="1"/>
  <c r="T828" i="1" s="1"/>
  <c r="K136" i="1"/>
  <c r="T136" i="1" s="1"/>
  <c r="K1139" i="1"/>
  <c r="T1139" i="1" s="1"/>
  <c r="K1003" i="1"/>
  <c r="T1003" i="1" s="1"/>
  <c r="K875" i="1"/>
  <c r="T875" i="1" s="1"/>
  <c r="K234" i="1"/>
  <c r="T234" i="1" s="1"/>
  <c r="K286" i="1"/>
  <c r="K277" i="1"/>
  <c r="K274" i="1"/>
  <c r="K1219" i="1"/>
  <c r="T1219" i="1" s="1"/>
  <c r="K1177" i="1"/>
  <c r="T1177" i="1" s="1"/>
  <c r="K879" i="1"/>
  <c r="T879" i="1" s="1"/>
  <c r="K569" i="1"/>
  <c r="T569" i="1" s="1"/>
  <c r="K134" i="1"/>
  <c r="T134" i="1" s="1"/>
  <c r="K289" i="1"/>
  <c r="K292" i="1"/>
  <c r="K631" i="1"/>
  <c r="K379" i="1"/>
  <c r="K1346" i="1"/>
  <c r="T1346" i="1" s="1"/>
  <c r="K977" i="1"/>
  <c r="T977" i="1" s="1"/>
  <c r="K38" i="1"/>
  <c r="T38" i="1" s="1"/>
  <c r="K1116" i="1"/>
  <c r="T1116" i="1" s="1"/>
  <c r="K283" i="1"/>
  <c r="K331" i="1"/>
  <c r="K1026" i="1"/>
  <c r="T1026" i="1" s="1"/>
  <c r="K677" i="1"/>
  <c r="S677" i="1" s="1"/>
  <c r="U677" i="1" s="1"/>
  <c r="K1070" i="1"/>
  <c r="T1070" i="1" s="1"/>
  <c r="K996" i="1"/>
  <c r="T996" i="1" s="1"/>
  <c r="K589" i="1"/>
  <c r="T589" i="1" s="1"/>
  <c r="K619" i="1"/>
  <c r="K26" i="1"/>
  <c r="T26" i="1" s="1"/>
  <c r="K678" i="1"/>
  <c r="T678" i="1" s="1"/>
  <c r="K1192" i="1"/>
  <c r="T1192" i="1" s="1"/>
  <c r="K740" i="1"/>
  <c r="T740" i="1" s="1"/>
  <c r="K812" i="1"/>
  <c r="T812" i="1" s="1"/>
  <c r="K280" i="1"/>
  <c r="K415" i="1"/>
  <c r="K637" i="1"/>
  <c r="K343" i="1"/>
  <c r="K427" i="1"/>
  <c r="K613" i="1"/>
  <c r="K649" i="1"/>
  <c r="K421" i="1"/>
  <c r="K325" i="1"/>
  <c r="K1473" i="1"/>
  <c r="T1473" i="1" s="1"/>
  <c r="K968" i="1"/>
  <c r="T968" i="1" s="1"/>
  <c r="K242" i="1"/>
  <c r="T242" i="1" s="1"/>
  <c r="K24" i="1"/>
  <c r="S24" i="1" s="1"/>
  <c r="U24" i="1" s="1"/>
  <c r="K580" i="1"/>
  <c r="T580" i="1" s="1"/>
  <c r="K295" i="1"/>
  <c r="K361" i="1"/>
  <c r="K607" i="1"/>
  <c r="K355" i="1"/>
  <c r="K1257" i="1"/>
  <c r="T1257" i="1" s="1"/>
  <c r="K784" i="1"/>
  <c r="T784" i="1" s="1"/>
  <c r="K1093" i="1"/>
  <c r="T1093" i="1" s="1"/>
  <c r="K1131" i="1"/>
  <c r="T1131" i="1" s="1"/>
  <c r="K367" i="1"/>
  <c r="K271" i="1"/>
  <c r="K409" i="1"/>
  <c r="K601" i="1"/>
  <c r="K301" i="1"/>
  <c r="K433" i="1"/>
  <c r="K385" i="1"/>
  <c r="K337" i="1"/>
  <c r="K595" i="1"/>
  <c r="T595" i="1" s="1"/>
  <c r="K1683" i="1"/>
  <c r="T1683" i="1" s="1"/>
  <c r="K137" i="1"/>
  <c r="T137" i="1" s="1"/>
  <c r="K925" i="1"/>
  <c r="T925" i="1" s="1"/>
  <c r="K987" i="1"/>
  <c r="T987" i="1" s="1"/>
  <c r="K391" i="1"/>
  <c r="S391" i="1" s="1"/>
  <c r="U391" i="1" s="1"/>
  <c r="K583" i="1"/>
  <c r="T583" i="1" s="1"/>
  <c r="K349" i="1"/>
  <c r="K373" i="1"/>
  <c r="K1400" i="1"/>
  <c r="T1400" i="1" s="1"/>
  <c r="K1031" i="1"/>
  <c r="T1031" i="1" s="1"/>
  <c r="K731" i="1"/>
  <c r="S731" i="1" s="1"/>
  <c r="U731" i="1" s="1"/>
  <c r="K307" i="1"/>
  <c r="K867" i="1"/>
  <c r="T867" i="1" s="1"/>
  <c r="K403" i="1"/>
  <c r="K313" i="1"/>
  <c r="K643" i="1"/>
  <c r="K319" i="1"/>
  <c r="K397" i="1"/>
  <c r="K298" i="1"/>
  <c r="K1841" i="1"/>
  <c r="T1841" i="1" s="1"/>
  <c r="K486" i="1"/>
  <c r="T486" i="1" s="1"/>
  <c r="K1845" i="1"/>
  <c r="T1845" i="1" s="1"/>
  <c r="K1906" i="1"/>
  <c r="T1906" i="1" s="1"/>
  <c r="K1938" i="1"/>
  <c r="T1938" i="1" s="1"/>
  <c r="K1660" i="1"/>
  <c r="T1660" i="1" s="1"/>
  <c r="K2087" i="1"/>
  <c r="T2087" i="1" s="1"/>
  <c r="K1870" i="1"/>
  <c r="K1954" i="1"/>
  <c r="K1754" i="1"/>
  <c r="T1754" i="1" s="1"/>
  <c r="K1910" i="1"/>
  <c r="T1910" i="1" s="1"/>
  <c r="K1886" i="1"/>
  <c r="T1886" i="1" s="1"/>
  <c r="K1882" i="1"/>
  <c r="T1882" i="1" s="1"/>
  <c r="K1982" i="1"/>
  <c r="K1849" i="1"/>
  <c r="T1849" i="1" s="1"/>
  <c r="K1970" i="1"/>
  <c r="T1970" i="1" s="1"/>
  <c r="K120" i="1"/>
  <c r="T120" i="1" s="1"/>
  <c r="K2062" i="1"/>
  <c r="T2062" i="1" s="1"/>
  <c r="K172" i="1"/>
  <c r="T172" i="1" s="1"/>
  <c r="K2072" i="1"/>
  <c r="T2072" i="1" s="1"/>
  <c r="K2107" i="1"/>
  <c r="T2107" i="1" s="1"/>
  <c r="K2026" i="1"/>
  <c r="T2026" i="1" s="1"/>
  <c r="K1950" i="1"/>
  <c r="T1950" i="1" s="1"/>
  <c r="K491" i="1"/>
  <c r="T491" i="1" s="1"/>
  <c r="K476" i="1"/>
  <c r="T476" i="1" s="1"/>
  <c r="K1942" i="1"/>
  <c r="T1942" i="1" s="1"/>
  <c r="K2067" i="1"/>
  <c r="T2067" i="1" s="1"/>
  <c r="K1866" i="1"/>
  <c r="T1866" i="1" s="1"/>
  <c r="K1946" i="1"/>
  <c r="T1946" i="1" s="1"/>
  <c r="K193" i="1"/>
  <c r="T193" i="1" s="1"/>
  <c r="K1966" i="1"/>
  <c r="T1966" i="1" s="1"/>
  <c r="K1802" i="1"/>
  <c r="T1802" i="1" s="1"/>
  <c r="K1922" i="1"/>
  <c r="T1922" i="1" s="1"/>
  <c r="K2046" i="1"/>
  <c r="T2046" i="1" s="1"/>
  <c r="K571" i="1"/>
  <c r="K1664" i="1"/>
  <c r="T1664" i="1" s="1"/>
  <c r="K190" i="1"/>
  <c r="T190" i="1" s="1"/>
  <c r="K150" i="1"/>
  <c r="T150" i="1" s="1"/>
  <c r="K1813" i="1"/>
  <c r="T1813" i="1" s="1"/>
  <c r="K1994" i="1"/>
  <c r="T1994" i="1" s="1"/>
  <c r="K1962" i="1"/>
  <c r="K138" i="1"/>
  <c r="T138" i="1" s="1"/>
  <c r="K1890" i="1"/>
  <c r="T1890" i="1" s="1"/>
  <c r="K1757" i="1"/>
  <c r="T1757" i="1" s="1"/>
  <c r="K2077" i="1"/>
  <c r="T2077" i="1" s="1"/>
  <c r="K724" i="1"/>
  <c r="T724" i="1" s="1"/>
  <c r="K1769" i="1"/>
  <c r="T1769" i="1" s="1"/>
  <c r="K1934" i="1"/>
  <c r="T1934" i="1" s="1"/>
  <c r="K1898" i="1"/>
  <c r="T1898" i="1" s="1"/>
  <c r="K2006" i="1"/>
  <c r="T2006" i="1" s="1"/>
  <c r="K2018" i="1"/>
  <c r="T2018" i="1" s="1"/>
  <c r="K2014" i="1"/>
  <c r="T2014" i="1" s="1"/>
  <c r="K164" i="1"/>
  <c r="T164" i="1" s="1"/>
  <c r="K1978" i="1"/>
  <c r="T1978" i="1" s="1"/>
  <c r="K1686" i="1"/>
  <c r="T1686" i="1" s="1"/>
  <c r="K176" i="1"/>
  <c r="T176" i="1" s="1"/>
  <c r="K2010" i="1"/>
  <c r="T2010" i="1" s="1"/>
  <c r="K544" i="1"/>
  <c r="T544" i="1" s="1"/>
  <c r="K2058" i="1"/>
  <c r="T2058" i="1" s="1"/>
  <c r="K1862" i="1"/>
  <c r="S1862" i="1" s="1"/>
  <c r="U1862" i="1" s="1"/>
  <c r="K1974" i="1"/>
  <c r="K1914" i="1"/>
  <c r="T1914" i="1" s="1"/>
  <c r="K548" i="1"/>
  <c r="T548" i="1" s="1"/>
  <c r="K1766" i="1"/>
  <c r="T1766" i="1" s="1"/>
  <c r="K160" i="1"/>
  <c r="T160" i="1" s="1"/>
  <c r="K1782" i="1"/>
  <c r="T1782" i="1" s="1"/>
  <c r="K1958" i="1"/>
  <c r="T1958" i="1" s="1"/>
  <c r="K141" i="1"/>
  <c r="T141" i="1" s="1"/>
  <c r="K144" i="1"/>
  <c r="T144" i="1" s="1"/>
  <c r="K1986" i="1"/>
  <c r="T1986" i="1" s="1"/>
  <c r="K2050" i="1"/>
  <c r="T2050" i="1" s="1"/>
  <c r="K1918" i="1"/>
  <c r="T1918" i="1" s="1"/>
  <c r="K2102" i="1"/>
  <c r="T2102" i="1" s="1"/>
  <c r="K2092" i="1"/>
  <c r="T2092" i="1" s="1"/>
  <c r="K1821" i="1"/>
  <c r="T1821" i="1" s="1"/>
  <c r="K153" i="1"/>
  <c r="T153" i="1" s="1"/>
  <c r="K1853" i="1"/>
  <c r="T1853" i="1" s="1"/>
  <c r="K1894" i="1"/>
  <c r="T1894" i="1" s="1"/>
  <c r="K168" i="1"/>
  <c r="T168" i="1" s="1"/>
  <c r="K1751" i="1"/>
  <c r="T1751" i="1" s="1"/>
  <c r="K720" i="1"/>
  <c r="T720" i="1" s="1"/>
  <c r="K556" i="1"/>
  <c r="T556" i="1" s="1"/>
  <c r="K1998" i="1"/>
  <c r="T1998" i="1" s="1"/>
  <c r="K2042" i="1"/>
  <c r="T2042" i="1" s="1"/>
  <c r="K532" i="1"/>
  <c r="T532" i="1" s="1"/>
  <c r="K1796" i="1"/>
  <c r="T1796" i="1" s="1"/>
  <c r="K2038" i="1"/>
  <c r="T2038" i="1" s="1"/>
  <c r="K1930" i="1"/>
  <c r="T1930" i="1" s="1"/>
  <c r="K1858" i="1"/>
  <c r="T1858" i="1" s="1"/>
  <c r="K481" i="1"/>
  <c r="T481" i="1" s="1"/>
  <c r="K1790" i="1"/>
  <c r="T1790" i="1" s="1"/>
  <c r="K1874" i="1"/>
  <c r="T1874" i="1" s="1"/>
  <c r="K1833" i="1"/>
  <c r="T1833" i="1" s="1"/>
  <c r="K1926" i="1"/>
  <c r="T1926" i="1" s="1"/>
  <c r="K1672" i="1"/>
  <c r="T1672" i="1" s="1"/>
  <c r="K1648" i="1"/>
  <c r="T1648" i="1" s="1"/>
  <c r="K156" i="1"/>
  <c r="T156" i="1" s="1"/>
  <c r="K1829" i="1"/>
  <c r="T1829" i="1" s="1"/>
  <c r="K1990" i="1"/>
  <c r="K2054" i="1"/>
  <c r="T2054" i="1" s="1"/>
  <c r="K552" i="1"/>
  <c r="T552" i="1" s="1"/>
  <c r="K2112" i="1"/>
  <c r="T2112" i="1" s="1"/>
  <c r="K471" i="1"/>
  <c r="T471" i="1" s="1"/>
  <c r="K2002" i="1"/>
  <c r="K1902" i="1"/>
  <c r="T1902" i="1" s="1"/>
  <c r="K1817" i="1"/>
  <c r="T1817" i="1" s="1"/>
  <c r="K2030" i="1"/>
  <c r="T2030" i="1" s="1"/>
  <c r="K1878" i="1"/>
  <c r="S1878" i="1" s="1"/>
  <c r="U1878" i="1" s="1"/>
  <c r="K186" i="1"/>
  <c r="T186" i="1" s="1"/>
  <c r="K1656" i="1"/>
  <c r="T1656" i="1" s="1"/>
  <c r="K2034" i="1"/>
  <c r="S2034" i="1" s="1"/>
  <c r="U2034" i="1" s="1"/>
  <c r="K1668" i="1"/>
  <c r="T1668" i="1" s="1"/>
  <c r="K2097" i="1"/>
  <c r="T2097" i="1" s="1"/>
  <c r="K1805" i="1"/>
  <c r="T1805" i="1" s="1"/>
  <c r="K1825" i="1"/>
  <c r="T1825" i="1" s="1"/>
  <c r="K1760" i="1"/>
  <c r="T1760" i="1" s="1"/>
  <c r="K1837" i="1"/>
  <c r="T1837" i="1" s="1"/>
  <c r="K2082" i="1"/>
  <c r="T2082" i="1" s="1"/>
  <c r="K2022" i="1"/>
  <c r="T2022" i="1" s="1"/>
  <c r="K1763" i="1"/>
  <c r="T1763" i="1" s="1"/>
  <c r="K1799" i="1"/>
  <c r="T1799" i="1" s="1"/>
  <c r="K147" i="1"/>
  <c r="T147" i="1" s="1"/>
  <c r="K1809" i="1"/>
  <c r="T1809" i="1" s="1"/>
  <c r="K567" i="1"/>
  <c r="T567" i="1" s="1"/>
  <c r="K330" i="1"/>
  <c r="K396" i="1"/>
  <c r="S396" i="1" s="1"/>
  <c r="U396" i="1" s="1"/>
  <c r="K232" i="1"/>
  <c r="S232" i="1" s="1"/>
  <c r="U232" i="1" s="1"/>
  <c r="K265" i="1"/>
  <c r="K312" i="1"/>
  <c r="K573" i="1"/>
  <c r="K588" i="1"/>
  <c r="K366" i="1"/>
  <c r="K408" i="1"/>
  <c r="K612" i="1"/>
  <c r="K260" i="1"/>
  <c r="K630" i="1"/>
  <c r="K273" i="1"/>
  <c r="K648" i="1"/>
  <c r="K285" i="1"/>
  <c r="K420" i="1"/>
  <c r="K618" i="1"/>
  <c r="K654" i="1"/>
  <c r="K390" i="1"/>
  <c r="K348" i="1"/>
  <c r="K426" i="1"/>
  <c r="K228" i="1"/>
  <c r="S228" i="1" s="1"/>
  <c r="U228" i="1" s="1"/>
  <c r="K324" i="1"/>
  <c r="K582" i="1"/>
  <c r="K642" i="1"/>
  <c r="K294" i="1"/>
  <c r="K384" i="1"/>
  <c r="M70" i="13"/>
  <c r="F70" i="13"/>
  <c r="K69" i="13"/>
  <c r="D69" i="13"/>
  <c r="J68" i="13"/>
  <c r="C68" i="13"/>
  <c r="J57" i="13"/>
  <c r="J58" i="13" s="1"/>
  <c r="C57" i="13"/>
  <c r="C58" i="13" s="1"/>
  <c r="M56" i="13"/>
  <c r="F56" i="13"/>
  <c r="M55" i="13"/>
  <c r="F55" i="13"/>
  <c r="M53" i="13"/>
  <c r="M57" i="13" s="1"/>
  <c r="M58" i="13" s="1"/>
  <c r="F53" i="13"/>
  <c r="F57" i="13" l="1"/>
  <c r="F58" i="13" s="1"/>
  <c r="T2580" i="1"/>
  <c r="O2580" i="1"/>
  <c r="S2580" i="1"/>
  <c r="U2580" i="1" s="1"/>
  <c r="O2582" i="1"/>
  <c r="S2582" i="1"/>
  <c r="U2582" i="1" s="1"/>
  <c r="T2582" i="1"/>
  <c r="S688" i="1"/>
  <c r="U688" i="1" s="1"/>
  <c r="U2662" i="1" s="1"/>
  <c r="O688" i="1"/>
  <c r="T688" i="1"/>
  <c r="O687" i="1"/>
  <c r="T687" i="1"/>
  <c r="O2589" i="1"/>
  <c r="T2589" i="1"/>
  <c r="S2583" i="1"/>
  <c r="U2583" i="1" s="1"/>
  <c r="O2583" i="1"/>
  <c r="T2583" i="1"/>
  <c r="O2581" i="1"/>
  <c r="T2581" i="1"/>
  <c r="O2590" i="1"/>
  <c r="T2590" i="1"/>
  <c r="O689" i="1"/>
  <c r="S689" i="1"/>
  <c r="U689" i="1" s="1"/>
  <c r="T689" i="1"/>
  <c r="S45" i="1"/>
  <c r="U45" i="1" s="1"/>
  <c r="V18" i="1" s="1"/>
  <c r="S9" i="12" s="1"/>
  <c r="O45" i="1"/>
  <c r="T45" i="1"/>
  <c r="Y2623" i="1"/>
  <c r="Z2623" i="1"/>
  <c r="X2623" i="1"/>
  <c r="V2611" i="1"/>
  <c r="S19" i="12" s="1"/>
  <c r="U2666" i="1"/>
  <c r="Y2614" i="1"/>
  <c r="X2614" i="1"/>
  <c r="Z2614" i="1"/>
  <c r="Y741" i="1"/>
  <c r="Z741" i="1"/>
  <c r="X741" i="1"/>
  <c r="X183" i="1"/>
  <c r="Y183" i="1"/>
  <c r="Z183" i="1"/>
  <c r="X1744" i="1"/>
  <c r="Y1744" i="1"/>
  <c r="Z1744" i="1"/>
  <c r="Z468" i="1"/>
  <c r="X468" i="1"/>
  <c r="Y468" i="1"/>
  <c r="V467" i="1"/>
  <c r="S13" i="12" s="1"/>
  <c r="Y1772" i="1"/>
  <c r="Z1772" i="1"/>
  <c r="X1772" i="1"/>
  <c r="X2619" i="1"/>
  <c r="Y2619" i="1"/>
  <c r="Z2619" i="1"/>
  <c r="X733" i="1"/>
  <c r="Y733" i="1"/>
  <c r="Z733" i="1"/>
  <c r="Y1605" i="1"/>
  <c r="Z1605" i="1"/>
  <c r="V779" i="1"/>
  <c r="S16" i="12" s="1"/>
  <c r="X1605" i="1"/>
  <c r="U2663" i="1"/>
  <c r="X2620" i="1"/>
  <c r="Y2620" i="1"/>
  <c r="Z2620" i="1"/>
  <c r="Z734" i="1"/>
  <c r="X734" i="1"/>
  <c r="Y734" i="1"/>
  <c r="Z37" i="1"/>
  <c r="X37" i="1"/>
  <c r="Y37" i="1"/>
  <c r="Z743" i="1"/>
  <c r="X743" i="1"/>
  <c r="Y743" i="1"/>
  <c r="Z2034" i="1"/>
  <c r="W2035" i="1"/>
  <c r="W2036" i="1"/>
  <c r="W2037" i="1"/>
  <c r="X2034" i="1"/>
  <c r="Y2034" i="1"/>
  <c r="X34" i="1"/>
  <c r="Y34" i="1"/>
  <c r="Z34" i="1"/>
  <c r="X24" i="1"/>
  <c r="Y24" i="1"/>
  <c r="Z24" i="1"/>
  <c r="X2621" i="1"/>
  <c r="Z2621" i="1"/>
  <c r="Y2621" i="1"/>
  <c r="X677" i="1"/>
  <c r="Y677" i="1"/>
  <c r="Z677" i="1"/>
  <c r="X731" i="1"/>
  <c r="V719" i="1"/>
  <c r="S15" i="12" s="1"/>
  <c r="Y731" i="1"/>
  <c r="Z731" i="1"/>
  <c r="X185" i="1"/>
  <c r="Y185" i="1"/>
  <c r="Z185" i="1"/>
  <c r="Z1736" i="1"/>
  <c r="Y1736" i="1"/>
  <c r="X1736" i="1"/>
  <c r="W1864" i="1"/>
  <c r="W1865" i="1"/>
  <c r="X1862" i="1"/>
  <c r="W1863" i="1"/>
  <c r="Z1862" i="1"/>
  <c r="Y1862" i="1"/>
  <c r="X22" i="1"/>
  <c r="Y22" i="1"/>
  <c r="Z22" i="1"/>
  <c r="Y2624" i="1"/>
  <c r="Z2624" i="1"/>
  <c r="X2624" i="1"/>
  <c r="Y2622" i="1"/>
  <c r="Z2622" i="1"/>
  <c r="X2622" i="1"/>
  <c r="X744" i="1"/>
  <c r="Y744" i="1"/>
  <c r="Z744" i="1"/>
  <c r="Z1878" i="1"/>
  <c r="X1878" i="1"/>
  <c r="Y1878" i="1"/>
  <c r="W1879" i="1"/>
  <c r="W1880" i="1"/>
  <c r="W1881" i="1"/>
  <c r="V113" i="1"/>
  <c r="S11" i="12" s="1"/>
  <c r="Z131" i="1"/>
  <c r="Y131" i="1"/>
  <c r="X131" i="1"/>
  <c r="X561" i="1"/>
  <c r="Y561" i="1"/>
  <c r="Z561" i="1"/>
  <c r="V522" i="1"/>
  <c r="S14" i="12" s="1"/>
  <c r="X736" i="1"/>
  <c r="Y736" i="1"/>
  <c r="Z736" i="1"/>
  <c r="X2615" i="1"/>
  <c r="Z2615" i="1"/>
  <c r="Y2615" i="1"/>
  <c r="Y78" i="1"/>
  <c r="Z78" i="1"/>
  <c r="X78" i="1"/>
  <c r="T468" i="1"/>
  <c r="O468" i="1"/>
  <c r="T681" i="1"/>
  <c r="O681" i="1"/>
  <c r="T24" i="1"/>
  <c r="O24" i="1"/>
  <c r="T523" i="1"/>
  <c r="O523" i="1"/>
  <c r="T561" i="1"/>
  <c r="O561" i="1"/>
  <c r="T78" i="1"/>
  <c r="O78" i="1"/>
  <c r="T2034" i="1"/>
  <c r="O2034" i="1"/>
  <c r="T1990" i="1"/>
  <c r="O1990" i="1"/>
  <c r="T1878" i="1"/>
  <c r="O1878" i="1"/>
  <c r="T571" i="1"/>
  <c r="O571" i="1"/>
  <c r="T480" i="1"/>
  <c r="O480" i="1"/>
  <c r="T485" i="1"/>
  <c r="O485" i="1"/>
  <c r="T677" i="1"/>
  <c r="O677" i="1"/>
  <c r="T37" i="1"/>
  <c r="O37" i="1"/>
  <c r="T1774" i="1"/>
  <c r="O1774" i="1"/>
  <c r="T2623" i="1"/>
  <c r="O2623" i="1"/>
  <c r="T71" i="1"/>
  <c r="S71" i="1"/>
  <c r="U71" i="1" s="1"/>
  <c r="O71" i="1"/>
  <c r="T2618" i="1"/>
  <c r="O2618" i="1"/>
  <c r="Z232" i="1"/>
  <c r="Y232" i="1"/>
  <c r="X232" i="1"/>
  <c r="T2614" i="1"/>
  <c r="O2614" i="1"/>
  <c r="T741" i="1"/>
  <c r="O741" i="1"/>
  <c r="T1744" i="1"/>
  <c r="O1744" i="1"/>
  <c r="T1772" i="1"/>
  <c r="O1772" i="1"/>
  <c r="T2619" i="1"/>
  <c r="O2619" i="1"/>
  <c r="T733" i="1"/>
  <c r="O733" i="1"/>
  <c r="T1605" i="1"/>
  <c r="T2663" i="1" s="1"/>
  <c r="O1605" i="1"/>
  <c r="O2663" i="1" s="1"/>
  <c r="T2620" i="1"/>
  <c r="O2620" i="1"/>
  <c r="T734" i="1"/>
  <c r="O734" i="1"/>
  <c r="Y228" i="1"/>
  <c r="Z228" i="1"/>
  <c r="X228" i="1"/>
  <c r="T743" i="1"/>
  <c r="O743" i="1"/>
  <c r="X391" i="1"/>
  <c r="W395" i="1"/>
  <c r="W396" i="1"/>
  <c r="W392" i="1"/>
  <c r="Y391" i="1"/>
  <c r="Z391" i="1"/>
  <c r="W393" i="1"/>
  <c r="W394" i="1"/>
  <c r="T34" i="1"/>
  <c r="O34" i="1"/>
  <c r="T1746" i="1"/>
  <c r="O1746" i="1"/>
  <c r="T77" i="1"/>
  <c r="O77" i="1"/>
  <c r="T2621" i="1"/>
  <c r="O2621" i="1"/>
  <c r="T731" i="1"/>
  <c r="O731" i="1"/>
  <c r="T1736" i="1"/>
  <c r="O1736" i="1"/>
  <c r="T231" i="1"/>
  <c r="S231" i="1"/>
  <c r="U231" i="1" s="1"/>
  <c r="V223" i="1" s="1"/>
  <c r="S12" i="12" s="1"/>
  <c r="O231" i="1"/>
  <c r="X227" i="1"/>
  <c r="Y227" i="1"/>
  <c r="Z227" i="1"/>
  <c r="T22" i="1"/>
  <c r="O22" i="1"/>
  <c r="T2624" i="1"/>
  <c r="O2624" i="1"/>
  <c r="T2622" i="1"/>
  <c r="O2622" i="1"/>
  <c r="T744" i="1"/>
  <c r="O744" i="1"/>
  <c r="T131" i="1"/>
  <c r="O131" i="1"/>
  <c r="T736" i="1"/>
  <c r="O736" i="1"/>
  <c r="T2615" i="1"/>
  <c r="O2615" i="1"/>
  <c r="O2489" i="1"/>
  <c r="T2002" i="1"/>
  <c r="O2002" i="1"/>
  <c r="T1982" i="1"/>
  <c r="O1982" i="1"/>
  <c r="T1974" i="1"/>
  <c r="O1974" i="1"/>
  <c r="T1962" i="1"/>
  <c r="O1962" i="1"/>
  <c r="T1954" i="1"/>
  <c r="O1954" i="1"/>
  <c r="T1870" i="1"/>
  <c r="O1870" i="1"/>
  <c r="T1862" i="1"/>
  <c r="O1862" i="1"/>
  <c r="T490" i="1"/>
  <c r="O490" i="1"/>
  <c r="T185" i="1"/>
  <c r="O185" i="1"/>
  <c r="T183" i="1"/>
  <c r="O183" i="1"/>
  <c r="O266" i="1"/>
  <c r="T266" i="1"/>
  <c r="O578" i="1"/>
  <c r="T578" i="1"/>
  <c r="O574" i="1"/>
  <c r="T574" i="1"/>
  <c r="O229" i="1"/>
  <c r="T229" i="1"/>
  <c r="O256" i="1"/>
  <c r="T256" i="1"/>
  <c r="O349" i="1"/>
  <c r="T349" i="1"/>
  <c r="O613" i="1"/>
  <c r="T613" i="1"/>
  <c r="O274" i="1"/>
  <c r="T274" i="1"/>
  <c r="O403" i="1"/>
  <c r="T403" i="1"/>
  <c r="O385" i="1"/>
  <c r="T385" i="1"/>
  <c r="O427" i="1"/>
  <c r="T427" i="1"/>
  <c r="O331" i="1"/>
  <c r="T331" i="1"/>
  <c r="O292" i="1"/>
  <c r="T292" i="1"/>
  <c r="O277" i="1"/>
  <c r="T277" i="1"/>
  <c r="O643" i="1"/>
  <c r="T643" i="1"/>
  <c r="O391" i="1"/>
  <c r="T391" i="1"/>
  <c r="O433" i="1"/>
  <c r="T433" i="1"/>
  <c r="O343" i="1"/>
  <c r="T343" i="1"/>
  <c r="O283" i="1"/>
  <c r="T283" i="1"/>
  <c r="O289" i="1"/>
  <c r="T289" i="1"/>
  <c r="O286" i="1"/>
  <c r="T286" i="1"/>
  <c r="O572" i="1"/>
  <c r="T572" i="1"/>
  <c r="O367" i="1"/>
  <c r="T367" i="1"/>
  <c r="O307" i="1"/>
  <c r="T307" i="1"/>
  <c r="O301" i="1"/>
  <c r="T301" i="1"/>
  <c r="O637" i="1"/>
  <c r="T637" i="1"/>
  <c r="O619" i="1"/>
  <c r="T619" i="1"/>
  <c r="O261" i="1"/>
  <c r="T261" i="1"/>
  <c r="O373" i="1"/>
  <c r="T373" i="1"/>
  <c r="O313" i="1"/>
  <c r="T313" i="1"/>
  <c r="O298" i="1"/>
  <c r="T298" i="1"/>
  <c r="O601" i="1"/>
  <c r="T601" i="1"/>
  <c r="O355" i="1"/>
  <c r="T355" i="1"/>
  <c r="O415" i="1"/>
  <c r="T415" i="1"/>
  <c r="T2664" i="1"/>
  <c r="O227" i="1"/>
  <c r="T227" i="1"/>
  <c r="O225" i="1"/>
  <c r="T225" i="1"/>
  <c r="O251" i="1"/>
  <c r="T251" i="1"/>
  <c r="O295" i="1"/>
  <c r="T295" i="1"/>
  <c r="O379" i="1"/>
  <c r="T379" i="1"/>
  <c r="O625" i="1"/>
  <c r="T625" i="1"/>
  <c r="O397" i="1"/>
  <c r="T397" i="1"/>
  <c r="O409" i="1"/>
  <c r="T409" i="1"/>
  <c r="O607" i="1"/>
  <c r="T607" i="1"/>
  <c r="O325" i="1"/>
  <c r="T325" i="1"/>
  <c r="O280" i="1"/>
  <c r="T280" i="1"/>
  <c r="O576" i="1"/>
  <c r="T576" i="1"/>
  <c r="O649" i="1"/>
  <c r="T649" i="1"/>
  <c r="O337" i="1"/>
  <c r="T337" i="1"/>
  <c r="O631" i="1"/>
  <c r="T631" i="1"/>
  <c r="O319" i="1"/>
  <c r="T319" i="1"/>
  <c r="O271" i="1"/>
  <c r="T271" i="1"/>
  <c r="O361" i="1"/>
  <c r="T361" i="1"/>
  <c r="O421" i="1"/>
  <c r="T421" i="1"/>
  <c r="O384" i="1"/>
  <c r="T384" i="1"/>
  <c r="O414" i="1"/>
  <c r="T414" i="1"/>
  <c r="O432" i="1"/>
  <c r="T432" i="1"/>
  <c r="O306" i="1"/>
  <c r="T306" i="1"/>
  <c r="O348" i="1"/>
  <c r="T348" i="1"/>
  <c r="O342" i="1"/>
  <c r="T342" i="1"/>
  <c r="O372" i="1"/>
  <c r="T372" i="1"/>
  <c r="O336" i="1"/>
  <c r="T336" i="1"/>
  <c r="O291" i="1"/>
  <c r="T291" i="1"/>
  <c r="O324" i="1"/>
  <c r="T324" i="1"/>
  <c r="O366" i="1"/>
  <c r="T366" i="1"/>
  <c r="O282" i="1"/>
  <c r="T282" i="1"/>
  <c r="O279" i="1"/>
  <c r="T279" i="1"/>
  <c r="O318" i="1"/>
  <c r="T318" i="1"/>
  <c r="O300" i="1"/>
  <c r="T300" i="1"/>
  <c r="O297" i="1"/>
  <c r="T297" i="1"/>
  <c r="O265" i="1"/>
  <c r="T265" i="1"/>
  <c r="O579" i="1"/>
  <c r="T579" i="1"/>
  <c r="O378" i="1"/>
  <c r="T378" i="1"/>
  <c r="O228" i="1"/>
  <c r="T228" i="1"/>
  <c r="O255" i="1"/>
  <c r="T255" i="1"/>
  <c r="O276" i="1"/>
  <c r="T276" i="1"/>
  <c r="O273" i="1"/>
  <c r="T273" i="1"/>
  <c r="O636" i="1"/>
  <c r="T636" i="1"/>
  <c r="O232" i="1"/>
  <c r="T232" i="1"/>
  <c r="O312" i="1"/>
  <c r="T312" i="1"/>
  <c r="O642" i="1"/>
  <c r="T642" i="1"/>
  <c r="O354" i="1"/>
  <c r="T354" i="1"/>
  <c r="O390" i="1"/>
  <c r="T390" i="1"/>
  <c r="K226" i="1"/>
  <c r="O630" i="1"/>
  <c r="T630" i="1"/>
  <c r="O588" i="1"/>
  <c r="T588" i="1"/>
  <c r="O606" i="1"/>
  <c r="T606" i="1"/>
  <c r="O294" i="1"/>
  <c r="T294" i="1"/>
  <c r="O420" i="1"/>
  <c r="T420" i="1"/>
  <c r="O594" i="1"/>
  <c r="T594" i="1"/>
  <c r="O624" i="1"/>
  <c r="T624" i="1"/>
  <c r="O600" i="1"/>
  <c r="T600" i="1"/>
  <c r="O230" i="1"/>
  <c r="T230" i="1"/>
  <c r="O654" i="1"/>
  <c r="T654" i="1"/>
  <c r="O285" i="1"/>
  <c r="T285" i="1"/>
  <c r="O260" i="1"/>
  <c r="T260" i="1"/>
  <c r="O573" i="1"/>
  <c r="T573" i="1"/>
  <c r="O396" i="1"/>
  <c r="T396" i="1"/>
  <c r="O618" i="1"/>
  <c r="T618" i="1"/>
  <c r="O330" i="1"/>
  <c r="T330" i="1"/>
  <c r="O582" i="1"/>
  <c r="T582" i="1"/>
  <c r="O648" i="1"/>
  <c r="T648" i="1"/>
  <c r="O612" i="1"/>
  <c r="T612" i="1"/>
  <c r="O402" i="1"/>
  <c r="T402" i="1"/>
  <c r="O270" i="1"/>
  <c r="T270" i="1"/>
  <c r="O438" i="1"/>
  <c r="T438" i="1"/>
  <c r="O426" i="1"/>
  <c r="T426" i="1"/>
  <c r="O577" i="1"/>
  <c r="T577" i="1"/>
  <c r="O575" i="1"/>
  <c r="T575" i="1"/>
  <c r="O408" i="1"/>
  <c r="T408" i="1"/>
  <c r="O360" i="1"/>
  <c r="T360" i="1"/>
  <c r="O288" i="1"/>
  <c r="T288" i="1"/>
  <c r="W42" i="1" l="1"/>
  <c r="X45" i="1"/>
  <c r="Y45" i="1"/>
  <c r="Z45" i="1"/>
  <c r="Y2582" i="1"/>
  <c r="X2582" i="1"/>
  <c r="Z2582" i="1"/>
  <c r="Y689" i="1"/>
  <c r="Z689" i="1"/>
  <c r="X689" i="1"/>
  <c r="Y2580" i="1"/>
  <c r="Z2580" i="1"/>
  <c r="W2579" i="1"/>
  <c r="X2580" i="1"/>
  <c r="Z2583" i="1"/>
  <c r="Y2583" i="1"/>
  <c r="X2583" i="1"/>
  <c r="X688" i="1"/>
  <c r="W686" i="1"/>
  <c r="Y688" i="1"/>
  <c r="Z688" i="1"/>
  <c r="V2662" i="1"/>
  <c r="S14" i="11"/>
  <c r="F10" i="16"/>
  <c r="W522" i="1"/>
  <c r="S11" i="11"/>
  <c r="F7" i="16"/>
  <c r="W113" i="1"/>
  <c r="S9" i="11"/>
  <c r="W18" i="1"/>
  <c r="F5" i="16"/>
  <c r="Y1865" i="1"/>
  <c r="X1865" i="1"/>
  <c r="Z1865" i="1"/>
  <c r="Y1881" i="1"/>
  <c r="X1881" i="1"/>
  <c r="Z1881" i="1"/>
  <c r="Y1864" i="1"/>
  <c r="Z1864" i="1"/>
  <c r="X1864" i="1"/>
  <c r="X1880" i="1"/>
  <c r="Y1880" i="1"/>
  <c r="Z1880" i="1"/>
  <c r="F9" i="16"/>
  <c r="W467" i="1"/>
  <c r="S13" i="11"/>
  <c r="Z1879" i="1"/>
  <c r="X1879" i="1"/>
  <c r="Y1879" i="1"/>
  <c r="V2666" i="1"/>
  <c r="F15" i="16"/>
  <c r="S19" i="11"/>
  <c r="W2611" i="1"/>
  <c r="W719" i="1"/>
  <c r="S15" i="11"/>
  <c r="F11" i="16"/>
  <c r="Y2037" i="1"/>
  <c r="Z2037" i="1"/>
  <c r="X2037" i="1"/>
  <c r="T2666" i="1"/>
  <c r="X2036" i="1"/>
  <c r="Y2036" i="1"/>
  <c r="Z2036" i="1"/>
  <c r="X1863" i="1"/>
  <c r="Z1863" i="1"/>
  <c r="Y1863" i="1"/>
  <c r="Z2035" i="1"/>
  <c r="Y2035" i="1"/>
  <c r="X2035" i="1"/>
  <c r="W779" i="1"/>
  <c r="S16" i="11"/>
  <c r="F12" i="16"/>
  <c r="V2663" i="1"/>
  <c r="W223" i="1"/>
  <c r="Y223" i="1" s="1"/>
  <c r="F8" i="16"/>
  <c r="S12" i="11"/>
  <c r="Y392" i="1"/>
  <c r="Z392" i="1"/>
  <c r="X392" i="1"/>
  <c r="Y396" i="1"/>
  <c r="Z396" i="1"/>
  <c r="X396" i="1"/>
  <c r="O2666" i="1"/>
  <c r="X71" i="1"/>
  <c r="Y71" i="1"/>
  <c r="Z71" i="1"/>
  <c r="V68" i="1"/>
  <c r="S10" i="12" s="1"/>
  <c r="U2661" i="1"/>
  <c r="X395" i="1"/>
  <c r="Y395" i="1"/>
  <c r="Z395" i="1"/>
  <c r="Y394" i="1"/>
  <c r="X394" i="1"/>
  <c r="Z394" i="1"/>
  <c r="Y231" i="1"/>
  <c r="X231" i="1"/>
  <c r="Z231" i="1"/>
  <c r="X393" i="1"/>
  <c r="Y393" i="1"/>
  <c r="Z393" i="1"/>
  <c r="T2662" i="1"/>
  <c r="O2662" i="1"/>
  <c r="O226" i="1"/>
  <c r="T226" i="1"/>
  <c r="M34" i="13"/>
  <c r="K33" i="13"/>
  <c r="J32" i="13"/>
  <c r="J21" i="13"/>
  <c r="J22" i="13" s="1"/>
  <c r="M20" i="13"/>
  <c r="M19" i="13"/>
  <c r="M17" i="13"/>
  <c r="F34" i="13"/>
  <c r="C32" i="13"/>
  <c r="F20" i="13"/>
  <c r="F19" i="13"/>
  <c r="F17" i="13"/>
  <c r="F21" i="13"/>
  <c r="F22" i="13" s="1"/>
  <c r="F68" i="13" l="1"/>
  <c r="F32" i="13"/>
  <c r="F66" i="13"/>
  <c r="F69" i="13"/>
  <c r="M69" i="13"/>
  <c r="M66" i="13"/>
  <c r="M68" i="13"/>
  <c r="Z686" i="1"/>
  <c r="X686" i="1"/>
  <c r="Y686" i="1"/>
  <c r="Y2579" i="1"/>
  <c r="X2579" i="1"/>
  <c r="Z2579" i="1"/>
  <c r="Z42" i="1"/>
  <c r="X42" i="1"/>
  <c r="Y42" i="1"/>
  <c r="Y467" i="1"/>
  <c r="X467" i="1"/>
  <c r="Z467" i="1"/>
  <c r="Z719" i="1"/>
  <c r="X719" i="1"/>
  <c r="Y719" i="1"/>
  <c r="Y2611" i="1"/>
  <c r="X2611" i="1"/>
  <c r="Z2611" i="1"/>
  <c r="Y522" i="1"/>
  <c r="X522" i="1"/>
  <c r="Z522" i="1"/>
  <c r="X779" i="1"/>
  <c r="Y779" i="1"/>
  <c r="Z779" i="1"/>
  <c r="X18" i="1"/>
  <c r="Z18" i="1"/>
  <c r="Y18" i="1"/>
  <c r="Z113" i="1"/>
  <c r="X113" i="1"/>
  <c r="Y113" i="1"/>
  <c r="X223" i="1"/>
  <c r="Z223" i="1"/>
  <c r="F6" i="16"/>
  <c r="S10" i="11"/>
  <c r="W68" i="1"/>
  <c r="V2661" i="1"/>
  <c r="Q2659" i="1"/>
  <c r="Q2667" i="1" s="1"/>
  <c r="Q2661" i="1"/>
  <c r="Q2670" i="1"/>
  <c r="O2661" i="1"/>
  <c r="T2661" i="1"/>
  <c r="M33" i="13"/>
  <c r="M32" i="13"/>
  <c r="M30" i="13"/>
  <c r="M35" i="13" s="1"/>
  <c r="M36" i="13" s="1"/>
  <c r="M21" i="13"/>
  <c r="M22" i="13" s="1"/>
  <c r="F33" i="13"/>
  <c r="F30" i="13"/>
  <c r="F35" i="13" s="1"/>
  <c r="F36" i="13" s="1"/>
  <c r="Z26" i="13"/>
  <c r="AA26" i="13" s="1"/>
  <c r="Z21" i="13"/>
  <c r="C21" i="13"/>
  <c r="C22" i="13" s="1"/>
  <c r="M71" i="13" l="1"/>
  <c r="M72" i="13" s="1"/>
  <c r="F71" i="13"/>
  <c r="F72" i="13" s="1"/>
  <c r="Z68" i="1"/>
  <c r="Y68" i="1"/>
  <c r="X68" i="1"/>
  <c r="Z22" i="13"/>
  <c r="Z23" i="13"/>
  <c r="Z24" i="13"/>
  <c r="AA24" i="13" s="1"/>
  <c r="Z25" i="13"/>
  <c r="AA25" i="13" s="1"/>
  <c r="D33" i="13"/>
  <c r="AA22" i="13" l="1"/>
  <c r="AA27" i="13" s="1"/>
  <c r="AA28" i="13" s="1"/>
  <c r="Z27" i="13"/>
  <c r="Z28" i="13" s="1"/>
  <c r="A19" i="12"/>
  <c r="A18" i="12"/>
  <c r="A17" i="12"/>
  <c r="A16" i="12"/>
  <c r="A15" i="12"/>
  <c r="A14" i="12"/>
  <c r="A13" i="12"/>
  <c r="A12" i="12"/>
  <c r="A11" i="12"/>
  <c r="A10" i="12"/>
  <c r="A9" i="12"/>
  <c r="Q6" i="12"/>
  <c r="Q24" i="12" s="1"/>
  <c r="P6" i="12"/>
  <c r="O6" i="12"/>
  <c r="N6" i="12"/>
  <c r="M6" i="12"/>
  <c r="L6" i="12"/>
  <c r="L8" i="12" s="1"/>
  <c r="K6" i="12"/>
  <c r="J6" i="12"/>
  <c r="I6" i="12"/>
  <c r="I24" i="12" s="1"/>
  <c r="H6" i="12"/>
  <c r="G6" i="12"/>
  <c r="F6" i="12"/>
  <c r="K3" i="12"/>
  <c r="I3" i="12"/>
  <c r="M3" i="12" s="1"/>
  <c r="F7" i="12" s="1"/>
  <c r="F8" i="12" s="1"/>
  <c r="A19" i="11"/>
  <c r="A18" i="11"/>
  <c r="A17" i="11"/>
  <c r="A16" i="11"/>
  <c r="A15" i="11"/>
  <c r="A14" i="11"/>
  <c r="A13" i="11"/>
  <c r="A12" i="11"/>
  <c r="N29" i="11"/>
  <c r="A11" i="11"/>
  <c r="M27" i="11"/>
  <c r="A10" i="11"/>
  <c r="L25" i="11"/>
  <c r="A9" i="11"/>
  <c r="Q6" i="11"/>
  <c r="Q31" i="11" s="1"/>
  <c r="P6" i="11"/>
  <c r="O6" i="11"/>
  <c r="N6" i="11"/>
  <c r="N35" i="11" s="1"/>
  <c r="M6" i="11"/>
  <c r="L6" i="11"/>
  <c r="K6" i="11"/>
  <c r="J6" i="11"/>
  <c r="J25" i="11" s="1"/>
  <c r="I6" i="11"/>
  <c r="H6" i="11"/>
  <c r="G6" i="11"/>
  <c r="F6" i="11"/>
  <c r="S4" i="11"/>
  <c r="T3" i="11"/>
  <c r="K3" i="11"/>
  <c r="I3" i="11"/>
  <c r="M3" i="11" s="1"/>
  <c r="F7" i="11" s="1"/>
  <c r="F8" i="11" s="1"/>
  <c r="N7" i="11" l="1"/>
  <c r="P30" i="11"/>
  <c r="G7" i="11"/>
  <c r="G8" i="11" s="1"/>
  <c r="H7" i="11" s="1"/>
  <c r="H8" i="11" s="1"/>
  <c r="I7" i="11" s="1"/>
  <c r="I8" i="11" s="1"/>
  <c r="J7" i="11" s="1"/>
  <c r="J8" i="11" s="1"/>
  <c r="K7" i="11" s="1"/>
  <c r="K8" i="11" s="1"/>
  <c r="L7" i="11" s="1"/>
  <c r="L8" i="11" s="1"/>
  <c r="M7" i="11"/>
  <c r="M25" i="11"/>
  <c r="J34" i="11"/>
  <c r="J36" i="11"/>
  <c r="O27" i="11"/>
  <c r="N31" i="11"/>
  <c r="F24" i="11"/>
  <c r="O7" i="11"/>
  <c r="G30" i="11"/>
  <c r="O31" i="11"/>
  <c r="F41" i="11"/>
  <c r="L24" i="11"/>
  <c r="O8" i="11"/>
  <c r="L29" i="11"/>
  <c r="P31" i="11"/>
  <c r="L42" i="11"/>
  <c r="M24" i="11"/>
  <c r="Q8" i="11"/>
  <c r="F28" i="11"/>
  <c r="M29" i="11"/>
  <c r="M41" i="11"/>
  <c r="F46" i="11"/>
  <c r="N24" i="11"/>
  <c r="G27" i="11"/>
  <c r="L27" i="11"/>
  <c r="L39" i="11"/>
  <c r="M45" i="11"/>
  <c r="G7" i="12"/>
  <c r="G8" i="12" s="1"/>
  <c r="H7" i="12" s="1"/>
  <c r="H8" i="12" s="1"/>
  <c r="I7" i="12" s="1"/>
  <c r="I8" i="12" s="1"/>
  <c r="J7" i="12" s="1"/>
  <c r="J8" i="12" s="1"/>
  <c r="K7" i="12" s="1"/>
  <c r="K8" i="12" s="1"/>
  <c r="O7" i="12"/>
  <c r="M8" i="12"/>
  <c r="P7" i="12"/>
  <c r="Q7" i="12"/>
  <c r="J24" i="12"/>
  <c r="G31" i="11"/>
  <c r="G32" i="11"/>
  <c r="G36" i="11"/>
  <c r="G35" i="11"/>
  <c r="O29" i="11"/>
  <c r="O30" i="11"/>
  <c r="F45" i="11"/>
  <c r="F25" i="11"/>
  <c r="F26" i="11"/>
  <c r="J40" i="11"/>
  <c r="J39" i="11"/>
  <c r="T4" i="11"/>
  <c r="M42" i="11"/>
  <c r="L31" i="11"/>
  <c r="L32" i="11"/>
  <c r="P34" i="11"/>
  <c r="P7" i="11"/>
  <c r="N28" i="11"/>
  <c r="L38" i="11"/>
  <c r="H24" i="11"/>
  <c r="M26" i="11"/>
  <c r="N27" i="11"/>
  <c r="O28" i="11"/>
  <c r="P29" i="11"/>
  <c r="I24" i="11"/>
  <c r="Q7" i="11"/>
  <c r="Q24" i="11"/>
  <c r="M31" i="11"/>
  <c r="M32" i="11"/>
  <c r="M39" i="11"/>
  <c r="M40" i="11"/>
  <c r="L41" i="11"/>
  <c r="L45" i="11"/>
  <c r="L46" i="11"/>
  <c r="J24" i="11"/>
  <c r="N32" i="11"/>
  <c r="M46" i="11"/>
  <c r="L37" i="11"/>
  <c r="H35" i="11"/>
  <c r="H36" i="11"/>
  <c r="N41" i="11"/>
  <c r="N42" i="11"/>
  <c r="N45" i="11"/>
  <c r="N46" i="11"/>
  <c r="I35" i="11"/>
  <c r="I36" i="11"/>
  <c r="P24" i="11"/>
  <c r="P33" i="11"/>
  <c r="K24" i="11"/>
  <c r="N33" i="11"/>
  <c r="N34" i="11"/>
  <c r="M34" i="11"/>
  <c r="M33" i="11"/>
  <c r="L26" i="11"/>
  <c r="O33" i="11"/>
  <c r="O34" i="11"/>
  <c r="O32" i="11"/>
  <c r="F36" i="11"/>
  <c r="F35" i="11"/>
  <c r="N36" i="11"/>
  <c r="I38" i="11"/>
  <c r="I37" i="11"/>
  <c r="F42" i="11"/>
  <c r="J26" i="11"/>
  <c r="N30" i="11"/>
  <c r="G24" i="11"/>
  <c r="O24" i="11"/>
  <c r="P8" i="11"/>
  <c r="N25" i="11"/>
  <c r="N26" i="11"/>
  <c r="F33" i="11"/>
  <c r="F34" i="11"/>
  <c r="M28" i="11"/>
  <c r="Q32" i="11"/>
  <c r="G33" i="11"/>
  <c r="G34" i="11"/>
  <c r="N7" i="12"/>
  <c r="N24" i="12"/>
  <c r="F24" i="12"/>
  <c r="L40" i="11"/>
  <c r="M8" i="11"/>
  <c r="N8" i="11"/>
  <c r="K24" i="12"/>
  <c r="L7" i="12"/>
  <c r="L24" i="12"/>
  <c r="M7" i="12"/>
  <c r="M24" i="12"/>
  <c r="N8" i="12"/>
  <c r="O8" i="12"/>
  <c r="P8" i="12"/>
  <c r="Q8" i="12"/>
  <c r="G24" i="12"/>
  <c r="O24" i="12"/>
  <c r="H24" i="12"/>
  <c r="P24" i="12"/>
  <c r="L30" i="11" l="1"/>
  <c r="L28" i="11"/>
  <c r="G28" i="11"/>
  <c r="F27" i="11"/>
  <c r="J33" i="11"/>
  <c r="J35" i="11"/>
  <c r="M30" i="11"/>
  <c r="G29" i="11"/>
  <c r="P32" i="11"/>
  <c r="W10" i="11"/>
  <c r="W18" i="11"/>
  <c r="W13" i="12"/>
  <c r="J41" i="11"/>
  <c r="J42" i="11"/>
  <c r="H38" i="11"/>
  <c r="H37" i="11"/>
  <c r="K45" i="11"/>
  <c r="K46" i="11"/>
  <c r="N40" i="11"/>
  <c r="N39" i="11"/>
  <c r="W11" i="12"/>
  <c r="K40" i="11"/>
  <c r="K39" i="11"/>
  <c r="O46" i="11"/>
  <c r="O45" i="11"/>
  <c r="J32" i="11"/>
  <c r="J31" i="11"/>
  <c r="P38" i="11"/>
  <c r="P37" i="11"/>
  <c r="Q27" i="11"/>
  <c r="Q28" i="11"/>
  <c r="W11" i="11"/>
  <c r="F29" i="11"/>
  <c r="F30" i="11"/>
  <c r="N37" i="11"/>
  <c r="N38" i="11"/>
  <c r="F40" i="11"/>
  <c r="W16" i="11"/>
  <c r="F39" i="11"/>
  <c r="W19" i="12"/>
  <c r="J37" i="11"/>
  <c r="J38" i="11"/>
  <c r="K37" i="11"/>
  <c r="K38" i="11"/>
  <c r="J29" i="11"/>
  <c r="J30" i="11"/>
  <c r="Q35" i="11"/>
  <c r="Q36" i="11"/>
  <c r="I27" i="11"/>
  <c r="I28" i="11"/>
  <c r="P27" i="11"/>
  <c r="P28" i="11"/>
  <c r="H26" i="11"/>
  <c r="H25" i="11"/>
  <c r="K25" i="11"/>
  <c r="K26" i="11"/>
  <c r="W15" i="11"/>
  <c r="F38" i="11"/>
  <c r="F37" i="11"/>
  <c r="W9" i="12"/>
  <c r="M38" i="11"/>
  <c r="M37" i="11"/>
  <c r="O36" i="11"/>
  <c r="O35" i="11"/>
  <c r="G25" i="11"/>
  <c r="G26" i="11"/>
  <c r="Q39" i="11"/>
  <c r="Q40" i="11"/>
  <c r="J46" i="11"/>
  <c r="J45" i="11"/>
  <c r="H34" i="11"/>
  <c r="H33" i="11"/>
  <c r="H45" i="11"/>
  <c r="H46" i="11"/>
  <c r="H42" i="11"/>
  <c r="H41" i="11"/>
  <c r="W9" i="11"/>
  <c r="W15" i="12"/>
  <c r="M35" i="11"/>
  <c r="M36" i="11"/>
  <c r="L35" i="11"/>
  <c r="L36" i="11"/>
  <c r="W10" i="12"/>
  <c r="Q33" i="11"/>
  <c r="Q34" i="11"/>
  <c r="G41" i="11"/>
  <c r="G42" i="11"/>
  <c r="F32" i="11"/>
  <c r="W12" i="11"/>
  <c r="F31" i="11"/>
  <c r="Q38" i="11"/>
  <c r="Q37" i="11"/>
  <c r="Q25" i="11"/>
  <c r="Q26" i="11"/>
  <c r="I25" i="11"/>
  <c r="I26" i="11"/>
  <c r="K41" i="11"/>
  <c r="K42" i="11"/>
  <c r="P42" i="11"/>
  <c r="P41" i="11"/>
  <c r="H39" i="11"/>
  <c r="H40" i="11"/>
  <c r="W14" i="12"/>
  <c r="L34" i="11"/>
  <c r="L33" i="11"/>
  <c r="W18" i="12"/>
  <c r="W13" i="11"/>
  <c r="O25" i="11"/>
  <c r="O26" i="11"/>
  <c r="G39" i="11"/>
  <c r="G40" i="11"/>
  <c r="K27" i="11"/>
  <c r="K28" i="11"/>
  <c r="K33" i="11"/>
  <c r="K34" i="11"/>
  <c r="I34" i="11"/>
  <c r="I33" i="11"/>
  <c r="Q42" i="11"/>
  <c r="Q41" i="11"/>
  <c r="I41" i="11"/>
  <c r="I42" i="11"/>
  <c r="P26" i="11"/>
  <c r="P25" i="11"/>
  <c r="K35" i="11"/>
  <c r="K36" i="11"/>
  <c r="W17" i="12"/>
  <c r="O41" i="11"/>
  <c r="O42" i="11"/>
  <c r="G37" i="11"/>
  <c r="G38" i="11"/>
  <c r="K31" i="11"/>
  <c r="K32" i="11"/>
  <c r="J28" i="11"/>
  <c r="J27" i="11"/>
  <c r="Q29" i="11"/>
  <c r="Q30" i="11"/>
  <c r="I29" i="11"/>
  <c r="I30" i="11"/>
  <c r="P35" i="11"/>
  <c r="P36" i="11"/>
  <c r="P39" i="11"/>
  <c r="P40" i="11"/>
  <c r="W14" i="11"/>
  <c r="W16" i="12"/>
  <c r="O39" i="11"/>
  <c r="O40" i="11"/>
  <c r="G46" i="11"/>
  <c r="G45" i="11"/>
  <c r="I39" i="11"/>
  <c r="I40" i="11"/>
  <c r="K29" i="11"/>
  <c r="K30" i="11"/>
  <c r="P45" i="11"/>
  <c r="P46" i="11"/>
  <c r="Q45" i="11"/>
  <c r="Q46" i="11"/>
  <c r="I45" i="11"/>
  <c r="I46" i="11"/>
  <c r="I31" i="11"/>
  <c r="I32" i="11"/>
  <c r="H30" i="11"/>
  <c r="H29" i="11"/>
  <c r="W19" i="11"/>
  <c r="W17" i="11"/>
  <c r="W12" i="12"/>
  <c r="H31" i="11"/>
  <c r="H32" i="11"/>
  <c r="O37" i="11"/>
  <c r="O38" i="11"/>
  <c r="H27" i="11"/>
  <c r="H28" i="11"/>
  <c r="R46" i="11" l="1"/>
  <c r="R36" i="11"/>
  <c r="R33" i="11"/>
  <c r="R26" i="11"/>
  <c r="R34" i="11"/>
  <c r="S41" i="11"/>
  <c r="S33" i="11"/>
  <c r="S46" i="11"/>
  <c r="S42" i="11"/>
  <c r="R45" i="11"/>
  <c r="R28" i="11"/>
  <c r="S27" i="11"/>
  <c r="S35" i="11"/>
  <c r="R41" i="11"/>
  <c r="S34" i="11"/>
  <c r="S45" i="11"/>
  <c r="R35" i="11"/>
  <c r="S29" i="11"/>
  <c r="R29" i="11"/>
  <c r="S37" i="11"/>
  <c r="R37" i="11"/>
  <c r="R27" i="11"/>
  <c r="R42" i="11"/>
  <c r="S38" i="11"/>
  <c r="R38" i="11"/>
  <c r="S36" i="11"/>
  <c r="S39" i="11"/>
  <c r="R39" i="11"/>
  <c r="S31" i="11"/>
  <c r="R31" i="11"/>
  <c r="R25" i="11"/>
  <c r="R40" i="11"/>
  <c r="S40" i="11"/>
  <c r="S25" i="11"/>
  <c r="S26" i="11"/>
  <c r="R32" i="11"/>
  <c r="S32" i="11"/>
  <c r="S28" i="11"/>
  <c r="S30" i="11"/>
  <c r="R30" i="11"/>
  <c r="W63" i="2" l="1"/>
  <c r="W62" i="2"/>
  <c r="W61" i="2"/>
  <c r="W48" i="2"/>
  <c r="W47" i="2"/>
  <c r="W46" i="2"/>
  <c r="W45" i="2"/>
  <c r="W44" i="2"/>
  <c r="W24" i="2"/>
  <c r="W18" i="2"/>
  <c r="W17" i="2"/>
  <c r="W16" i="2"/>
  <c r="W15" i="2"/>
  <c r="W14" i="2"/>
  <c r="W26" i="2" s="1"/>
  <c r="W13" i="2"/>
  <c r="W25" i="2" s="1"/>
  <c r="W11" i="2"/>
  <c r="W23" i="2" s="1"/>
  <c r="B8" i="9" l="1"/>
  <c r="B12" i="9" s="1"/>
  <c r="B13" i="8"/>
  <c r="B17" i="8" s="1"/>
  <c r="B9" i="8"/>
  <c r="B7" i="8"/>
  <c r="D2573" i="1" l="1"/>
  <c r="D2567" i="1"/>
  <c r="D2561" i="1"/>
  <c r="D2555" i="1"/>
  <c r="D2549" i="1"/>
  <c r="D2543" i="1"/>
  <c r="D2537" i="1"/>
  <c r="D2531" i="1"/>
  <c r="D2525" i="1"/>
  <c r="D2519" i="1"/>
  <c r="G2534" i="1" l="1"/>
  <c r="H2534" i="1" s="1"/>
  <c r="G2535" i="1"/>
  <c r="H2535" i="1" s="1"/>
  <c r="G2532" i="1"/>
  <c r="H2532" i="1" s="1"/>
  <c r="G2536" i="1"/>
  <c r="H2536" i="1" s="1"/>
  <c r="G2533" i="1"/>
  <c r="H2533" i="1" s="1"/>
  <c r="I2531" i="1"/>
  <c r="G2539" i="1"/>
  <c r="H2539" i="1" s="1"/>
  <c r="G2540" i="1"/>
  <c r="H2540" i="1" s="1"/>
  <c r="G2541" i="1"/>
  <c r="H2541" i="1" s="1"/>
  <c r="G2538" i="1"/>
  <c r="H2538" i="1" s="1"/>
  <c r="G2542" i="1"/>
  <c r="H2542" i="1" s="1"/>
  <c r="I2537" i="1"/>
  <c r="G2521" i="1"/>
  <c r="H2521" i="1" s="1"/>
  <c r="G2523" i="1"/>
  <c r="H2523" i="1" s="1"/>
  <c r="G2524" i="1"/>
  <c r="H2524" i="1" s="1"/>
  <c r="G2520" i="1"/>
  <c r="H2520" i="1" s="1"/>
  <c r="H2519" i="1" s="1"/>
  <c r="J2519" i="1" s="1"/>
  <c r="G2522" i="1"/>
  <c r="H2522" i="1" s="1"/>
  <c r="I2519" i="1"/>
  <c r="G2568" i="1"/>
  <c r="H2568" i="1" s="1"/>
  <c r="G2572" i="1"/>
  <c r="H2572" i="1" s="1"/>
  <c r="G2569" i="1"/>
  <c r="H2569" i="1" s="1"/>
  <c r="G2570" i="1"/>
  <c r="H2570" i="1" s="1"/>
  <c r="G2571" i="1"/>
  <c r="H2571" i="1" s="1"/>
  <c r="I2567" i="1"/>
  <c r="G2558" i="1"/>
  <c r="H2558" i="1" s="1"/>
  <c r="G2559" i="1"/>
  <c r="H2559" i="1" s="1"/>
  <c r="G2556" i="1"/>
  <c r="H2556" i="1" s="1"/>
  <c r="G2560" i="1"/>
  <c r="H2560" i="1" s="1"/>
  <c r="G2557" i="1"/>
  <c r="H2557" i="1" s="1"/>
  <c r="I2555" i="1"/>
  <c r="G2563" i="1"/>
  <c r="H2563" i="1" s="1"/>
  <c r="G2564" i="1"/>
  <c r="H2564" i="1" s="1"/>
  <c r="G2565" i="1"/>
  <c r="H2565" i="1" s="1"/>
  <c r="G2562" i="1"/>
  <c r="H2562" i="1" s="1"/>
  <c r="G2566" i="1"/>
  <c r="H2566" i="1" s="1"/>
  <c r="I2561" i="1"/>
  <c r="G2544" i="1"/>
  <c r="H2544" i="1" s="1"/>
  <c r="G2548" i="1"/>
  <c r="H2548" i="1" s="1"/>
  <c r="G2545" i="1"/>
  <c r="H2545" i="1" s="1"/>
  <c r="G2546" i="1"/>
  <c r="H2546" i="1" s="1"/>
  <c r="G2547" i="1"/>
  <c r="H2547" i="1" s="1"/>
  <c r="I2543" i="1"/>
  <c r="G2526" i="1"/>
  <c r="H2526" i="1" s="1"/>
  <c r="G2529" i="1"/>
  <c r="H2529" i="1" s="1"/>
  <c r="G2530" i="1"/>
  <c r="H2530" i="1" s="1"/>
  <c r="G2527" i="1"/>
  <c r="H2527" i="1" s="1"/>
  <c r="G2528" i="1"/>
  <c r="H2528" i="1" s="1"/>
  <c r="I2525" i="1"/>
  <c r="G2553" i="1"/>
  <c r="H2553" i="1" s="1"/>
  <c r="G2550" i="1"/>
  <c r="H2550" i="1" s="1"/>
  <c r="G2554" i="1"/>
  <c r="H2554" i="1" s="1"/>
  <c r="G2551" i="1"/>
  <c r="H2551" i="1" s="1"/>
  <c r="G2552" i="1"/>
  <c r="H2552" i="1" s="1"/>
  <c r="I2549" i="1"/>
  <c r="G2577" i="1"/>
  <c r="H2577" i="1" s="1"/>
  <c r="G2574" i="1"/>
  <c r="H2574" i="1" s="1"/>
  <c r="H2573" i="1" s="1"/>
  <c r="J2573" i="1" s="1"/>
  <c r="G2578" i="1"/>
  <c r="H2578" i="1" s="1"/>
  <c r="G2575" i="1"/>
  <c r="H2575" i="1" s="1"/>
  <c r="G2576" i="1"/>
  <c r="H2576" i="1" s="1"/>
  <c r="I2573" i="1"/>
  <c r="N3" i="2"/>
  <c r="T3" i="2"/>
  <c r="N4" i="2"/>
  <c r="O4" i="2"/>
  <c r="N5" i="2"/>
  <c r="T5" i="2"/>
  <c r="N6" i="2"/>
  <c r="T6" i="2"/>
  <c r="R7" i="2"/>
  <c r="R9" i="2"/>
  <c r="R10" i="2"/>
  <c r="P11" i="2"/>
  <c r="R11" i="2"/>
  <c r="R23" i="2" s="1"/>
  <c r="N12" i="2"/>
  <c r="P12" i="2"/>
  <c r="P13" i="2"/>
  <c r="R13" i="2"/>
  <c r="R25" i="2" s="1"/>
  <c r="P14" i="2"/>
  <c r="R14" i="2"/>
  <c r="R26" i="2" s="1"/>
  <c r="P15" i="2"/>
  <c r="H15" i="2" s="1"/>
  <c r="G2192" i="1" s="1"/>
  <c r="H2192" i="1" s="1"/>
  <c r="R15" i="2"/>
  <c r="P16" i="2"/>
  <c r="R16" i="2"/>
  <c r="P17" i="2"/>
  <c r="H17" i="2" s="1"/>
  <c r="G2204" i="1" s="1"/>
  <c r="H2204" i="1" s="1"/>
  <c r="R17" i="2"/>
  <c r="P18" i="2"/>
  <c r="R18" i="2"/>
  <c r="P19" i="2"/>
  <c r="P20" i="2"/>
  <c r="R20" i="2"/>
  <c r="P21" i="2"/>
  <c r="P22" i="2"/>
  <c r="R24" i="2"/>
  <c r="N27" i="2"/>
  <c r="O27" i="2"/>
  <c r="T27" i="2"/>
  <c r="N28" i="2"/>
  <c r="O28" i="2"/>
  <c r="T28" i="2"/>
  <c r="N29" i="2"/>
  <c r="O29" i="2"/>
  <c r="T29" i="2"/>
  <c r="N30" i="2"/>
  <c r="O30" i="2"/>
  <c r="T30" i="2"/>
  <c r="N31" i="2"/>
  <c r="O31" i="2"/>
  <c r="T31" i="2"/>
  <c r="R32" i="2"/>
  <c r="R33" i="2"/>
  <c r="R34" i="2"/>
  <c r="R35" i="2"/>
  <c r="R36" i="2"/>
  <c r="N37" i="2"/>
  <c r="R37" i="2"/>
  <c r="N38" i="2"/>
  <c r="R38" i="2"/>
  <c r="N39" i="2"/>
  <c r="R39" i="2"/>
  <c r="N40" i="2"/>
  <c r="R40" i="2"/>
  <c r="N41" i="2"/>
  <c r="R41" i="2"/>
  <c r="N42" i="2"/>
  <c r="R42" i="2"/>
  <c r="N43" i="2"/>
  <c r="R43" i="2"/>
  <c r="N44" i="2"/>
  <c r="J44" i="2" s="1"/>
  <c r="I2363" i="1" s="1"/>
  <c r="O44" i="2"/>
  <c r="R44" i="2"/>
  <c r="H44" i="2" s="1"/>
  <c r="G2366" i="1" s="1"/>
  <c r="H2366" i="1" s="1"/>
  <c r="T44" i="2"/>
  <c r="N45" i="2"/>
  <c r="J45" i="2" s="1"/>
  <c r="I2369" i="1" s="1"/>
  <c r="O45" i="2"/>
  <c r="R45" i="2"/>
  <c r="H45" i="2" s="1"/>
  <c r="G2372" i="1" s="1"/>
  <c r="H2372" i="1" s="1"/>
  <c r="T45" i="2"/>
  <c r="N46" i="2"/>
  <c r="J46" i="2" s="1"/>
  <c r="I2375" i="1" s="1"/>
  <c r="O46" i="2"/>
  <c r="Q46" i="2"/>
  <c r="R46" i="2"/>
  <c r="T46" i="2"/>
  <c r="N47" i="2"/>
  <c r="O47" i="2"/>
  <c r="R47" i="2"/>
  <c r="H47" i="2" s="1"/>
  <c r="G2384" i="1" s="1"/>
  <c r="H2384" i="1" s="1"/>
  <c r="T47" i="2"/>
  <c r="N48" i="2"/>
  <c r="O48" i="2"/>
  <c r="R48" i="2"/>
  <c r="H48" i="2" s="1"/>
  <c r="G2390" i="1" s="1"/>
  <c r="H2390" i="1" s="1"/>
  <c r="T48" i="2"/>
  <c r="P49" i="2"/>
  <c r="P50" i="2"/>
  <c r="O51" i="2"/>
  <c r="P51" i="2"/>
  <c r="Q51" i="2"/>
  <c r="T51" i="2"/>
  <c r="P52" i="2"/>
  <c r="P53" i="2"/>
  <c r="N54" i="2"/>
  <c r="R54" i="2"/>
  <c r="N55" i="2"/>
  <c r="R55" i="2"/>
  <c r="N56" i="2"/>
  <c r="O56" i="2"/>
  <c r="Q56" i="2"/>
  <c r="R56" i="2"/>
  <c r="W56" i="2" s="1"/>
  <c r="N57" i="2"/>
  <c r="R57" i="2"/>
  <c r="N58" i="2"/>
  <c r="R58" i="2"/>
  <c r="P59" i="2"/>
  <c r="N61" i="2"/>
  <c r="R61" i="2"/>
  <c r="N62" i="2"/>
  <c r="J62" i="2" s="1"/>
  <c r="I2471" i="1" s="1"/>
  <c r="R62" i="2"/>
  <c r="N63" i="2"/>
  <c r="R63" i="2"/>
  <c r="N64" i="2"/>
  <c r="J64" i="2" s="1"/>
  <c r="I2483" i="1" s="1"/>
  <c r="N65" i="2"/>
  <c r="J65" i="2" s="1"/>
  <c r="I2489" i="1" s="1"/>
  <c r="N66" i="2"/>
  <c r="J66" i="2" s="1"/>
  <c r="I2495" i="1" s="1"/>
  <c r="N67" i="2"/>
  <c r="J67" i="2" s="1"/>
  <c r="I2501" i="1" s="1"/>
  <c r="N68" i="2"/>
  <c r="J68" i="2" s="1"/>
  <c r="I2507" i="1" s="1"/>
  <c r="N69" i="2"/>
  <c r="J69" i="2" s="1"/>
  <c r="I2513" i="1" s="1"/>
  <c r="R30" i="2"/>
  <c r="R50" i="2"/>
  <c r="N34" i="2"/>
  <c r="N36" i="2"/>
  <c r="O5" i="2"/>
  <c r="F5" i="2" l="1"/>
  <c r="G2130" i="1" s="1"/>
  <c r="H2130" i="1" s="1"/>
  <c r="G5" i="2"/>
  <c r="G2131" i="1" s="1"/>
  <c r="H2131" i="1" s="1"/>
  <c r="E5" i="2"/>
  <c r="G2133" i="1" s="1"/>
  <c r="H2133" i="1" s="1"/>
  <c r="L5" i="2"/>
  <c r="G2134" i="1" s="1"/>
  <c r="H2134" i="1" s="1"/>
  <c r="J2483" i="1"/>
  <c r="K2483" i="1"/>
  <c r="G35" i="2"/>
  <c r="G2311" i="1" s="1"/>
  <c r="H2311" i="1" s="1"/>
  <c r="H35" i="2"/>
  <c r="G2312" i="1" s="1"/>
  <c r="H2312" i="1" s="1"/>
  <c r="F35" i="2"/>
  <c r="G2310" i="1" s="1"/>
  <c r="H2310" i="1" s="1"/>
  <c r="H2309" i="1" s="1"/>
  <c r="G30" i="2"/>
  <c r="G2281" i="1" s="1"/>
  <c r="H2281" i="1" s="1"/>
  <c r="F30" i="2"/>
  <c r="G2280" i="1" s="1"/>
  <c r="H2280" i="1" s="1"/>
  <c r="L30" i="2"/>
  <c r="G2284" i="1" s="1"/>
  <c r="H2284" i="1" s="1"/>
  <c r="E30" i="2"/>
  <c r="G2283" i="1" s="1"/>
  <c r="H2283" i="1" s="1"/>
  <c r="F19" i="2"/>
  <c r="G2214" i="1" s="1"/>
  <c r="H2214" i="1" s="1"/>
  <c r="F13" i="2"/>
  <c r="G2178" i="1" s="1"/>
  <c r="H2178" i="1" s="1"/>
  <c r="H2177" i="1" s="1"/>
  <c r="J2177" i="1" s="1"/>
  <c r="G13" i="2"/>
  <c r="G2179" i="1" s="1"/>
  <c r="H2179" i="1" s="1"/>
  <c r="H13" i="2"/>
  <c r="G2180" i="1" s="1"/>
  <c r="H2180" i="1" s="1"/>
  <c r="G11" i="2"/>
  <c r="G2167" i="1" s="1"/>
  <c r="H2167" i="1" s="1"/>
  <c r="H11" i="2"/>
  <c r="G2168" i="1" s="1"/>
  <c r="H2168" i="1" s="1"/>
  <c r="F11" i="2"/>
  <c r="G2166" i="1" s="1"/>
  <c r="H2166" i="1" s="1"/>
  <c r="K2567" i="1"/>
  <c r="T2567" i="1" s="1"/>
  <c r="K2537" i="1"/>
  <c r="T2537" i="1" s="1"/>
  <c r="H30" i="2"/>
  <c r="G2282" i="1" s="1"/>
  <c r="H2282" i="1" s="1"/>
  <c r="W30" i="2"/>
  <c r="W35" i="2" s="1"/>
  <c r="J58" i="2"/>
  <c r="I2447" i="1" s="1"/>
  <c r="H56" i="2"/>
  <c r="G2438" i="1" s="1"/>
  <c r="H2438" i="1" s="1"/>
  <c r="G52" i="2"/>
  <c r="G2413" i="1" s="1"/>
  <c r="H2413" i="1" s="1"/>
  <c r="F52" i="2"/>
  <c r="G2412" i="1" s="1"/>
  <c r="H2412" i="1" s="1"/>
  <c r="L51" i="2"/>
  <c r="G2410" i="1" s="1"/>
  <c r="H2410" i="1" s="1"/>
  <c r="E51" i="2"/>
  <c r="G2409" i="1" s="1"/>
  <c r="H2409" i="1" s="1"/>
  <c r="F51" i="2"/>
  <c r="G2406" i="1" s="1"/>
  <c r="H2406" i="1" s="1"/>
  <c r="G43" i="2"/>
  <c r="G2359" i="1" s="1"/>
  <c r="H2359" i="1" s="1"/>
  <c r="F43" i="2"/>
  <c r="G2358" i="1" s="1"/>
  <c r="H2358" i="1" s="1"/>
  <c r="H43" i="2"/>
  <c r="G2360" i="1" s="1"/>
  <c r="H2360" i="1" s="1"/>
  <c r="W43" i="2"/>
  <c r="J43" i="2" s="1"/>
  <c r="I2357" i="1" s="1"/>
  <c r="G39" i="2"/>
  <c r="G2335" i="1" s="1"/>
  <c r="H2335" i="1" s="1"/>
  <c r="H39" i="2"/>
  <c r="G2336" i="1" s="1"/>
  <c r="H2336" i="1" s="1"/>
  <c r="F39" i="2"/>
  <c r="G2334" i="1" s="1"/>
  <c r="H2334" i="1" s="1"/>
  <c r="H2333" i="1" s="1"/>
  <c r="W39" i="2"/>
  <c r="H34" i="2"/>
  <c r="G2306" i="1" s="1"/>
  <c r="H2306" i="1" s="1"/>
  <c r="G34" i="2"/>
  <c r="G2305" i="1" s="1"/>
  <c r="H2305" i="1" s="1"/>
  <c r="F34" i="2"/>
  <c r="G2304" i="1" s="1"/>
  <c r="H2304" i="1" s="1"/>
  <c r="H2303" i="1" s="1"/>
  <c r="E31" i="2"/>
  <c r="G2289" i="1" s="1"/>
  <c r="H2289" i="1" s="1"/>
  <c r="L31" i="2"/>
  <c r="G2290" i="1" s="1"/>
  <c r="H2290" i="1" s="1"/>
  <c r="G27" i="2"/>
  <c r="G2263" i="1" s="1"/>
  <c r="H2263" i="1" s="1"/>
  <c r="E27" i="2"/>
  <c r="G2265" i="1" s="1"/>
  <c r="H2265" i="1" s="1"/>
  <c r="L27" i="2"/>
  <c r="G2266" i="1" s="1"/>
  <c r="H2266" i="1" s="1"/>
  <c r="H12" i="2"/>
  <c r="G2174" i="1" s="1"/>
  <c r="H2174" i="1" s="1"/>
  <c r="G12" i="2"/>
  <c r="G2173" i="1" s="1"/>
  <c r="H2173" i="1" s="1"/>
  <c r="F12" i="2"/>
  <c r="G2172" i="1" s="1"/>
  <c r="H2172" i="1" s="1"/>
  <c r="H10" i="2"/>
  <c r="G2162" i="1" s="1"/>
  <c r="H2162" i="1" s="1"/>
  <c r="F10" i="2"/>
  <c r="G2160" i="1" s="1"/>
  <c r="H2160" i="1" s="1"/>
  <c r="H2159" i="1" s="1"/>
  <c r="G10" i="2"/>
  <c r="G2161" i="1" s="1"/>
  <c r="H2161" i="1" s="1"/>
  <c r="J4" i="2"/>
  <c r="I2123" i="1" s="1"/>
  <c r="H2525" i="1"/>
  <c r="J2525" i="1" s="1"/>
  <c r="K2525" i="1" s="1"/>
  <c r="T2525" i="1" s="1"/>
  <c r="H2555" i="1"/>
  <c r="J2555" i="1" s="1"/>
  <c r="H2567" i="1"/>
  <c r="J2567" i="1" s="1"/>
  <c r="H2531" i="1"/>
  <c r="J2531" i="1" s="1"/>
  <c r="R51" i="2"/>
  <c r="G51" i="2" s="1"/>
  <c r="G2407" i="1" s="1"/>
  <c r="H2407" i="1" s="1"/>
  <c r="J2495" i="1"/>
  <c r="K2495" i="1" s="1"/>
  <c r="J63" i="2"/>
  <c r="I2477" i="1" s="1"/>
  <c r="J61" i="2"/>
  <c r="I2465" i="1" s="1"/>
  <c r="F57" i="2"/>
  <c r="G2442" i="1" s="1"/>
  <c r="H2442" i="1" s="1"/>
  <c r="G57" i="2"/>
  <c r="G2443" i="1" s="1"/>
  <c r="H2443" i="1" s="1"/>
  <c r="H57" i="2"/>
  <c r="G2444" i="1" s="1"/>
  <c r="H2444" i="1" s="1"/>
  <c r="W57" i="2"/>
  <c r="G56" i="2"/>
  <c r="G2437" i="1" s="1"/>
  <c r="H2437" i="1" s="1"/>
  <c r="E56" i="2"/>
  <c r="G2439" i="1" s="1"/>
  <c r="H2439" i="1" s="1"/>
  <c r="F56" i="2"/>
  <c r="G2436" i="1" s="1"/>
  <c r="H2436" i="1" s="1"/>
  <c r="H2435" i="1" s="1"/>
  <c r="J2435" i="1" s="1"/>
  <c r="L56" i="2"/>
  <c r="G2440" i="1" s="1"/>
  <c r="H2440" i="1" s="1"/>
  <c r="G54" i="2"/>
  <c r="G2425" i="1" s="1"/>
  <c r="H2425" i="1" s="1"/>
  <c r="F54" i="2"/>
  <c r="G2424" i="1" s="1"/>
  <c r="H2424" i="1" s="1"/>
  <c r="H54" i="2"/>
  <c r="G2426" i="1" s="1"/>
  <c r="H2426" i="1" s="1"/>
  <c r="W54" i="2"/>
  <c r="H50" i="2"/>
  <c r="G2402" i="1" s="1"/>
  <c r="H2402" i="1" s="1"/>
  <c r="G50" i="2"/>
  <c r="G2401" i="1" s="1"/>
  <c r="H2401" i="1" s="1"/>
  <c r="F50" i="2"/>
  <c r="G2400" i="1" s="1"/>
  <c r="H2400" i="1" s="1"/>
  <c r="H2399" i="1" s="1"/>
  <c r="J2399" i="1" s="1"/>
  <c r="G48" i="2"/>
  <c r="G2389" i="1" s="1"/>
  <c r="H2389" i="1" s="1"/>
  <c r="F48" i="2"/>
  <c r="G2388" i="1" s="1"/>
  <c r="H2388" i="1" s="1"/>
  <c r="L48" i="2"/>
  <c r="G2392" i="1" s="1"/>
  <c r="H2392" i="1" s="1"/>
  <c r="E48" i="2"/>
  <c r="G2391" i="1" s="1"/>
  <c r="H2391" i="1" s="1"/>
  <c r="G47" i="2"/>
  <c r="G2383" i="1" s="1"/>
  <c r="H2383" i="1" s="1"/>
  <c r="E47" i="2"/>
  <c r="G2385" i="1" s="1"/>
  <c r="H2385" i="1" s="1"/>
  <c r="F47" i="2"/>
  <c r="G2382" i="1" s="1"/>
  <c r="H2382" i="1" s="1"/>
  <c r="L47" i="2"/>
  <c r="G2386" i="1" s="1"/>
  <c r="H2386" i="1" s="1"/>
  <c r="H46" i="2"/>
  <c r="G2378" i="1" s="1"/>
  <c r="H2378" i="1" s="1"/>
  <c r="J39" i="2"/>
  <c r="I2333" i="1" s="1"/>
  <c r="F33" i="2"/>
  <c r="G2298" i="1" s="1"/>
  <c r="H2298" i="1" s="1"/>
  <c r="G33" i="2"/>
  <c r="G2299" i="1" s="1"/>
  <c r="H2299" i="1" s="1"/>
  <c r="H33" i="2"/>
  <c r="G2300" i="1" s="1"/>
  <c r="H2300" i="1" s="1"/>
  <c r="L28" i="2"/>
  <c r="G2272" i="1" s="1"/>
  <c r="H2272" i="1" s="1"/>
  <c r="G28" i="2"/>
  <c r="G2269" i="1" s="1"/>
  <c r="H2269" i="1" s="1"/>
  <c r="E28" i="2"/>
  <c r="G2271" i="1" s="1"/>
  <c r="H2271" i="1" s="1"/>
  <c r="H18" i="2"/>
  <c r="G2210" i="1" s="1"/>
  <c r="H2210" i="1" s="1"/>
  <c r="H16" i="2"/>
  <c r="G2198" i="1" s="1"/>
  <c r="H2198" i="1" s="1"/>
  <c r="F14" i="2"/>
  <c r="G2184" i="1" s="1"/>
  <c r="H2184" i="1" s="1"/>
  <c r="H14" i="2"/>
  <c r="G2186" i="1" s="1"/>
  <c r="H2186" i="1" s="1"/>
  <c r="G14" i="2"/>
  <c r="G2185" i="1" s="1"/>
  <c r="H2185" i="1" s="1"/>
  <c r="J12" i="2"/>
  <c r="I2171" i="1" s="1"/>
  <c r="F9" i="2"/>
  <c r="G2154" i="1" s="1"/>
  <c r="H2154" i="1" s="1"/>
  <c r="G9" i="2"/>
  <c r="G2155" i="1" s="1"/>
  <c r="H2155" i="1" s="1"/>
  <c r="H9" i="2"/>
  <c r="G2156" i="1" s="1"/>
  <c r="H2156" i="1" s="1"/>
  <c r="K2549" i="1"/>
  <c r="T2549" i="1" s="1"/>
  <c r="H2549" i="1"/>
  <c r="J2549" i="1" s="1"/>
  <c r="H2561" i="1"/>
  <c r="J2561" i="1" s="1"/>
  <c r="K2555" i="1"/>
  <c r="T2555" i="1" s="1"/>
  <c r="K2519" i="1"/>
  <c r="T2519" i="1" s="1"/>
  <c r="H2537" i="1"/>
  <c r="J2537" i="1" s="1"/>
  <c r="K2531" i="1"/>
  <c r="T2531" i="1" s="1"/>
  <c r="J2507" i="1"/>
  <c r="K2507" i="1" s="1"/>
  <c r="T2507" i="1" s="1"/>
  <c r="H58" i="2"/>
  <c r="G2450" i="1" s="1"/>
  <c r="H2450" i="1" s="1"/>
  <c r="G58" i="2"/>
  <c r="G2449" i="1" s="1"/>
  <c r="H2449" i="1" s="1"/>
  <c r="F58" i="2"/>
  <c r="G2448" i="1" s="1"/>
  <c r="H2448" i="1" s="1"/>
  <c r="W58" i="2"/>
  <c r="G55" i="2"/>
  <c r="G2431" i="1" s="1"/>
  <c r="H2431" i="1" s="1"/>
  <c r="H55" i="2"/>
  <c r="G2432" i="1" s="1"/>
  <c r="H2432" i="1" s="1"/>
  <c r="F55" i="2"/>
  <c r="G2430" i="1" s="1"/>
  <c r="H2430" i="1" s="1"/>
  <c r="W55" i="2"/>
  <c r="F53" i="2"/>
  <c r="G2418" i="1" s="1"/>
  <c r="H2418" i="1" s="1"/>
  <c r="G53" i="2"/>
  <c r="G2419" i="1" s="1"/>
  <c r="H2419" i="1" s="1"/>
  <c r="H51" i="2"/>
  <c r="G2408" i="1" s="1"/>
  <c r="H2408" i="1" s="1"/>
  <c r="J42" i="2"/>
  <c r="I2351" i="1" s="1"/>
  <c r="F22" i="2"/>
  <c r="G2232" i="1" s="1"/>
  <c r="H2232" i="1" s="1"/>
  <c r="H22" i="2"/>
  <c r="G2234" i="1" s="1"/>
  <c r="H2234" i="1" s="1"/>
  <c r="L4" i="2"/>
  <c r="G2128" i="1" s="1"/>
  <c r="H2128" i="1" s="1"/>
  <c r="E4" i="2"/>
  <c r="G2127" i="1" s="1"/>
  <c r="H2127" i="1" s="1"/>
  <c r="F4" i="2"/>
  <c r="G2124" i="1" s="1"/>
  <c r="H2124" i="1" s="1"/>
  <c r="H2123" i="1" s="1"/>
  <c r="J2123" i="1" s="1"/>
  <c r="G4" i="2"/>
  <c r="G2125" i="1" s="1"/>
  <c r="H2125" i="1" s="1"/>
  <c r="K2573" i="1"/>
  <c r="T2573" i="1" s="1"/>
  <c r="K2561" i="1"/>
  <c r="T2561" i="1" s="1"/>
  <c r="J2501" i="1"/>
  <c r="K2501" i="1" s="1"/>
  <c r="T2501" i="1" s="1"/>
  <c r="H63" i="2"/>
  <c r="G2480" i="1" s="1"/>
  <c r="H2480" i="1" s="1"/>
  <c r="G63" i="2"/>
  <c r="G2479" i="1" s="1"/>
  <c r="H2479" i="1" s="1"/>
  <c r="F63" i="2"/>
  <c r="G2478" i="1" s="1"/>
  <c r="H2478" i="1" s="1"/>
  <c r="H2477" i="1" s="1"/>
  <c r="J2477" i="1" s="1"/>
  <c r="F61" i="2"/>
  <c r="G2466" i="1" s="1"/>
  <c r="H2466" i="1" s="1"/>
  <c r="G61" i="2"/>
  <c r="G2467" i="1" s="1"/>
  <c r="H2467" i="1" s="1"/>
  <c r="H61" i="2"/>
  <c r="G2468" i="1" s="1"/>
  <c r="H2468" i="1" s="1"/>
  <c r="J55" i="2"/>
  <c r="I2429" i="1" s="1"/>
  <c r="F41" i="2"/>
  <c r="G2346" i="1" s="1"/>
  <c r="H2346" i="1" s="1"/>
  <c r="G41" i="2"/>
  <c r="G2347" i="1" s="1"/>
  <c r="H2347" i="1" s="1"/>
  <c r="H41" i="2"/>
  <c r="G2348" i="1" s="1"/>
  <c r="H2348" i="1" s="1"/>
  <c r="W41" i="2"/>
  <c r="J41" i="2" s="1"/>
  <c r="I2345" i="1" s="1"/>
  <c r="F37" i="2"/>
  <c r="G2322" i="1" s="1"/>
  <c r="H2322" i="1" s="1"/>
  <c r="G37" i="2"/>
  <c r="G2323" i="1" s="1"/>
  <c r="H2323" i="1" s="1"/>
  <c r="H37" i="2"/>
  <c r="G2324" i="1" s="1"/>
  <c r="H2324" i="1" s="1"/>
  <c r="W37" i="2"/>
  <c r="J37" i="2" s="1"/>
  <c r="I2321" i="1" s="1"/>
  <c r="H21" i="2"/>
  <c r="G2228" i="1" s="1"/>
  <c r="H2228" i="1" s="1"/>
  <c r="N35" i="2"/>
  <c r="J2513" i="1"/>
  <c r="K2513" i="1" s="1"/>
  <c r="T2513" i="1" s="1"/>
  <c r="K2489" i="1"/>
  <c r="T2489" i="1" s="1"/>
  <c r="J2489" i="1"/>
  <c r="G62" i="2"/>
  <c r="G2473" i="1" s="1"/>
  <c r="H2473" i="1" s="1"/>
  <c r="H62" i="2"/>
  <c r="G2474" i="1" s="1"/>
  <c r="H2474" i="1" s="1"/>
  <c r="F62" i="2"/>
  <c r="G2472" i="1" s="1"/>
  <c r="H2472" i="1" s="1"/>
  <c r="H2471" i="1" s="1"/>
  <c r="J2471" i="1" s="1"/>
  <c r="K2471" i="1" s="1"/>
  <c r="T2471" i="1" s="1"/>
  <c r="J57" i="2"/>
  <c r="I2441" i="1" s="1"/>
  <c r="J56" i="2"/>
  <c r="I2435" i="1" s="1"/>
  <c r="J54" i="2"/>
  <c r="I2423" i="1" s="1"/>
  <c r="G49" i="2"/>
  <c r="G2395" i="1" s="1"/>
  <c r="H2395" i="1" s="1"/>
  <c r="J48" i="2"/>
  <c r="I2387" i="1" s="1"/>
  <c r="J47" i="2"/>
  <c r="I2381" i="1" s="1"/>
  <c r="G46" i="2"/>
  <c r="G2377" i="1" s="1"/>
  <c r="H2377" i="1" s="1"/>
  <c r="F46" i="2"/>
  <c r="G2376" i="1" s="1"/>
  <c r="H2376" i="1" s="1"/>
  <c r="L46" i="2"/>
  <c r="G2380" i="1" s="1"/>
  <c r="H2380" i="1" s="1"/>
  <c r="E46" i="2"/>
  <c r="G2379" i="1" s="1"/>
  <c r="H2379" i="1" s="1"/>
  <c r="F45" i="2"/>
  <c r="G2370" i="1" s="1"/>
  <c r="H2370" i="1" s="1"/>
  <c r="H2369" i="1" s="1"/>
  <c r="J2369" i="1" s="1"/>
  <c r="K2369" i="1" s="1"/>
  <c r="T2369" i="1" s="1"/>
  <c r="L45" i="2"/>
  <c r="G2374" i="1" s="1"/>
  <c r="H2374" i="1" s="1"/>
  <c r="G45" i="2"/>
  <c r="G2371" i="1" s="1"/>
  <c r="H2371" i="1" s="1"/>
  <c r="E45" i="2"/>
  <c r="G2373" i="1" s="1"/>
  <c r="H2373" i="1" s="1"/>
  <c r="G44" i="2"/>
  <c r="G2365" i="1" s="1"/>
  <c r="H2365" i="1" s="1"/>
  <c r="F44" i="2"/>
  <c r="G2364" i="1" s="1"/>
  <c r="H2364" i="1" s="1"/>
  <c r="L44" i="2"/>
  <c r="G2368" i="1" s="1"/>
  <c r="H2368" i="1" s="1"/>
  <c r="E44" i="2"/>
  <c r="G2367" i="1" s="1"/>
  <c r="H2367" i="1" s="1"/>
  <c r="H42" i="2"/>
  <c r="G2354" i="1" s="1"/>
  <c r="H2354" i="1" s="1"/>
  <c r="G42" i="2"/>
  <c r="G2353" i="1" s="1"/>
  <c r="H2353" i="1" s="1"/>
  <c r="F42" i="2"/>
  <c r="G2352" i="1" s="1"/>
  <c r="H2352" i="1" s="1"/>
  <c r="W42" i="2"/>
  <c r="H40" i="2"/>
  <c r="G2342" i="1" s="1"/>
  <c r="H2342" i="1" s="1"/>
  <c r="G40" i="2"/>
  <c r="G2341" i="1" s="1"/>
  <c r="H2341" i="1" s="1"/>
  <c r="F40" i="2"/>
  <c r="G2340" i="1" s="1"/>
  <c r="H2340" i="1" s="1"/>
  <c r="W40" i="2"/>
  <c r="J40" i="2" s="1"/>
  <c r="I2339" i="1" s="1"/>
  <c r="G38" i="2"/>
  <c r="G2329" i="1" s="1"/>
  <c r="H2329" i="1" s="1"/>
  <c r="F38" i="2"/>
  <c r="G2328" i="1" s="1"/>
  <c r="H2328" i="1" s="1"/>
  <c r="H38" i="2"/>
  <c r="G2330" i="1" s="1"/>
  <c r="H2330" i="1" s="1"/>
  <c r="W38" i="2"/>
  <c r="J38" i="2" s="1"/>
  <c r="I2327" i="1" s="1"/>
  <c r="H36" i="2"/>
  <c r="G2318" i="1" s="1"/>
  <c r="H2318" i="1" s="1"/>
  <c r="F36" i="2"/>
  <c r="G2316" i="1" s="1"/>
  <c r="H2316" i="1" s="1"/>
  <c r="G36" i="2"/>
  <c r="G2317" i="1" s="1"/>
  <c r="H2317" i="1" s="1"/>
  <c r="H32" i="2"/>
  <c r="G2294" i="1" s="1"/>
  <c r="H2294" i="1" s="1"/>
  <c r="G32" i="2"/>
  <c r="G2293" i="1" s="1"/>
  <c r="H2293" i="1" s="1"/>
  <c r="F32" i="2"/>
  <c r="G2292" i="1" s="1"/>
  <c r="H2292" i="1" s="1"/>
  <c r="L29" i="2"/>
  <c r="G2278" i="1" s="1"/>
  <c r="H2278" i="1" s="1"/>
  <c r="G29" i="2"/>
  <c r="G2275" i="1" s="1"/>
  <c r="H2275" i="1" s="1"/>
  <c r="E29" i="2"/>
  <c r="G2277" i="1" s="1"/>
  <c r="H2277" i="1" s="1"/>
  <c r="H20" i="2"/>
  <c r="G2222" i="1" s="1"/>
  <c r="H2222" i="1" s="1"/>
  <c r="G20" i="2"/>
  <c r="G2221" i="1" s="1"/>
  <c r="H2221" i="1" s="1"/>
  <c r="F20" i="2"/>
  <c r="G2220" i="1" s="1"/>
  <c r="H2220" i="1" s="1"/>
  <c r="G7" i="2"/>
  <c r="G2143" i="1" s="1"/>
  <c r="H2143" i="1" s="1"/>
  <c r="H7" i="2"/>
  <c r="G2144" i="1" s="1"/>
  <c r="H2144" i="1" s="1"/>
  <c r="F7" i="2"/>
  <c r="G2142" i="1" s="1"/>
  <c r="H2142" i="1" s="1"/>
  <c r="H2141" i="1" s="1"/>
  <c r="J5" i="2"/>
  <c r="I2129" i="1" s="1"/>
  <c r="H2543" i="1"/>
  <c r="J2543" i="1" s="1"/>
  <c r="K2543" i="1" s="1"/>
  <c r="T2543" i="1" s="1"/>
  <c r="N52" i="2"/>
  <c r="J52" i="2" s="1"/>
  <c r="I2411" i="1" s="1"/>
  <c r="N50" i="2"/>
  <c r="J50" i="2" s="1"/>
  <c r="I2399" i="1" s="1"/>
  <c r="N49" i="2"/>
  <c r="R27" i="2"/>
  <c r="R59" i="2"/>
  <c r="W59" i="2" s="1"/>
  <c r="N33" i="2"/>
  <c r="N32" i="2"/>
  <c r="R29" i="2"/>
  <c r="N18" i="2"/>
  <c r="N16" i="2"/>
  <c r="R28" i="2"/>
  <c r="N17" i="2"/>
  <c r="R31" i="2"/>
  <c r="G31" i="2" s="1"/>
  <c r="G2287" i="1" s="1"/>
  <c r="H2287" i="1" s="1"/>
  <c r="N11" i="2"/>
  <c r="J11" i="2" s="1"/>
  <c r="I2165" i="1" s="1"/>
  <c r="N15" i="2"/>
  <c r="O17" i="2"/>
  <c r="P24" i="2"/>
  <c r="R19" i="2"/>
  <c r="G19" i="2" s="1"/>
  <c r="G2215" i="1" s="1"/>
  <c r="H2215" i="1" s="1"/>
  <c r="P26" i="2"/>
  <c r="R21" i="2"/>
  <c r="F21" i="2" s="1"/>
  <c r="G2226" i="1" s="1"/>
  <c r="H2226" i="1" s="1"/>
  <c r="N24" i="2"/>
  <c r="J24" i="2" s="1"/>
  <c r="I2243" i="1" s="1"/>
  <c r="P60" i="2"/>
  <c r="N51" i="2"/>
  <c r="J51" i="2" s="1"/>
  <c r="I2405" i="1" s="1"/>
  <c r="R49" i="2"/>
  <c r="H49" i="2" s="1"/>
  <c r="G2396" i="1" s="1"/>
  <c r="H2396" i="1" s="1"/>
  <c r="O3" i="2"/>
  <c r="O6" i="2"/>
  <c r="J6" i="2" s="1"/>
  <c r="I2135" i="1" s="1"/>
  <c r="R53" i="2"/>
  <c r="H53" i="2" s="1"/>
  <c r="G2420" i="1" s="1"/>
  <c r="H2420" i="1" s="1"/>
  <c r="P25" i="2"/>
  <c r="N59" i="2"/>
  <c r="J59" i="2" s="1"/>
  <c r="I2453" i="1" s="1"/>
  <c r="N53" i="2"/>
  <c r="J53" i="2" s="1"/>
  <c r="I2417" i="1" s="1"/>
  <c r="R52" i="2"/>
  <c r="H52" i="2" s="1"/>
  <c r="G2414" i="1" s="1"/>
  <c r="H2414" i="1" s="1"/>
  <c r="N13" i="2"/>
  <c r="J13" i="2" s="1"/>
  <c r="I2177" i="1" s="1"/>
  <c r="N14" i="2"/>
  <c r="J14" i="2" s="1"/>
  <c r="I2183" i="1" s="1"/>
  <c r="N8" i="2"/>
  <c r="J8" i="2" s="1"/>
  <c r="I2147" i="1" s="1"/>
  <c r="R22" i="2"/>
  <c r="G22" i="2" s="1"/>
  <c r="G2233" i="1" s="1"/>
  <c r="H2233" i="1" s="1"/>
  <c r="P23" i="2"/>
  <c r="O16" i="2"/>
  <c r="S2495" i="1" l="1"/>
  <c r="U2495" i="1" s="1"/>
  <c r="O2495" i="1"/>
  <c r="T2495" i="1"/>
  <c r="K2327" i="1"/>
  <c r="T2327" i="1" s="1"/>
  <c r="G16" i="2"/>
  <c r="G2197" i="1" s="1"/>
  <c r="H2197" i="1" s="1"/>
  <c r="F16" i="2"/>
  <c r="G2196" i="1" s="1"/>
  <c r="H2196" i="1" s="1"/>
  <c r="L16" i="2"/>
  <c r="G2200" i="1" s="1"/>
  <c r="H2200" i="1" s="1"/>
  <c r="E16" i="2"/>
  <c r="G2199" i="1" s="1"/>
  <c r="H2199" i="1" s="1"/>
  <c r="L3" i="2"/>
  <c r="G2122" i="1" s="1"/>
  <c r="H2122" i="1" s="1"/>
  <c r="E3" i="2"/>
  <c r="G2121" i="1" s="1"/>
  <c r="H2121" i="1" s="1"/>
  <c r="G3" i="2"/>
  <c r="G2119" i="1" s="1"/>
  <c r="H2119" i="1" s="1"/>
  <c r="F3" i="2"/>
  <c r="G2118" i="1" s="1"/>
  <c r="H2118" i="1" s="1"/>
  <c r="H2117" i="1" s="1"/>
  <c r="J2117" i="1" s="1"/>
  <c r="K2429" i="1"/>
  <c r="T2429" i="1" s="1"/>
  <c r="K2351" i="1"/>
  <c r="T2351" i="1" s="1"/>
  <c r="G23" i="2"/>
  <c r="G2239" i="1" s="1"/>
  <c r="H2239" i="1" s="1"/>
  <c r="H23" i="2"/>
  <c r="G2240" i="1" s="1"/>
  <c r="H2240" i="1" s="1"/>
  <c r="F23" i="2"/>
  <c r="G2238" i="1" s="1"/>
  <c r="H2238" i="1" s="1"/>
  <c r="F25" i="2"/>
  <c r="G2250" i="1" s="1"/>
  <c r="H2250" i="1" s="1"/>
  <c r="G25" i="2"/>
  <c r="G2251" i="1" s="1"/>
  <c r="H2251" i="1" s="1"/>
  <c r="H25" i="2"/>
  <c r="G2252" i="1" s="1"/>
  <c r="H2252" i="1" s="1"/>
  <c r="F17" i="2"/>
  <c r="G2202" i="1" s="1"/>
  <c r="H2202" i="1" s="1"/>
  <c r="L17" i="2"/>
  <c r="G2206" i="1" s="1"/>
  <c r="H2206" i="1" s="1"/>
  <c r="G17" i="2"/>
  <c r="G2203" i="1" s="1"/>
  <c r="H2203" i="1" s="1"/>
  <c r="E17" i="2"/>
  <c r="G2205" i="1" s="1"/>
  <c r="H2205" i="1" s="1"/>
  <c r="H29" i="2"/>
  <c r="G2276" i="1" s="1"/>
  <c r="H2276" i="1" s="1"/>
  <c r="W29" i="2"/>
  <c r="W34" i="2" s="1"/>
  <c r="J34" i="2" s="1"/>
  <c r="I2303" i="1" s="1"/>
  <c r="G21" i="2"/>
  <c r="G2227" i="1" s="1"/>
  <c r="H2227" i="1" s="1"/>
  <c r="H2225" i="1" s="1"/>
  <c r="H2231" i="1"/>
  <c r="H2381" i="1"/>
  <c r="J2381" i="1" s="1"/>
  <c r="K2123" i="1"/>
  <c r="T2123" i="1" s="1"/>
  <c r="J2303" i="1"/>
  <c r="H26" i="2"/>
  <c r="G2258" i="1" s="1"/>
  <c r="H2258" i="1" s="1"/>
  <c r="G26" i="2"/>
  <c r="G2257" i="1" s="1"/>
  <c r="H2257" i="1" s="1"/>
  <c r="F26" i="2"/>
  <c r="G2256" i="1" s="1"/>
  <c r="H2256" i="1" s="1"/>
  <c r="H28" i="2"/>
  <c r="G2270" i="1" s="1"/>
  <c r="H2270" i="1" s="1"/>
  <c r="W28" i="2"/>
  <c r="W33" i="2" s="1"/>
  <c r="J33" i="2" s="1"/>
  <c r="I2297" i="1" s="1"/>
  <c r="J49" i="2"/>
  <c r="I2393" i="1" s="1"/>
  <c r="J3" i="2"/>
  <c r="I2117" i="1" s="1"/>
  <c r="J28" i="2"/>
  <c r="I2267" i="1" s="1"/>
  <c r="F29" i="2"/>
  <c r="G2274" i="1" s="1"/>
  <c r="H2274" i="1" s="1"/>
  <c r="H2273" i="1" s="1"/>
  <c r="H2339" i="1"/>
  <c r="J2339" i="1" s="1"/>
  <c r="K2339" i="1" s="1"/>
  <c r="T2339" i="1" s="1"/>
  <c r="H2351" i="1"/>
  <c r="J2351" i="1" s="1"/>
  <c r="K2387" i="1"/>
  <c r="T2387" i="1" s="1"/>
  <c r="F59" i="2"/>
  <c r="G2454" i="1" s="1"/>
  <c r="H2454" i="1" s="1"/>
  <c r="J29" i="2"/>
  <c r="I2273" i="1" s="1"/>
  <c r="F28" i="2"/>
  <c r="G2268" i="1" s="1"/>
  <c r="H2268" i="1" s="1"/>
  <c r="H2267" i="1" s="1"/>
  <c r="J2267" i="1" s="1"/>
  <c r="H2297" i="1"/>
  <c r="H2387" i="1"/>
  <c r="J2387" i="1" s="1"/>
  <c r="H2441" i="1"/>
  <c r="J2441" i="1" s="1"/>
  <c r="K2441" i="1" s="1"/>
  <c r="T2441" i="1" s="1"/>
  <c r="H2171" i="1"/>
  <c r="J2171" i="1" s="1"/>
  <c r="H2357" i="1"/>
  <c r="J2357" i="1" s="1"/>
  <c r="K2357" i="1" s="1"/>
  <c r="T2357" i="1" s="1"/>
  <c r="H19" i="2"/>
  <c r="G2216" i="1" s="1"/>
  <c r="H2216" i="1" s="1"/>
  <c r="H2213" i="1" s="1"/>
  <c r="H2279" i="1"/>
  <c r="J2279" i="1" s="1"/>
  <c r="S2483" i="1"/>
  <c r="U2483" i="1" s="1"/>
  <c r="T2483" i="1"/>
  <c r="O2483" i="1"/>
  <c r="K2243" i="1"/>
  <c r="T2243" i="1" s="1"/>
  <c r="H24" i="2"/>
  <c r="G2246" i="1" s="1"/>
  <c r="H2246" i="1" s="1"/>
  <c r="G24" i="2"/>
  <c r="G2245" i="1" s="1"/>
  <c r="H2245" i="1" s="1"/>
  <c r="F24" i="2"/>
  <c r="G2244" i="1" s="1"/>
  <c r="H2244" i="1" s="1"/>
  <c r="H2243" i="1" s="1"/>
  <c r="J2243" i="1" s="1"/>
  <c r="H31" i="2"/>
  <c r="G2288" i="1" s="1"/>
  <c r="H2288" i="1" s="1"/>
  <c r="W31" i="2"/>
  <c r="W36" i="2" s="1"/>
  <c r="J36" i="2" s="1"/>
  <c r="I2315" i="1" s="1"/>
  <c r="J2141" i="1"/>
  <c r="K2171" i="1"/>
  <c r="T2171" i="1" s="1"/>
  <c r="K2477" i="1"/>
  <c r="T2477" i="1" s="1"/>
  <c r="H2405" i="1"/>
  <c r="J2405" i="1" s="1"/>
  <c r="K2405" i="1" s="1"/>
  <c r="H2411" i="1"/>
  <c r="J2411" i="1" s="1"/>
  <c r="K2411" i="1" s="1"/>
  <c r="T2411" i="1" s="1"/>
  <c r="K2177" i="1"/>
  <c r="T2177" i="1" s="1"/>
  <c r="J17" i="2"/>
  <c r="I2201" i="1" s="1"/>
  <c r="H27" i="2"/>
  <c r="G2264" i="1" s="1"/>
  <c r="H2264" i="1" s="1"/>
  <c r="W27" i="2"/>
  <c r="J27" i="2" s="1"/>
  <c r="I2261" i="1" s="1"/>
  <c r="K2381" i="1"/>
  <c r="T2381" i="1" s="1"/>
  <c r="F49" i="2"/>
  <c r="G2394" i="1" s="1"/>
  <c r="H2394" i="1" s="1"/>
  <c r="H2393" i="1" s="1"/>
  <c r="J2393" i="1" s="1"/>
  <c r="H59" i="2"/>
  <c r="G2456" i="1" s="1"/>
  <c r="H2456" i="1" s="1"/>
  <c r="H2417" i="1"/>
  <c r="J2417" i="1" s="1"/>
  <c r="K2417" i="1" s="1"/>
  <c r="T2417" i="1" s="1"/>
  <c r="H2423" i="1"/>
  <c r="J2423" i="1" s="1"/>
  <c r="K2423" i="1" s="1"/>
  <c r="T2423" i="1" s="1"/>
  <c r="F27" i="2"/>
  <c r="G2262" i="1" s="1"/>
  <c r="H2262" i="1" s="1"/>
  <c r="F31" i="2"/>
  <c r="G2286" i="1" s="1"/>
  <c r="H2286" i="1" s="1"/>
  <c r="J2333" i="1"/>
  <c r="K2333" i="1" s="1"/>
  <c r="T2333" i="1" s="1"/>
  <c r="J2147" i="1"/>
  <c r="K2147" i="1"/>
  <c r="T2147" i="1" s="1"/>
  <c r="F6" i="2"/>
  <c r="G2136" i="1" s="1"/>
  <c r="H2136" i="1" s="1"/>
  <c r="H2135" i="1" s="1"/>
  <c r="J2135" i="1" s="1"/>
  <c r="K2135" i="1" s="1"/>
  <c r="T2135" i="1" s="1"/>
  <c r="L6" i="2"/>
  <c r="G2140" i="1" s="1"/>
  <c r="H2140" i="1" s="1"/>
  <c r="G6" i="2"/>
  <c r="G2137" i="1" s="1"/>
  <c r="H2137" i="1" s="1"/>
  <c r="E6" i="2"/>
  <c r="G2139" i="1" s="1"/>
  <c r="H2139" i="1" s="1"/>
  <c r="H60" i="2"/>
  <c r="G2462" i="1" s="1"/>
  <c r="H2462" i="1" s="1"/>
  <c r="F60" i="2"/>
  <c r="G2460" i="1" s="1"/>
  <c r="H2460" i="1" s="1"/>
  <c r="J16" i="2"/>
  <c r="I2195" i="1" s="1"/>
  <c r="K2399" i="1"/>
  <c r="H2219" i="1"/>
  <c r="J2219" i="1" s="1"/>
  <c r="H2291" i="1"/>
  <c r="H2315" i="1"/>
  <c r="J2315" i="1" s="1"/>
  <c r="H2327" i="1"/>
  <c r="J2327" i="1" s="1"/>
  <c r="H2363" i="1"/>
  <c r="J2363" i="1" s="1"/>
  <c r="K2363" i="1" s="1"/>
  <c r="T2363" i="1" s="1"/>
  <c r="H2375" i="1"/>
  <c r="J2375" i="1" s="1"/>
  <c r="K2375" i="1" s="1"/>
  <c r="T2375" i="1" s="1"/>
  <c r="K2435" i="1"/>
  <c r="T2435" i="1" s="1"/>
  <c r="G59" i="2"/>
  <c r="G2455" i="1" s="1"/>
  <c r="H2455" i="1" s="1"/>
  <c r="J35" i="2"/>
  <c r="I2309" i="1" s="1"/>
  <c r="J2309" i="1" s="1"/>
  <c r="J30" i="2"/>
  <c r="I2279" i="1" s="1"/>
  <c r="H2321" i="1"/>
  <c r="J2321" i="1" s="1"/>
  <c r="K2321" i="1" s="1"/>
  <c r="T2321" i="1" s="1"/>
  <c r="H2345" i="1"/>
  <c r="J2345" i="1" s="1"/>
  <c r="K2345" i="1" s="1"/>
  <c r="T2345" i="1" s="1"/>
  <c r="H2465" i="1"/>
  <c r="J2465" i="1" s="1"/>
  <c r="K2465" i="1" s="1"/>
  <c r="T2465" i="1" s="1"/>
  <c r="H2429" i="1"/>
  <c r="J2429" i="1" s="1"/>
  <c r="H2447" i="1"/>
  <c r="J2447" i="1" s="1"/>
  <c r="K2447" i="1" s="1"/>
  <c r="T2447" i="1" s="1"/>
  <c r="H2153" i="1"/>
  <c r="H2183" i="1"/>
  <c r="J2183" i="1" s="1"/>
  <c r="K2183" i="1" s="1"/>
  <c r="T2183" i="1" s="1"/>
  <c r="J31" i="2"/>
  <c r="I2285" i="1" s="1"/>
  <c r="H2165" i="1"/>
  <c r="J2165" i="1" s="1"/>
  <c r="K2165" i="1" s="1"/>
  <c r="T2165" i="1" s="1"/>
  <c r="H2129" i="1"/>
  <c r="J2129" i="1" s="1"/>
  <c r="K2129" i="1" s="1"/>
  <c r="T2129" i="1" s="1"/>
  <c r="R60" i="2"/>
  <c r="W60" i="2" s="1"/>
  <c r="N7" i="2"/>
  <c r="J7" i="2" s="1"/>
  <c r="I2141" i="1" s="1"/>
  <c r="O15" i="2"/>
  <c r="N23" i="2"/>
  <c r="J23" i="2" s="1"/>
  <c r="I2237" i="1" s="1"/>
  <c r="O18" i="2"/>
  <c r="J18" i="2" s="1"/>
  <c r="I2207" i="1" s="1"/>
  <c r="N20" i="2"/>
  <c r="J20" i="2" s="1"/>
  <c r="I2219" i="1" s="1"/>
  <c r="N9" i="2"/>
  <c r="J9" i="2" s="1"/>
  <c r="I2153" i="1" s="1"/>
  <c r="N25" i="2"/>
  <c r="J25" i="2" s="1"/>
  <c r="I2249" i="1" s="1"/>
  <c r="N10" i="2"/>
  <c r="J10" i="2" s="1"/>
  <c r="I2159" i="1" s="1"/>
  <c r="N26" i="2"/>
  <c r="J26" i="2" s="1"/>
  <c r="I2255" i="1" s="1"/>
  <c r="N60" i="2"/>
  <c r="J60" i="2" s="1"/>
  <c r="I2459" i="1" s="1"/>
  <c r="S2405" i="1" l="1"/>
  <c r="U2405" i="1" s="1"/>
  <c r="O2405" i="1"/>
  <c r="T2405" i="1"/>
  <c r="J2225" i="1"/>
  <c r="K2237" i="1"/>
  <c r="T2237" i="1" s="1"/>
  <c r="W2484" i="1"/>
  <c r="W2488" i="1"/>
  <c r="Y2483" i="1"/>
  <c r="W2486" i="1"/>
  <c r="Z2483" i="1"/>
  <c r="W2487" i="1"/>
  <c r="W2485" i="1"/>
  <c r="X2483" i="1"/>
  <c r="K2267" i="1"/>
  <c r="T2267" i="1" s="1"/>
  <c r="K2153" i="1"/>
  <c r="T2153" i="1" s="1"/>
  <c r="G15" i="2"/>
  <c r="G2191" i="1" s="1"/>
  <c r="H2191" i="1" s="1"/>
  <c r="E15" i="2"/>
  <c r="G2193" i="1" s="1"/>
  <c r="H2193" i="1" s="1"/>
  <c r="F15" i="2"/>
  <c r="G2190" i="1" s="1"/>
  <c r="H2190" i="1" s="1"/>
  <c r="L15" i="2"/>
  <c r="G2194" i="1" s="1"/>
  <c r="H2194" i="1" s="1"/>
  <c r="J2153" i="1"/>
  <c r="K2117" i="1"/>
  <c r="H2249" i="1"/>
  <c r="J2249" i="1" s="1"/>
  <c r="K2219" i="1"/>
  <c r="T2219" i="1" s="1"/>
  <c r="S2399" i="1"/>
  <c r="U2399" i="1" s="1"/>
  <c r="O2399" i="1"/>
  <c r="T2399" i="1"/>
  <c r="H2261" i="1"/>
  <c r="J2261" i="1" s="1"/>
  <c r="K2261" i="1" s="1"/>
  <c r="T2261" i="1" s="1"/>
  <c r="H2453" i="1"/>
  <c r="J2453" i="1" s="1"/>
  <c r="K2453" i="1" s="1"/>
  <c r="T2453" i="1" s="1"/>
  <c r="K2393" i="1"/>
  <c r="T2393" i="1" s="1"/>
  <c r="J15" i="2"/>
  <c r="I2189" i="1" s="1"/>
  <c r="H2201" i="1"/>
  <c r="J2201" i="1" s="1"/>
  <c r="K2201" i="1" s="1"/>
  <c r="T2201" i="1" s="1"/>
  <c r="H2237" i="1"/>
  <c r="J2237" i="1" s="1"/>
  <c r="W2497" i="1"/>
  <c r="W2499" i="1"/>
  <c r="W2498" i="1"/>
  <c r="W2500" i="1"/>
  <c r="X2495" i="1"/>
  <c r="Z2495" i="1"/>
  <c r="W2496" i="1"/>
  <c r="Y2495" i="1"/>
  <c r="K2249" i="1"/>
  <c r="T2249" i="1" s="1"/>
  <c r="K2309" i="1"/>
  <c r="T2309" i="1" s="1"/>
  <c r="H2285" i="1"/>
  <c r="J2285" i="1" s="1"/>
  <c r="K2285" i="1" s="1"/>
  <c r="T2285" i="1" s="1"/>
  <c r="K2303" i="1"/>
  <c r="K2141" i="1"/>
  <c r="K2159" i="1"/>
  <c r="T2159" i="1" s="1"/>
  <c r="F18" i="2"/>
  <c r="G2208" i="1" s="1"/>
  <c r="H2208" i="1" s="1"/>
  <c r="L18" i="2"/>
  <c r="G2212" i="1" s="1"/>
  <c r="H2212" i="1" s="1"/>
  <c r="G18" i="2"/>
  <c r="G2209" i="1" s="1"/>
  <c r="H2209" i="1" s="1"/>
  <c r="E18" i="2"/>
  <c r="G2211" i="1" s="1"/>
  <c r="H2211" i="1" s="1"/>
  <c r="K2279" i="1"/>
  <c r="T2279" i="1" s="1"/>
  <c r="G60" i="2"/>
  <c r="G2461" i="1" s="1"/>
  <c r="H2461" i="1" s="1"/>
  <c r="H2459" i="1" s="1"/>
  <c r="J2459" i="1" s="1"/>
  <c r="K2459" i="1" s="1"/>
  <c r="T2459" i="1" s="1"/>
  <c r="K2315" i="1"/>
  <c r="T2315" i="1" s="1"/>
  <c r="J2297" i="1"/>
  <c r="K2297" i="1" s="1"/>
  <c r="J2273" i="1"/>
  <c r="K2273" i="1" s="1"/>
  <c r="T2273" i="1" s="1"/>
  <c r="H2255" i="1"/>
  <c r="J2255" i="1" s="1"/>
  <c r="K2255" i="1" s="1"/>
  <c r="T2255" i="1" s="1"/>
  <c r="J2159" i="1"/>
  <c r="H2195" i="1"/>
  <c r="J2195" i="1" s="1"/>
  <c r="K2195" i="1" s="1"/>
  <c r="T2195" i="1" s="1"/>
  <c r="N19" i="2"/>
  <c r="J19" i="2" s="1"/>
  <c r="I2213" i="1" s="1"/>
  <c r="N22" i="2"/>
  <c r="J22" i="2" s="1"/>
  <c r="I2231" i="1" s="1"/>
  <c r="N21" i="2"/>
  <c r="J21" i="2" s="1"/>
  <c r="I2225" i="1" s="1"/>
  <c r="T2297" i="1" l="1"/>
  <c r="O2297" i="1"/>
  <c r="X2499" i="1"/>
  <c r="Y2499" i="1"/>
  <c r="Z2499" i="1"/>
  <c r="X2487" i="1"/>
  <c r="Y2487" i="1"/>
  <c r="Z2487" i="1"/>
  <c r="Y2488" i="1"/>
  <c r="Z2488" i="1"/>
  <c r="X2488" i="1"/>
  <c r="K2225" i="1"/>
  <c r="T2225" i="1" s="1"/>
  <c r="S2141" i="1"/>
  <c r="U2141" i="1" s="1"/>
  <c r="O2141" i="1"/>
  <c r="T2141" i="1"/>
  <c r="Y2497" i="1"/>
  <c r="X2497" i="1"/>
  <c r="Z2497" i="1"/>
  <c r="H2189" i="1"/>
  <c r="J2189" i="1" s="1"/>
  <c r="K2189" i="1" s="1"/>
  <c r="Y2484" i="1"/>
  <c r="X2484" i="1"/>
  <c r="Z2484" i="1"/>
  <c r="W2409" i="1"/>
  <c r="Y2405" i="1"/>
  <c r="X2405" i="1"/>
  <c r="W2408" i="1"/>
  <c r="W2406" i="1"/>
  <c r="W2410" i="1"/>
  <c r="W2407" i="1"/>
  <c r="Z2405" i="1"/>
  <c r="K2231" i="1"/>
  <c r="T2231" i="1" s="1"/>
  <c r="J2231" i="1"/>
  <c r="H2207" i="1"/>
  <c r="J2207" i="1" s="1"/>
  <c r="K2207" i="1" s="1"/>
  <c r="T2207" i="1" s="1"/>
  <c r="Y2500" i="1"/>
  <c r="X2500" i="1"/>
  <c r="Z2500" i="1"/>
  <c r="T2117" i="1"/>
  <c r="X2486" i="1"/>
  <c r="Y2486" i="1"/>
  <c r="Z2486" i="1"/>
  <c r="J2213" i="1"/>
  <c r="K2213" i="1" s="1"/>
  <c r="T2213" i="1" s="1"/>
  <c r="S2303" i="1"/>
  <c r="U2303" i="1" s="1"/>
  <c r="O2303" i="1"/>
  <c r="T2303" i="1"/>
  <c r="Z2496" i="1"/>
  <c r="Y2496" i="1"/>
  <c r="X2496" i="1"/>
  <c r="Y2498" i="1"/>
  <c r="X2498" i="1"/>
  <c r="Z2498" i="1"/>
  <c r="W2401" i="1"/>
  <c r="Y2399" i="1"/>
  <c r="W2403" i="1"/>
  <c r="W2400" i="1"/>
  <c r="X2399" i="1"/>
  <c r="W2402" i="1"/>
  <c r="W2404" i="1"/>
  <c r="Z2399" i="1"/>
  <c r="Y2485" i="1"/>
  <c r="X2485" i="1"/>
  <c r="Z2485" i="1"/>
  <c r="W32" i="2"/>
  <c r="J32" i="2" s="1"/>
  <c r="I2291" i="1" s="1"/>
  <c r="T2189" i="1" l="1"/>
  <c r="W2306" i="1"/>
  <c r="Z2303" i="1"/>
  <c r="Y2303" i="1"/>
  <c r="X2303" i="1"/>
  <c r="W2307" i="1"/>
  <c r="W2304" i="1"/>
  <c r="W2308" i="1"/>
  <c r="W2305" i="1"/>
  <c r="Z2404" i="1"/>
  <c r="Y2404" i="1"/>
  <c r="X2404" i="1"/>
  <c r="Y2403" i="1"/>
  <c r="Z2403" i="1"/>
  <c r="X2403" i="1"/>
  <c r="X2408" i="1"/>
  <c r="Y2408" i="1"/>
  <c r="Z2408" i="1"/>
  <c r="Y2402" i="1"/>
  <c r="Z2402" i="1"/>
  <c r="X2402" i="1"/>
  <c r="Z2407" i="1"/>
  <c r="X2407" i="1"/>
  <c r="Y2407" i="1"/>
  <c r="X2141" i="1"/>
  <c r="W2144" i="1"/>
  <c r="W2146" i="1"/>
  <c r="W2143" i="1"/>
  <c r="Z2141" i="1"/>
  <c r="W2145" i="1"/>
  <c r="Y2141" i="1"/>
  <c r="W2142" i="1"/>
  <c r="Y2401" i="1"/>
  <c r="X2401" i="1"/>
  <c r="Z2401" i="1"/>
  <c r="Y2410" i="1"/>
  <c r="Z2410" i="1"/>
  <c r="X2410" i="1"/>
  <c r="J2291" i="1"/>
  <c r="K2291" i="1" s="1"/>
  <c r="Z2400" i="1"/>
  <c r="Y2400" i="1"/>
  <c r="X2400" i="1"/>
  <c r="X2406" i="1"/>
  <c r="Z2406" i="1"/>
  <c r="Y2406" i="1"/>
  <c r="Z2409" i="1"/>
  <c r="X2409" i="1"/>
  <c r="Y2409" i="1"/>
  <c r="J2670" i="1"/>
  <c r="S2291" i="1" l="1"/>
  <c r="U2291" i="1" s="1"/>
  <c r="T2291" i="1"/>
  <c r="O2291" i="1"/>
  <c r="K2670" i="1"/>
  <c r="X2145" i="1"/>
  <c r="Z2145" i="1"/>
  <c r="Y2145" i="1"/>
  <c r="Z2144" i="1"/>
  <c r="X2144" i="1"/>
  <c r="Y2144" i="1"/>
  <c r="Z2304" i="1"/>
  <c r="X2304" i="1"/>
  <c r="Y2304" i="1"/>
  <c r="Z2142" i="1"/>
  <c r="X2142" i="1"/>
  <c r="Y2142" i="1"/>
  <c r="X2143" i="1"/>
  <c r="Z2143" i="1"/>
  <c r="Y2143" i="1"/>
  <c r="Z2305" i="1"/>
  <c r="Y2305" i="1"/>
  <c r="X2305" i="1"/>
  <c r="X2307" i="1"/>
  <c r="Z2307" i="1"/>
  <c r="Y2307" i="1"/>
  <c r="Y2306" i="1"/>
  <c r="X2306" i="1"/>
  <c r="Z2306" i="1"/>
  <c r="Z2146" i="1"/>
  <c r="Y2146" i="1"/>
  <c r="X2146" i="1"/>
  <c r="Z2308" i="1"/>
  <c r="X2308" i="1"/>
  <c r="Y2308" i="1"/>
  <c r="T2659" i="1" l="1"/>
  <c r="T2670" i="1"/>
  <c r="T2665" i="1"/>
  <c r="O2670" i="1"/>
  <c r="O2659" i="1"/>
  <c r="O2665" i="1"/>
  <c r="Y2291" i="1"/>
  <c r="W2295" i="1"/>
  <c r="X2291" i="1"/>
  <c r="W2293" i="1"/>
  <c r="Z2291" i="1"/>
  <c r="W2296" i="1"/>
  <c r="W2294" i="1"/>
  <c r="W2292" i="1"/>
  <c r="U2659" i="1"/>
  <c r="V1734" i="1"/>
  <c r="U2670" i="1"/>
  <c r="U2665" i="1"/>
  <c r="S18" i="12" l="1"/>
  <c r="W1734" i="1"/>
  <c r="F14" i="16"/>
  <c r="V2665" i="1"/>
  <c r="S18" i="11"/>
  <c r="V2670" i="1"/>
  <c r="V2659" i="1"/>
  <c r="Z2296" i="1"/>
  <c r="Y2296" i="1"/>
  <c r="X2296" i="1"/>
  <c r="Z2295" i="1"/>
  <c r="X2295" i="1"/>
  <c r="Y2295" i="1"/>
  <c r="Z2292" i="1"/>
  <c r="Y2292" i="1"/>
  <c r="X2292" i="1"/>
  <c r="Y2293" i="1"/>
  <c r="Z2293" i="1"/>
  <c r="X2293" i="1"/>
  <c r="X2294" i="1"/>
  <c r="Y2294" i="1"/>
  <c r="Z2294" i="1"/>
  <c r="Z1734" i="1" l="1"/>
  <c r="Y1734" i="1"/>
  <c r="X1734" i="1"/>
  <c r="V2667" i="1"/>
  <c r="S2" i="12"/>
  <c r="S4" i="12" s="1"/>
  <c r="F17" i="16"/>
  <c r="G14" i="16"/>
  <c r="S21" i="11"/>
  <c r="M43" i="11"/>
  <c r="M48" i="11" s="1"/>
  <c r="N44" i="11"/>
  <c r="N49" i="11" s="1"/>
  <c r="F43" i="11"/>
  <c r="L43" i="11"/>
  <c r="L48" i="11" s="1"/>
  <c r="M44" i="11"/>
  <c r="M49" i="11" s="1"/>
  <c r="O44" i="11"/>
  <c r="O49" i="11" s="1"/>
  <c r="N43" i="11"/>
  <c r="N48" i="11" s="1"/>
  <c r="N51" i="11" s="1"/>
  <c r="N53" i="11" s="1"/>
  <c r="K43" i="11"/>
  <c r="K48" i="11" s="1"/>
  <c r="K51" i="11" s="1"/>
  <c r="O43" i="11"/>
  <c r="O48" i="11" s="1"/>
  <c r="O51" i="11" s="1"/>
  <c r="O53" i="11" s="1"/>
  <c r="K44" i="11"/>
  <c r="K49" i="11" s="1"/>
  <c r="L44" i="11"/>
  <c r="L49" i="11" s="1"/>
  <c r="F44" i="11"/>
  <c r="H44" i="11"/>
  <c r="H49" i="11" s="1"/>
  <c r="G44" i="11"/>
  <c r="G49" i="11" s="1"/>
  <c r="J44" i="11"/>
  <c r="J49" i="11" s="1"/>
  <c r="Q43" i="11"/>
  <c r="Q48" i="11" s="1"/>
  <c r="Q51" i="11" s="1"/>
  <c r="Q53" i="11" s="1"/>
  <c r="P43" i="11"/>
  <c r="P48" i="11" s="1"/>
  <c r="H43" i="11"/>
  <c r="H48" i="11" s="1"/>
  <c r="H51" i="11" s="1"/>
  <c r="Q44" i="11"/>
  <c r="Q49" i="11" s="1"/>
  <c r="I44" i="11"/>
  <c r="I49" i="11" s="1"/>
  <c r="P44" i="11"/>
  <c r="P49" i="11" s="1"/>
  <c r="G43" i="11"/>
  <c r="G48" i="11" s="1"/>
  <c r="G51" i="11" s="1"/>
  <c r="J43" i="11"/>
  <c r="J48" i="11" s="1"/>
  <c r="J51" i="11" s="1"/>
  <c r="I43" i="11"/>
  <c r="I48" i="11" s="1"/>
  <c r="I51" i="11" s="1"/>
  <c r="S21" i="12"/>
  <c r="S43" i="11" l="1"/>
  <c r="S48" i="11" s="1"/>
  <c r="F48" i="11"/>
  <c r="R43" i="11"/>
  <c r="G7" i="16"/>
  <c r="G9" i="16"/>
  <c r="G8" i="16"/>
  <c r="G5" i="16"/>
  <c r="G12" i="16"/>
  <c r="G15" i="16"/>
  <c r="G10" i="16"/>
  <c r="G6" i="16"/>
  <c r="G11" i="16"/>
  <c r="S44" i="11"/>
  <c r="S49" i="11" s="1"/>
  <c r="R44" i="11"/>
  <c r="F49" i="11"/>
  <c r="T13" i="11"/>
  <c r="T11" i="11"/>
  <c r="T10" i="11"/>
  <c r="T17" i="11"/>
  <c r="T9" i="11"/>
  <c r="T18" i="11"/>
  <c r="T12" i="11"/>
  <c r="T14" i="11"/>
  <c r="T16" i="11"/>
  <c r="T15" i="11"/>
  <c r="W3" i="11"/>
  <c r="T19" i="11"/>
  <c r="L51" i="11"/>
  <c r="L53" i="11" s="1"/>
  <c r="T19" i="12"/>
  <c r="T14" i="12"/>
  <c r="T18" i="12"/>
  <c r="T16" i="12"/>
  <c r="T11" i="12"/>
  <c r="T9" i="12"/>
  <c r="T17" i="12"/>
  <c r="T12" i="12"/>
  <c r="T10" i="12"/>
  <c r="T15" i="12"/>
  <c r="T13" i="12"/>
  <c r="P51" i="11"/>
  <c r="P53" i="11" s="1"/>
  <c r="M51" i="11"/>
  <c r="M53" i="11" s="1"/>
  <c r="T2" i="12"/>
  <c r="G17" i="16" l="1"/>
  <c r="T3" i="12"/>
  <c r="J29" i="12"/>
  <c r="H25" i="12"/>
  <c r="H27" i="12"/>
  <c r="I27" i="12"/>
  <c r="O27" i="12"/>
  <c r="J45" i="12"/>
  <c r="Q25" i="12"/>
  <c r="J33" i="12"/>
  <c r="I29" i="12"/>
  <c r="Q27" i="12"/>
  <c r="O37" i="12"/>
  <c r="H39" i="12"/>
  <c r="P27" i="12"/>
  <c r="O41" i="12"/>
  <c r="Q29" i="12"/>
  <c r="M33" i="12"/>
  <c r="L31" i="12"/>
  <c r="G27" i="12"/>
  <c r="J35" i="12"/>
  <c r="Q41" i="12"/>
  <c r="O39" i="12"/>
  <c r="J31" i="12"/>
  <c r="I25" i="12"/>
  <c r="O25" i="12"/>
  <c r="P29" i="12"/>
  <c r="I41" i="12"/>
  <c r="G41" i="12"/>
  <c r="H41" i="12"/>
  <c r="G25" i="12"/>
  <c r="G48" i="12" s="1"/>
  <c r="G39" i="12"/>
  <c r="I31" i="12"/>
  <c r="P39" i="12"/>
  <c r="G37" i="12"/>
  <c r="N37" i="12"/>
  <c r="Q33" i="12"/>
  <c r="J39" i="12"/>
  <c r="M35" i="12"/>
  <c r="K33" i="12"/>
  <c r="N41" i="12"/>
  <c r="H45" i="12"/>
  <c r="I35" i="12"/>
  <c r="J41" i="12"/>
  <c r="M31" i="12"/>
  <c r="L29" i="12"/>
  <c r="K27" i="12"/>
  <c r="N39" i="12"/>
  <c r="P31" i="12"/>
  <c r="I37" i="12"/>
  <c r="K31" i="12"/>
  <c r="M39" i="12"/>
  <c r="F27" i="12"/>
  <c r="M37" i="12"/>
  <c r="O29" i="12"/>
  <c r="K41" i="12"/>
  <c r="P35" i="12"/>
  <c r="F39" i="12"/>
  <c r="O45" i="12"/>
  <c r="K35" i="12"/>
  <c r="F31" i="12"/>
  <c r="F33" i="12"/>
  <c r="L25" i="12"/>
  <c r="P45" i="12"/>
  <c r="Q35" i="12"/>
  <c r="M25" i="12"/>
  <c r="F29" i="12"/>
  <c r="N33" i="12"/>
  <c r="Q37" i="12"/>
  <c r="M41" i="12"/>
  <c r="P33" i="12"/>
  <c r="M29" i="12"/>
  <c r="N29" i="12"/>
  <c r="Q45" i="12"/>
  <c r="P37" i="12"/>
  <c r="F35" i="12"/>
  <c r="N25" i="12"/>
  <c r="N27" i="12"/>
  <c r="M27" i="12"/>
  <c r="G45" i="12"/>
  <c r="L35" i="12"/>
  <c r="P41" i="12"/>
  <c r="P25" i="12"/>
  <c r="O35" i="12"/>
  <c r="K45" i="12"/>
  <c r="L39" i="12"/>
  <c r="F45" i="12"/>
  <c r="F25" i="12"/>
  <c r="K29" i="12"/>
  <c r="K25" i="12"/>
  <c r="N45" i="12"/>
  <c r="G29" i="12"/>
  <c r="O33" i="12"/>
  <c r="L27" i="12"/>
  <c r="K39" i="12"/>
  <c r="J27" i="12"/>
  <c r="H29" i="12"/>
  <c r="G33" i="12"/>
  <c r="L37" i="12"/>
  <c r="J37" i="12"/>
  <c r="I39" i="12"/>
  <c r="M45" i="12"/>
  <c r="H35" i="12"/>
  <c r="H31" i="12"/>
  <c r="I45" i="12"/>
  <c r="G31" i="12"/>
  <c r="H37" i="12"/>
  <c r="N35" i="12"/>
  <c r="F41" i="12"/>
  <c r="K37" i="12"/>
  <c r="Q31" i="12"/>
  <c r="G35" i="12"/>
  <c r="J25" i="12"/>
  <c r="L41" i="12"/>
  <c r="I33" i="12"/>
  <c r="L33" i="12"/>
  <c r="N31" i="12"/>
  <c r="Q39" i="12"/>
  <c r="L45" i="12"/>
  <c r="F37" i="12"/>
  <c r="H33" i="12"/>
  <c r="O31" i="12"/>
  <c r="I43" i="12"/>
  <c r="M43" i="12"/>
  <c r="F43" i="12"/>
  <c r="H43" i="12"/>
  <c r="N43" i="12"/>
  <c r="J43" i="12"/>
  <c r="O43" i="12"/>
  <c r="L43" i="12"/>
  <c r="P43" i="12"/>
  <c r="Q43" i="12"/>
  <c r="K43" i="12"/>
  <c r="G43" i="12"/>
  <c r="T21" i="12"/>
  <c r="F51" i="11"/>
  <c r="S51" i="11" s="1"/>
  <c r="T21" i="11"/>
  <c r="S52" i="11"/>
  <c r="P48" i="12" l="1"/>
  <c r="L48" i="12"/>
  <c r="H48" i="12"/>
  <c r="K48" i="12"/>
  <c r="S33" i="12"/>
  <c r="R33" i="12"/>
  <c r="S39" i="12"/>
  <c r="R39" i="12"/>
  <c r="S43" i="12"/>
  <c r="R43" i="12"/>
  <c r="S41" i="12"/>
  <c r="R41" i="12"/>
  <c r="N48" i="12"/>
  <c r="R27" i="12"/>
  <c r="S27" i="12"/>
  <c r="I48" i="12"/>
  <c r="Q48" i="12"/>
  <c r="P26" i="12"/>
  <c r="G26" i="12"/>
  <c r="P28" i="12"/>
  <c r="G42" i="12"/>
  <c r="Q28" i="12"/>
  <c r="H42" i="12"/>
  <c r="L32" i="12"/>
  <c r="G40" i="12"/>
  <c r="I32" i="12"/>
  <c r="J30" i="12"/>
  <c r="P40" i="12"/>
  <c r="Q30" i="12"/>
  <c r="G28" i="12"/>
  <c r="I26" i="12"/>
  <c r="I30" i="12"/>
  <c r="J32" i="12"/>
  <c r="J36" i="12"/>
  <c r="P30" i="12"/>
  <c r="H28" i="12"/>
  <c r="J46" i="12"/>
  <c r="H26" i="12"/>
  <c r="P42" i="12"/>
  <c r="Q32" i="12"/>
  <c r="I28" i="12"/>
  <c r="O28" i="12"/>
  <c r="H30" i="12"/>
  <c r="G38" i="12"/>
  <c r="O42" i="12"/>
  <c r="M34" i="12"/>
  <c r="Q42" i="12"/>
  <c r="O40" i="12"/>
  <c r="J28" i="12"/>
  <c r="Q26" i="12"/>
  <c r="H40" i="12"/>
  <c r="O36" i="12"/>
  <c r="K46" i="12"/>
  <c r="J38" i="12"/>
  <c r="F46" i="12"/>
  <c r="K30" i="12"/>
  <c r="K26" i="12"/>
  <c r="N46" i="12"/>
  <c r="H36" i="12"/>
  <c r="G30" i="12"/>
  <c r="O34" i="12"/>
  <c r="L28" i="12"/>
  <c r="K40" i="12"/>
  <c r="G34" i="12"/>
  <c r="I40" i="12"/>
  <c r="M46" i="12"/>
  <c r="H32" i="12"/>
  <c r="I46" i="12"/>
  <c r="G32" i="12"/>
  <c r="H38" i="12"/>
  <c r="N36" i="12"/>
  <c r="K38" i="12"/>
  <c r="O38" i="12"/>
  <c r="G36" i="12"/>
  <c r="L26" i="12"/>
  <c r="P46" i="12"/>
  <c r="Q36" i="12"/>
  <c r="J26" i="12"/>
  <c r="M26" i="12"/>
  <c r="L42" i="12"/>
  <c r="F30" i="12"/>
  <c r="N42" i="12"/>
  <c r="I34" i="12"/>
  <c r="Q38" i="12"/>
  <c r="L34" i="12"/>
  <c r="M42" i="12"/>
  <c r="N32" i="12"/>
  <c r="P34" i="12"/>
  <c r="Q40" i="12"/>
  <c r="M30" i="12"/>
  <c r="L46" i="12"/>
  <c r="N30" i="12"/>
  <c r="F38" i="12"/>
  <c r="H34" i="12"/>
  <c r="Q46" i="12"/>
  <c r="O32" i="12"/>
  <c r="P38" i="12"/>
  <c r="F36" i="12"/>
  <c r="P36" i="12"/>
  <c r="F42" i="12"/>
  <c r="N28" i="12"/>
  <c r="M28" i="12"/>
  <c r="G46" i="12"/>
  <c r="L36" i="12"/>
  <c r="J34" i="12"/>
  <c r="F34" i="12"/>
  <c r="N38" i="12"/>
  <c r="Q34" i="12"/>
  <c r="J40" i="12"/>
  <c r="M36" i="12"/>
  <c r="K34" i="12"/>
  <c r="N34" i="12"/>
  <c r="H46" i="12"/>
  <c r="I36" i="12"/>
  <c r="J42" i="12"/>
  <c r="M32" i="12"/>
  <c r="L30" i="12"/>
  <c r="K28" i="12"/>
  <c r="N40" i="12"/>
  <c r="P32" i="12"/>
  <c r="I38" i="12"/>
  <c r="K32" i="12"/>
  <c r="M40" i="12"/>
  <c r="F26" i="12"/>
  <c r="F28" i="12"/>
  <c r="M38" i="12"/>
  <c r="O30" i="12"/>
  <c r="K42" i="12"/>
  <c r="N26" i="12"/>
  <c r="F40" i="12"/>
  <c r="O46" i="12"/>
  <c r="K36" i="12"/>
  <c r="F32" i="12"/>
  <c r="O26" i="12"/>
  <c r="I42" i="12"/>
  <c r="L38" i="12"/>
  <c r="L40" i="12"/>
  <c r="H44" i="12"/>
  <c r="G44" i="12"/>
  <c r="O44" i="12"/>
  <c r="J44" i="12"/>
  <c r="Q44" i="12"/>
  <c r="F44" i="12"/>
  <c r="M44" i="12"/>
  <c r="P44" i="12"/>
  <c r="I44" i="12"/>
  <c r="N44" i="12"/>
  <c r="L44" i="12"/>
  <c r="K44" i="12"/>
  <c r="R45" i="12"/>
  <c r="S45" i="12"/>
  <c r="R29" i="12"/>
  <c r="S29" i="12"/>
  <c r="M48" i="12"/>
  <c r="O48" i="12"/>
  <c r="J48" i="12"/>
  <c r="R31" i="12"/>
  <c r="S31" i="12"/>
  <c r="F52" i="11"/>
  <c r="T45" i="11"/>
  <c r="T42" i="11"/>
  <c r="P52" i="11"/>
  <c r="I52" i="11"/>
  <c r="T39" i="11"/>
  <c r="T32" i="11"/>
  <c r="T37" i="11"/>
  <c r="T28" i="11"/>
  <c r="M52" i="11"/>
  <c r="K52" i="11"/>
  <c r="T34" i="11"/>
  <c r="T43" i="11"/>
  <c r="T38" i="11"/>
  <c r="T31" i="11"/>
  <c r="T41" i="11"/>
  <c r="T25" i="11"/>
  <c r="T29" i="11"/>
  <c r="T44" i="11"/>
  <c r="T46" i="11"/>
  <c r="T26" i="11"/>
  <c r="T49" i="11" s="1"/>
  <c r="O52" i="11"/>
  <c r="T30" i="11"/>
  <c r="G52" i="11"/>
  <c r="T33" i="11"/>
  <c r="T35" i="11"/>
  <c r="X5" i="11"/>
  <c r="N52" i="11"/>
  <c r="L52" i="11"/>
  <c r="Q52" i="11"/>
  <c r="S53" i="11"/>
  <c r="J52" i="11"/>
  <c r="H52" i="11"/>
  <c r="T40" i="11"/>
  <c r="T36" i="11"/>
  <c r="T27" i="11"/>
  <c r="R37" i="12"/>
  <c r="S37" i="12"/>
  <c r="R25" i="12"/>
  <c r="F48" i="12"/>
  <c r="S25" i="12"/>
  <c r="S48" i="12" s="1"/>
  <c r="R35" i="12"/>
  <c r="S35" i="12"/>
  <c r="T4" i="12"/>
  <c r="T48" i="11" l="1"/>
  <c r="T51" i="11" s="1"/>
  <c r="F53" i="11"/>
  <c r="G53" i="11" s="1"/>
  <c r="H53" i="11" s="1"/>
  <c r="I53" i="11" s="1"/>
  <c r="J53" i="11" s="1"/>
  <c r="K53" i="11" s="1"/>
  <c r="T52" i="11"/>
  <c r="R42" i="12"/>
  <c r="S42" i="12"/>
  <c r="R44" i="12"/>
  <c r="S44" i="12"/>
  <c r="M49" i="12"/>
  <c r="S46" i="12"/>
  <c r="R46" i="12"/>
  <c r="O49" i="12"/>
  <c r="S40" i="12"/>
  <c r="R40" i="12"/>
  <c r="S34" i="12"/>
  <c r="R34" i="12"/>
  <c r="R36" i="12"/>
  <c r="S36" i="12"/>
  <c r="J49" i="12"/>
  <c r="Q49" i="12"/>
  <c r="H49" i="12"/>
  <c r="H51" i="12" s="1"/>
  <c r="P49" i="12"/>
  <c r="P51" i="12" s="1"/>
  <c r="P53" i="12" s="1"/>
  <c r="O51" i="12"/>
  <c r="O53" i="12" s="1"/>
  <c r="F49" i="12"/>
  <c r="F51" i="12" s="1"/>
  <c r="S26" i="12"/>
  <c r="R26" i="12"/>
  <c r="K51" i="12"/>
  <c r="M51" i="12"/>
  <c r="M53" i="12" s="1"/>
  <c r="L49" i="12"/>
  <c r="L51" i="12" s="1"/>
  <c r="L53" i="12" s="1"/>
  <c r="I49" i="12"/>
  <c r="I51" i="12" s="1"/>
  <c r="G49" i="12"/>
  <c r="G51" i="12" s="1"/>
  <c r="J51" i="12"/>
  <c r="S32" i="12"/>
  <c r="R32" i="12"/>
  <c r="N49" i="12"/>
  <c r="S28" i="12"/>
  <c r="R28" i="12"/>
  <c r="R38" i="12"/>
  <c r="S38" i="12"/>
  <c r="S30" i="12"/>
  <c r="R30" i="12"/>
  <c r="K49" i="12"/>
  <c r="Q51" i="12"/>
  <c r="Q53" i="12" s="1"/>
  <c r="N51" i="12"/>
  <c r="N53" i="12" s="1"/>
  <c r="S51" i="12" l="1"/>
  <c r="S49" i="12"/>
  <c r="S52" i="12" s="1"/>
  <c r="T53" i="11"/>
  <c r="I52" i="12" l="1"/>
  <c r="P52" i="12"/>
  <c r="T25" i="12"/>
  <c r="T34" i="12"/>
  <c r="T43" i="12"/>
  <c r="T44" i="12"/>
  <c r="T45" i="12"/>
  <c r="T46" i="12"/>
  <c r="T39" i="12"/>
  <c r="T40" i="12"/>
  <c r="H52" i="12"/>
  <c r="O52" i="12"/>
  <c r="T26" i="12"/>
  <c r="T35" i="12"/>
  <c r="T36" i="12"/>
  <c r="T37" i="12"/>
  <c r="T38" i="12"/>
  <c r="T31" i="12"/>
  <c r="T32" i="12"/>
  <c r="T41" i="12"/>
  <c r="G52" i="12"/>
  <c r="N52" i="12"/>
  <c r="T27" i="12"/>
  <c r="T28" i="12"/>
  <c r="T29" i="12"/>
  <c r="T30" i="12"/>
  <c r="Q52" i="12"/>
  <c r="S53" i="12"/>
  <c r="T33" i="12"/>
  <c r="T42" i="12"/>
  <c r="F52" i="12"/>
  <c r="M52" i="12"/>
  <c r="L52" i="12"/>
  <c r="K52" i="12"/>
  <c r="J52" i="12"/>
  <c r="X5" i="12"/>
  <c r="T48" i="12" l="1"/>
  <c r="F53" i="12"/>
  <c r="G53" i="12" s="1"/>
  <c r="H53" i="12" s="1"/>
  <c r="I53" i="12" s="1"/>
  <c r="J53" i="12" s="1"/>
  <c r="K53" i="12" s="1"/>
  <c r="T52" i="12"/>
  <c r="T49" i="12"/>
  <c r="T51" i="12" l="1"/>
  <c r="T53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Ruy  José da Costa</author>
    <author>PARANACIDADE: Ruy  Jose da Costa</author>
  </authors>
  <commentList>
    <comment ref="D1" authorId="0" shapeId="0" xr:uid="{00000000-0006-0000-0300-000001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L1" authorId="0" shapeId="0" xr:uid="{00000000-0006-0000-0300-000002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S1" authorId="0" shapeId="0" xr:uid="{00000000-0006-0000-0300-000003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V1" authorId="0" shapeId="0" xr:uid="{00000000-0006-0000-0300-000004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D3" authorId="0" shapeId="0" xr:uid="{00000000-0006-0000-0300-000005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L3" authorId="0" shapeId="0" xr:uid="{00000000-0006-0000-0300-000006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R3" authorId="0" shapeId="0" xr:uid="{00000000-0006-0000-0300-000007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I25" authorId="0" shapeId="0" xr:uid="{00000000-0006-0000-0300-000008000000}">
      <text>
        <r>
          <rPr>
            <b/>
            <sz val="8"/>
            <color indexed="81"/>
            <rFont val="Segoe UI"/>
            <family val="2"/>
          </rPr>
          <t>=MF3 pré x 0,50294</t>
        </r>
      </text>
    </comment>
    <comment ref="I26" authorId="0" shapeId="0" xr:uid="{00000000-0006-0000-0300-000009000000}">
      <text>
        <r>
          <rPr>
            <b/>
            <sz val="8"/>
            <color indexed="81"/>
            <rFont val="Segoe UI"/>
            <family val="2"/>
          </rPr>
          <t>=MF3 pré x 0,33088</t>
        </r>
      </text>
    </comment>
    <comment ref="I27" authorId="0" shapeId="0" xr:uid="{00000000-0006-0000-0300-00000A000000}">
      <text>
        <r>
          <rPr>
            <b/>
            <sz val="8"/>
            <color indexed="81"/>
            <rFont val="Segoe UI"/>
            <family val="2"/>
          </rPr>
          <t>=MF3 pré x 0,411765</t>
        </r>
      </text>
    </comment>
    <comment ref="I523" authorId="0" shapeId="0" xr:uid="{3EF0551F-B3C9-407A-BF0C-DD317E1E95B2}">
      <text>
        <r>
          <rPr>
            <b/>
            <sz val="8"/>
            <color indexed="81"/>
            <rFont val="Segoe UI"/>
            <family val="2"/>
          </rPr>
          <t>=MF3 pré x 0,50294</t>
        </r>
      </text>
    </comment>
    <comment ref="I524" authorId="0" shapeId="0" xr:uid="{25E0E027-8049-4D28-8753-263372430803}">
      <text>
        <r>
          <rPr>
            <b/>
            <sz val="8"/>
            <color indexed="81"/>
            <rFont val="Segoe UI"/>
            <family val="2"/>
          </rPr>
          <t>=MF3 pré x 0,33088</t>
        </r>
      </text>
    </comment>
    <comment ref="I525" authorId="0" shapeId="0" xr:uid="{6F5E47EB-CC1E-4A33-822B-560F4F6A3CCB}">
      <text>
        <r>
          <rPr>
            <b/>
            <sz val="8"/>
            <color indexed="81"/>
            <rFont val="Segoe UI"/>
            <family val="2"/>
          </rPr>
          <t>=MF3 pré x 0,411765</t>
        </r>
      </text>
    </comment>
    <comment ref="I544" authorId="0" shapeId="0" xr:uid="{0092F919-33CA-4A2A-B939-B1DF7D4C949C}">
      <text>
        <r>
          <rPr>
            <b/>
            <sz val="12"/>
            <color indexed="81"/>
            <rFont val="Segoe UI"/>
            <family val="2"/>
          </rPr>
          <t>Cocncreto Símples x 0,05
Transporte x 0,05
Forma (0,05*2m/m2)
 (2 aproveitamentos)  =  =2*0,05*I445 /2
Regularização = I 436</t>
        </r>
        <r>
          <rPr>
            <b/>
            <sz val="8"/>
            <color indexed="81"/>
            <rFont val="Segoe UI"/>
            <family val="2"/>
          </rPr>
          <t xml:space="preserve">
</t>
        </r>
      </text>
    </comment>
    <comment ref="I548" authorId="0" shapeId="0" xr:uid="{117CB8AF-770D-4F57-B6E1-94F631AAA7B7}">
      <text>
        <r>
          <rPr>
            <b/>
            <sz val="12"/>
            <color indexed="81"/>
            <rFont val="Segoe UI"/>
            <family val="2"/>
          </rPr>
          <t xml:space="preserve">Cocncreto Símples x 0,06
Transporte x 0,06
Forma (0,06*2m/m2)
 (2 aproveitamentos)  =  =2*0,06*I445 /2
Regularização = I 436
</t>
        </r>
      </text>
    </comment>
    <comment ref="I552" authorId="0" shapeId="0" xr:uid="{CD3E6752-5EC8-427C-A72E-6A1E8CAF69FA}">
      <text>
        <r>
          <rPr>
            <b/>
            <sz val="12"/>
            <color indexed="81"/>
            <rFont val="Segoe UI"/>
            <family val="2"/>
          </rPr>
          <t>Cocncreto Símples x 0,07
Transporte x 0,07
Forma (0,07*2m/m2)
 (2 aproveitamentos)  =  =2*0,07*I445 /2
Regularização = I 436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556" authorId="0" shapeId="0" xr:uid="{0CB2CF63-DB1E-401E-8CB0-1650E2A1EC06}">
      <text>
        <r>
          <rPr>
            <b/>
            <sz val="12"/>
            <color indexed="81"/>
            <rFont val="Segoe UI"/>
            <family val="2"/>
          </rPr>
          <t>Cocncreto Símples x 0,08
Transporte x 0,08
Forma (0,08*2m/m2)
 (2 aproveitamentos)  =  =2*0,08*I445 /2
Regularização = I 436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737" authorId="1" shapeId="0" xr:uid="{ADD65554-D8E9-4B97-8CA6-784644638748}">
      <text>
        <r>
          <rPr>
            <b/>
            <sz val="12"/>
            <color indexed="81"/>
            <rFont val="Tahoma"/>
            <family val="2"/>
          </rPr>
          <t>CUSTO DA PLACA (R$/M2) * CONSUMO (0,1964)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38" authorId="1" shapeId="0" xr:uid="{95FB1905-06A9-49DF-88DF-6D0A9FA43C5F}">
      <text>
        <r>
          <rPr>
            <b/>
            <sz val="12"/>
            <color indexed="81"/>
            <rFont val="Tahoma"/>
            <family val="2"/>
          </rPr>
          <t>CUSTO DA PLACA (R$/M2) * CONSUMO (0,1219)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39" authorId="1" shapeId="0" xr:uid="{19E8709A-9069-4CFE-8CE0-7103C3BE86BB}">
      <text>
        <r>
          <rPr>
            <b/>
            <sz val="12"/>
            <color indexed="81"/>
            <rFont val="Tahoma"/>
            <family val="2"/>
          </rPr>
          <t>CUSTO DA PLACA (R$/M2) * CONSUMO (0,2160)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0" authorId="1" shapeId="0" xr:uid="{5BEFEE6B-246A-4CFA-A21F-BA80B0E1D0AF}">
      <text>
        <r>
          <rPr>
            <b/>
            <sz val="12"/>
            <color indexed="81"/>
            <rFont val="Tahoma"/>
            <family val="2"/>
          </rPr>
          <t>CUSTO DA PLACA (R$/M2) * CONSUMO (0,2025)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1" authorId="1" shapeId="0" xr:uid="{BC92A56E-F228-49EB-A3FB-32FE71BF2A5B}">
      <text>
        <r>
          <rPr>
            <b/>
            <sz val="12"/>
            <color indexed="81"/>
            <rFont val="Tahoma"/>
            <family val="2"/>
          </rPr>
          <t>CUSTO DA PLACA (R$/M2) * CONSUMO (0,1964)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2" authorId="1" shapeId="0" xr:uid="{779229E9-7C3F-40E3-BEBE-49CE1E1ED168}">
      <text>
        <r>
          <rPr>
            <b/>
            <sz val="12"/>
            <color indexed="81"/>
            <rFont val="Tahoma"/>
            <family val="2"/>
          </rPr>
          <t>CUSTO DA PLACA (R$/M2) * CONSUMO (0,1219)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3" authorId="1" shapeId="0" xr:uid="{9ECE3706-2A59-4E36-B9E1-2CD92DC56DB3}">
      <text>
        <r>
          <rPr>
            <b/>
            <sz val="12"/>
            <color indexed="81"/>
            <rFont val="Tahoma"/>
            <family val="2"/>
          </rPr>
          <t>CUSTO DA PLACA (R$/M2) * CONSUMO (0,2160)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4" authorId="1" shapeId="0" xr:uid="{B2E608FA-DC1C-4665-A2C3-F68E945AC9F0}">
      <text>
        <r>
          <rPr>
            <b/>
            <sz val="12"/>
            <color indexed="81"/>
            <rFont val="Tahoma"/>
            <family val="2"/>
          </rPr>
          <t>CUSTO DA PLACA (R$/M2) * CONSUMO (0,2025)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5" authorId="1" shapeId="0" xr:uid="{BF25D90B-BD2D-4359-A130-448DE2FE1668}">
      <text>
        <r>
          <rPr>
            <b/>
            <sz val="12"/>
            <color indexed="81"/>
            <rFont val="Tahoma"/>
            <family val="2"/>
          </rPr>
          <t>CUSTO DA PLACA (R$/M2) * CONSUMO (0,2400)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80" authorId="0" shapeId="0" xr:uid="{00000000-0006-0000-0300-000094000000}">
      <text>
        <r>
          <rPr>
            <sz val="8"/>
            <color indexed="81"/>
            <rFont val="Segoe UI"/>
            <family val="2"/>
          </rPr>
          <t xml:space="preserve">COPEL:
Compreende a locação de estruturas e estais correspondentes, em ramais que permitam
visadas diretas, respeitando as limitações impostas em função dos vãos mecânicos,
elétricos e bitola do condutor, para a implantação da estrutura.
Estão incluídos a marcação dos pontos de derivação, ângulo aproximado, anotações dos
detalhes da faixa na caderneta, desenho definitivo, e inclusive, as locações previstas na
atividade 703. Inclui ainda todo e qualquer deslocamento de pessoal.
</t>
        </r>
      </text>
    </comment>
    <comment ref="D781" authorId="0" shapeId="0" xr:uid="{00000000-0006-0000-0300-000095000000}">
      <text>
        <r>
          <rPr>
            <b/>
            <sz val="8"/>
            <color indexed="81"/>
            <rFont val="Segoe UI"/>
            <family val="2"/>
          </rPr>
          <t>COPEL:
Consiste na determinação com uso de teodolito e balizas, do ponto exato no terreno, onde
será instalada a estrutura projetada, identificados através de piquetes e estacas conforme
modelo COPEL.
Toda locação que coincida com o piquete da topografia, não deve ser paga</t>
        </r>
      </text>
    </comment>
    <comment ref="D782" authorId="0" shapeId="0" xr:uid="{00000000-0006-0000-0300-000096000000}">
      <text>
        <r>
          <rPr>
            <b/>
            <sz val="8"/>
            <color indexed="81"/>
            <rFont val="Segoe UI"/>
            <family val="2"/>
          </rPr>
          <t>COPEL:
Consiste na determinação com uso de balizas e excepcionalmente teodolito, do ponto
exato no terreno onde será instalada a estrutura projetada, (extensão, intercalação ou
deslocamento).
Esta atividade não deve ser considerada quando da substituição de poste que ocupe o
mesmo local do poste a ser substituído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3" authorId="0" shapeId="0" xr:uid="{00000000-0006-0000-0300-000097000000}">
      <text>
        <r>
          <rPr>
            <b/>
            <sz val="8"/>
            <color indexed="81"/>
            <rFont val="Segoe UI"/>
            <family val="2"/>
          </rPr>
          <t>COPEL:
Consiste na escavação necessária, prumagem, alinhamento e apiloamento de estrutura
montada existente, sem desconectar as ligações, amarrações e/ou retirar equipamentos.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4" authorId="0" shapeId="0" xr:uid="{00000000-0006-0000-0300-000098000000}">
      <text>
        <r>
          <rPr>
            <b/>
            <sz val="8"/>
            <color indexed="81"/>
            <rFont val="Segoe UI"/>
            <family val="2"/>
          </rPr>
          <t>COPEL:
Compreende o deslocamento de estrutura equipada existente em até 0,30 metros do seu
ponto original, para efetuar a relocação, alinhamento, virada ou a altura de engastamento
fora de padrão, incluindo a escavação complementar, prumagem e apiloamento do poste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5" authorId="0" shapeId="0" xr:uid="{00000000-0006-0000-0300-000099000000}">
      <text>
        <r>
          <rPr>
            <b/>
            <sz val="8"/>
            <color indexed="81"/>
            <rFont val="Segoe UI"/>
            <family val="2"/>
          </rPr>
          <t xml:space="preserve">COPEL:
Consiste no levantamento, prumagem e apiloamento de poste auxiliar para entrada de
serviço da unidade consumidora, incluindo a distribuição no local de aplicação. 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7" authorId="0" shapeId="0" xr:uid="{00000000-0006-0000-0300-00009A000000}">
      <text>
        <r>
          <rPr>
            <b/>
            <sz val="8"/>
            <color indexed="81"/>
            <rFont val="Segoe UI"/>
            <family val="2"/>
          </rPr>
          <t xml:space="preserve">COPEL:
Consiste no levantamento, prumagem, alinhamento e apiloamento de postes até 12 metros de altura e resistência nominal até 1000 daN, incluindo a distribuição do local onde se acha
depositado até o ponto de aplicação. </t>
        </r>
      </text>
    </comment>
    <comment ref="D789" authorId="0" shapeId="0" xr:uid="{00000000-0006-0000-0300-00009B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até 12 metros
de altura e resistência nominal acima 1000 daN, incluindo a distribuição do local onde se
acha depositado até ao ponto de aplicação. 
Nesta atividade já está considerado a utilização de veículo equipado com guindauto
especial.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1" authorId="0" shapeId="0" xr:uid="{00000000-0006-0000-0300-00009C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entre 13 a 15
metros de altura, incluindo a distribuição do local onde se acha depositado até ao ponto de
aplicação. 
Nesta atividade já está considerado a utilização de veículo equipado com guindauto
especial.</t>
        </r>
      </text>
    </comment>
    <comment ref="D793" authorId="0" shapeId="0" xr:uid="{00000000-0006-0000-0300-00009D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de 15 a 18
metros de 
Nesta atividade já está considerado a utilização de veículo equipado com guindauto
especial.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5" authorId="0" shapeId="0" xr:uid="{00000000-0006-0000-0300-00009E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acima de 18
metros de altura, incluindo a distribuição do local onde se acha depositado até ao ponto de
aplicação. Nesta atividade já está considerado a utilização de veículo equipado com guindauto
especial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7" authorId="0" shapeId="0" xr:uid="{00000000-0006-0000-0300-00009F000000}">
      <text>
        <r>
          <rPr>
            <b/>
            <sz val="8"/>
            <color indexed="81"/>
            <rFont val="Segoe UI"/>
            <family val="2"/>
          </rPr>
          <t>COPEL:
Compreende os seguintes serviços:
- preparação do material (poste de madeira, concreto ou trilho)
- abertura da cava
- levantamento e apiloamento do elemento protetor (pedaço de poste)
- fornecimento da tinta
- pintura das faixas nas cores amarela e preta</t>
        </r>
      </text>
    </comment>
    <comment ref="D799" authorId="0" shapeId="0" xr:uid="{00000000-0006-0000-0300-0000A0000000}">
      <text>
        <r>
          <rPr>
            <b/>
            <sz val="8"/>
            <color indexed="81"/>
            <rFont val="Segoe UI"/>
            <family val="2"/>
          </rPr>
          <t>COPEL:
Consiste na instalação de tubo de concreto simples, separado em duas partes, em torno
do poste, conforme procedimentos definidos na Recomendação Técnica nº 006 - Defensa
de Poste. Esta atividade inclui ainda o fornecimento de todos os materiais necessários, seu
transporte até o local de instalação e pintura da defensa.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1" authorId="0" shapeId="0" xr:uid="{00000000-0006-0000-0300-0000A1000000}">
      <text>
        <r>
          <rPr>
            <b/>
            <sz val="8"/>
            <color indexed="81"/>
            <rFont val="Segoe UI"/>
            <family val="2"/>
          </rPr>
          <t>COPEL: ESTRUTURAS PRIMÁRIAS
Compreende a montagem, instalação e fixação da cadeia de isoladores de disco e olhal na
cruzeta ou no poste. Esta atividade também remunera, quando se tratar de acréscimo ou substituição de isolador(es) na cadeia existente.</t>
        </r>
      </text>
    </comment>
    <comment ref="D803" authorId="0" shapeId="0" xr:uid="{00000000-0006-0000-0300-0000A2000000}">
      <text>
        <r>
          <rPr>
            <b/>
            <sz val="8"/>
            <color indexed="81"/>
            <rFont val="Segoe UI"/>
            <family val="2"/>
          </rPr>
          <t>COPEL: ESTRUTURAS PRIMÁRIAS
Consiste na instalação de cruzeta simples de madeira, concreto ou aço sem isoladores,
independente do comprimento.
Nesta atividade paga-se também o deslocamento na própria estrutura, de cruzeta simples
de qualquer tipo, independente do comprimento, para melhoria de redes, cotas de
afastamento, cruzamento aéreos ou virada do poste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5" authorId="0" shapeId="0" xr:uid="{00000000-0006-0000-0300-0000A3000000}">
      <text>
        <r>
          <rPr>
            <b/>
            <sz val="8"/>
            <color indexed="81"/>
            <rFont val="Segoe UI"/>
            <family val="2"/>
          </rPr>
          <t>COPEL: ESTRUTURAS PRIMÁRIAS
Compreende a instalação de cruzeta dupla de madeira, concreto ou aço sem isoladores,
independente do comprimento.</t>
        </r>
      </text>
    </comment>
    <comment ref="D807" authorId="0" shapeId="0" xr:uid="{00000000-0006-0000-0300-0000A4000000}">
      <text>
        <r>
          <rPr>
            <b/>
            <sz val="8"/>
            <color indexed="81"/>
            <rFont val="Segoe UI"/>
            <family val="2"/>
          </rPr>
          <t>COPEL: ESTRUTURAS PRIMÁRIAS
Compreende a reinstalação no mesmo poste de cruzeta dupla de madeira, concreto ou
aço, independente do comprimento, para melhoria de rede, cotas de afastamento,
cruzamento aéreo ou virada do poste.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8" authorId="0" shapeId="0" xr:uid="{00000000-0006-0000-0300-0000A5000000}">
      <text>
        <r>
          <rPr>
            <b/>
            <sz val="8"/>
            <color indexed="81"/>
            <rFont val="Segoe UI"/>
            <family val="2"/>
          </rPr>
          <t>COPEL: ESTRUTURAS PRIMÁRIAS
Compreende a instalação do isolador no pino</t>
        </r>
      </text>
    </comment>
    <comment ref="D810" authorId="0" shapeId="0" xr:uid="{00000000-0006-0000-0300-0000A6000000}">
      <text>
        <r>
          <rPr>
            <b/>
            <sz val="8"/>
            <color indexed="81"/>
            <rFont val="Segoe UI"/>
            <family val="2"/>
          </rPr>
          <t>COPEL: ESTRUTURAS PRIMÁRIAS
Consiste na instalação do suporte T, para fixação de chaves ou pára-raios de distribuição</t>
        </r>
      </text>
    </comment>
    <comment ref="D812" authorId="0" shapeId="0" xr:uid="{00000000-0006-0000-0300-0000A7000000}">
      <text>
        <r>
          <rPr>
            <b/>
            <sz val="8"/>
            <color indexed="81"/>
            <rFont val="Segoe UI"/>
            <family val="2"/>
          </rPr>
          <t>COPEL: ESTRUTURAS PRIMÁRIAS
Consiste na instalação do suporte ou afastador para isolador pilar.</t>
        </r>
      </text>
    </comment>
    <comment ref="D814" authorId="0" shapeId="0" xr:uid="{00000000-0006-0000-0300-0000A8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do suporte em cruzeta para fixação da luminária, armação
secundária e medição centralizada.</t>
        </r>
      </text>
    </comment>
    <comment ref="D816" authorId="0" shapeId="0" xr:uid="{00000000-0006-0000-0300-0000A9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do afastador de rede secundária, para atender a cota mínima de segurança.</t>
        </r>
      </text>
    </comment>
    <comment ref="D818" authorId="0" shapeId="0" xr:uid="{00000000-0006-0000-0300-0000AA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da armação secundária com 1 (um) estribo ou parafuso olhal.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20" authorId="0" shapeId="0" xr:uid="{00000000-0006-0000-0300-0000AB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da armação secundária com mais de 1 (um) estribo.</t>
        </r>
      </text>
    </comment>
    <comment ref="D822" authorId="0" shapeId="0" xr:uid="{00000000-0006-0000-0300-0000AC000000}">
      <text>
        <r>
          <rPr>
            <b/>
            <sz val="8"/>
            <color indexed="81"/>
            <rFont val="Segoe UI"/>
            <family val="2"/>
          </rPr>
          <t>COPEL: ESTRUTURAS SECUNDÁRIAS
Consiste no deslocamento ou reinstalação da armação secundária com mais de 1 (um)
estribo, inclusive a mudança da face do poste.</t>
        </r>
      </text>
    </comment>
    <comment ref="D823" authorId="0" shapeId="0" xr:uid="{00000000-0006-0000-0300-0000AD000000}">
      <text>
        <r>
          <rPr>
            <b/>
            <sz val="8"/>
            <color indexed="81"/>
            <rFont val="Segoe UI"/>
            <family val="2"/>
          </rPr>
          <t>COPEL: ESTAIS E ANCORAGEM
Consiste no corte de poste de concreto, para aproveitamento como escora de subsolo,
incluindo o transporte até ao local de aplicação.</t>
        </r>
      </text>
    </comment>
    <comment ref="D824" authorId="0" shapeId="0" xr:uid="{00000000-0006-0000-0300-0000AE000000}">
      <text>
        <r>
          <rPr>
            <b/>
            <sz val="8"/>
            <color indexed="81"/>
            <rFont val="Segoe UI"/>
            <family val="2"/>
          </rPr>
          <t>COPEL: ESTAIS E ANCORAGEM
Consiste na abertura complementar da cava, a instalação de placa de concreto ou pedaço
de poste de concreto, com 1,00 metro, para escora simples (superfície) de poste ou
contraposte, incluindo o apiloamento e fechamento da cava.</t>
        </r>
      </text>
    </comment>
    <comment ref="D825" authorId="0" shapeId="0" xr:uid="{00000000-0006-0000-0300-0000AF000000}">
      <text>
        <r>
          <rPr>
            <b/>
            <sz val="8"/>
            <color indexed="81"/>
            <rFont val="Segoe UI"/>
            <family val="2"/>
          </rPr>
          <t>COPEL: ESTAIS E ANCORAGEM
Consiste na abertura complementar da cava, na instalação de placa de concreto armado
ou pedaço de poste de concreto, com 1 (um) metro, para escora dupla, (fundo e
superfície), em poste ou contraposte, incluindo o apiloamento e fechamento da cava.</t>
        </r>
      </text>
    </comment>
    <comment ref="D826" authorId="0" shapeId="0" xr:uid="{00000000-0006-0000-0300-0000B0000000}">
      <text>
        <r>
          <rPr>
            <b/>
            <sz val="8"/>
            <color indexed="81"/>
            <rFont val="Segoe UI"/>
            <family val="2"/>
          </rPr>
          <t>COPEL: ESTAIS E ANCORAGEM
Consiste na instalação de haste de âncora e placa de concreto armado, em cava já aberta,
incluindo a fixação do cabo de aço simples ou reforçado, para alta ou baixa tensão.
Quando se tratar de estais em primário e secundário ou para manter o equilíbrio mecânico
da cruzeta, que aproveita a mesma haste de âncora, um dos estais deve ser considerado
como estai de poste a poste. A retirada compreende a retirada do cabo de aço e
acessórios de fixação, o corte da haste de âncora a 0,60 metros de profundidade.</t>
        </r>
      </text>
    </comment>
    <comment ref="D828" authorId="0" shapeId="0" xr:uid="{00000000-0006-0000-0300-0000B1000000}">
      <text>
        <r>
          <rPr>
            <b/>
            <sz val="8"/>
            <color indexed="81"/>
            <rFont val="Segoe UI"/>
            <family val="2"/>
          </rPr>
          <t>COPEL: ESTAIS E ANCORAGEM
Consiste na instalação do estai de contraposte simples para alta ou baixa tensão.
Quando se tratar de estais de alta e baixa tensão simultaneamente no mesmo contraposte,
um dos estais deve ser considerado como estai poste a poste.
*A retirada compreende a retirada de cabo de aço, acessórios de fixação e contraposte, e
o fechamento da cava e limpeza do local.</t>
        </r>
      </text>
    </comment>
    <comment ref="D830" authorId="0" shapeId="0" xr:uid="{00000000-0006-0000-0300-0000B2000000}">
      <text>
        <r>
          <rPr>
            <b/>
            <sz val="8"/>
            <color indexed="81"/>
            <rFont val="Segoe UI"/>
            <family val="2"/>
          </rPr>
          <t>COPEL: ESTAIS E ANCORAGEM
Consiste na instalação do estai de poste a poste, para alta ou baixa tensão.</t>
        </r>
      </text>
    </comment>
    <comment ref="D832" authorId="0" shapeId="0" xr:uid="{00000000-0006-0000-0300-0000B3000000}">
      <text>
        <r>
          <rPr>
            <b/>
            <sz val="8"/>
            <color indexed="81"/>
            <rFont val="Segoe UI"/>
            <family val="2"/>
          </rPr>
          <t>COPEL: ESTAIS E ANCORAGEM
Consiste na instalação e retirada de estai provisório durante o lançamento e tensionamento de cabos.</t>
        </r>
      </text>
    </comment>
    <comment ref="D833" authorId="0" shapeId="0" xr:uid="{00000000-0006-0000-0300-0000B4000000}">
      <text>
        <r>
          <rPr>
            <b/>
            <sz val="8"/>
            <color indexed="81"/>
            <rFont val="Segoe UI"/>
            <family val="2"/>
          </rPr>
          <t>COPEL: ESTAIS E ANCORAGEM
Compreende a perfuração da rocha, utilizando compressor, martelete, na profundidade e
diâmetro estabelecidos, para fixação de haste de âncora com parafuso, envolvidos em
nata de cimento e areia com traço 1:1,5 respectivamente. Inclui o fornecimento de cimento e areia pela empreiteira. A desmontagem consiste na retirada do estai e corte de haste de âncora ao nível do solo.</t>
        </r>
      </text>
    </comment>
    <comment ref="D835" authorId="0" shapeId="0" xr:uid="{00000000-0006-0000-0300-0000B5000000}">
      <text>
        <r>
          <rPr>
            <b/>
            <sz val="8"/>
            <color indexed="81"/>
            <rFont val="Segoe UI"/>
            <family val="2"/>
          </rPr>
          <t>COPEL: ESTAIS E ANCORAGEM
Consiste no retensionamento de cabo de aço em estai de âncora, contraposte ou poste a poste, simples ou reforçado, existente.</t>
        </r>
      </text>
    </comment>
    <comment ref="D836" authorId="0" shapeId="0" xr:uid="{00000000-0006-0000-0300-0000B6000000}">
      <text>
        <r>
          <rPr>
            <b/>
            <sz val="8"/>
            <color indexed="81"/>
            <rFont val="Segoe UI"/>
            <family val="2"/>
          </rPr>
          <t>COPEL: ESTAIS E ANCORAGEM
Consiste na instalação do dispositivo para segurança no estai de âncora</t>
        </r>
      </text>
    </comment>
    <comment ref="D838" authorId="0" shapeId="0" xr:uid="{00000000-0006-0000-0300-0000B7000000}">
      <text>
        <r>
          <rPr>
            <b/>
            <sz val="8"/>
            <color indexed="81"/>
            <rFont val="Segoe UI"/>
            <family val="2"/>
          </rPr>
          <t>COPEL: ESTAIS E ANCORAGEM
Compreende a preparação e execução de sapata de concreto, com traço 1:3:5 (cimento,
areia e pedra) em cava já aberta, para fixação do poste ou estai de âncora em terrenos
inconsistentes, nos padrões exigidos, incluindo o fornecimento do material pela
empreiteira.</t>
        </r>
      </text>
    </comment>
    <comment ref="D839" authorId="0" shapeId="0" xr:uid="{00000000-0006-0000-0300-0000B8000000}">
      <text>
        <r>
          <rPr>
            <b/>
            <sz val="8"/>
            <color indexed="81"/>
            <rFont val="Segoe UI"/>
            <family val="2"/>
          </rPr>
          <t>COPEL: ESTAIS E ANCORAGEM</t>
        </r>
        <r>
          <rPr>
            <sz val="8"/>
            <color indexed="81"/>
            <rFont val="Segoe UI"/>
            <family val="2"/>
          </rPr>
          <t xml:space="preserve">
*A retirada de concreto do poste deve ser feita sem danificá-lo e, quanto a âncora de estai,
cortá-la a 0,60 metros de profundidade. Inclui a escavação, fechamento da cava e limpeza
do local.</t>
        </r>
      </text>
    </comment>
    <comment ref="D840" authorId="0" shapeId="0" xr:uid="{00000000-0006-0000-0300-0000B9000000}">
      <text>
        <r>
          <rPr>
            <b/>
            <sz val="8"/>
            <color indexed="81"/>
            <rFont val="Segoe UI"/>
            <family val="2"/>
          </rPr>
          <t>COPEL: ESTAIS E ANCORAGEM
Compreende a instalação do sinalizador de estai de âncora para melhorar a visualização
do esta</t>
        </r>
      </text>
    </comment>
    <comment ref="D842" authorId="0" shapeId="0" xr:uid="{00000000-0006-0000-0300-0000BA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44" authorId="0" shapeId="0" xr:uid="{00000000-0006-0000-0300-0000BB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46" authorId="0" shapeId="0" xr:uid="{00000000-0006-0000-0300-0000BC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48" authorId="0" shapeId="0" xr:uid="{00000000-0006-0000-0300-0000BD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50" authorId="0" shapeId="0" xr:uid="{00000000-0006-0000-0300-0000BE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52" authorId="0" shapeId="0" xr:uid="{00000000-0006-0000-0300-0000BF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PRIMÁRIA
Consiste no lançamento, tensionamento, regulagem e encabeçamento do cabo.
</t>
        </r>
      </text>
    </comment>
    <comment ref="D854" authorId="0" shapeId="0" xr:uid="{00000000-0006-0000-0300-0000C0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56" authorId="0" shapeId="0" xr:uid="{00000000-0006-0000-0300-0000C1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58" authorId="0" shapeId="0" xr:uid="{00000000-0006-0000-0300-0000C2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o lançamento de cabo em eletroduto subterrâneo ou em descida de poste,
para atendimento de alta tensão, independente do número de fases, incluindo as conexões, exceto ligação à rede.</t>
        </r>
      </text>
    </comment>
    <comment ref="D860" authorId="0" shapeId="0" xr:uid="{00000000-0006-0000-0300-0000C3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o retensionamento e regulagem de cabos em alta tensão, por cabo,
independente do tipo e bitola. A desamarração, amarração, emenda, cruzamento aéreo e jumpers, devem ser pagos separadamente</t>
        </r>
      </text>
    </comment>
    <comment ref="D861" authorId="0" shapeId="0" xr:uid="{00000000-0006-0000-0300-0000C4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PRIMÁRIA
Consiste na instalação da canaleta de proteção do cabo em redes de distribuição aérea,
independente da bitola do cabo.
</t>
        </r>
      </text>
    </comment>
    <comment ref="D863" authorId="0" shapeId="0" xr:uid="{00000000-0006-0000-0300-0000C5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a instalação de eletroduto rígido ou flexível e fita de alerta para eletroduto
subterrâneo, em vala já aberta, para atendimento em redes de alta tensão ou baixa tensão.</t>
        </r>
      </text>
    </comment>
    <comment ref="D865" authorId="0" shapeId="0" xr:uid="{00000000-0006-0000-0300-0000C6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a instalação da esfera de sinalização em cabo, para a identificação visual da rede.</t>
        </r>
      </text>
    </comment>
    <comment ref="D867" authorId="0" shapeId="0" xr:uid="{00000000-0006-0000-0300-0000C7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</t>
        </r>
      </text>
    </comment>
    <comment ref="D869" authorId="0" shapeId="0" xr:uid="{00000000-0006-0000-0300-0000C8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</t>
        </r>
      </text>
    </comment>
    <comment ref="D871" authorId="0" shapeId="0" xr:uid="{00000000-0006-0000-0300-0000C9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SECUNDÁRIA
Consiste no lançamento, tensionamento, regulagem e encabeçamento do cabo.
</t>
        </r>
      </text>
    </comment>
    <comment ref="D873" authorId="0" shapeId="0" xr:uid="{00000000-0006-0000-0300-0000CA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cabo.</t>
        </r>
      </text>
    </comment>
    <comment ref="D875" authorId="0" shapeId="0" xr:uid="{00000000-0006-0000-0300-0000CB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o lançamento de cabo em eletroduto subterrâneo ou descida de poste, para
atendimento em baixa tensão (BT), independente do número de fases, incluindo as
conexões, exceto ligação à rede.</t>
        </r>
      </text>
    </comment>
    <comment ref="D877" authorId="0" shapeId="0" xr:uid="{00000000-0006-0000-0300-0000CC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a aplicação de espaçador em vão de baixa tensão, para assegurar a
distância mínima entre fases.</t>
        </r>
      </text>
    </comment>
    <comment ref="D879" authorId="0" shapeId="0" xr:uid="{00000000-0006-0000-0300-0000CD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o retensionamento e regulagem de cabos em baixa tensão, por cabo,
independente do tipo e bitola. A desamarração, amarração, emenda, cruzamento aéreo e
jumpers, devem ser pagos separadamente.</t>
        </r>
      </text>
    </comment>
    <comment ref="D880" authorId="0" shapeId="0" xr:uid="{00000000-0006-0000-0300-0000CE000000}">
      <text>
        <r>
          <rPr>
            <b/>
            <sz val="8"/>
            <color indexed="81"/>
            <rFont val="Segoe UI"/>
            <family val="2"/>
          </rPr>
          <t>COPEL: ATERRAMENTOS E SECCIONAMENTGOS
Compreende a instalação do fio de aço-cobre em posto de transformador monofásico ou
trifásico na tensão 33 kV, para atuar como descida suplementar de proteção. Estão incluídos a instalação do eletroduto de PVC no poste e a solda exotérmica necessária.</t>
        </r>
      </text>
    </comment>
    <comment ref="D882" authorId="0" shapeId="0" xr:uid="{00000000-0006-0000-0300-0000CF000000}">
      <text>
        <r>
          <rPr>
            <b/>
            <sz val="8"/>
            <color indexed="81"/>
            <rFont val="Segoe UI"/>
            <family val="2"/>
          </rPr>
          <t>COPEL: ATERRAMENTOS E SECCIONAMENTGOS
Consiste na realização do teste de ausência de tensão, instalação de
aterramento temporário de rede de BT.</t>
        </r>
      </text>
    </comment>
    <comment ref="D883" authorId="0" shapeId="0" xr:uid="{00000000-0006-0000-0300-0000D0000000}">
      <text>
        <r>
          <rPr>
            <b/>
            <sz val="8"/>
            <color indexed="81"/>
            <rFont val="Segoe UI"/>
            <family val="2"/>
          </rPr>
          <t>COPEL: ATERRAMENTOS E SECCIONAMENTGOS
Consiste na realização do teste de ausência de tensão, fixação e retirada do trado no solo,
instalação e retirada do conjunto de aterramento temporário de rede de AT.</t>
        </r>
      </text>
    </comment>
    <comment ref="D884" authorId="0" shapeId="0" xr:uid="{00000000-0006-0000-0300-0000D1000000}">
      <text>
        <r>
          <rPr>
            <b/>
            <sz val="8"/>
            <color indexed="81"/>
            <rFont val="Segoe UI"/>
            <family val="2"/>
          </rPr>
          <t>COPEL: ATERRAMENTOS E SECCIONAMENTGOS
Compreende a aplicação do fio de aço-cobre, conexão aos equipamentos, escavação complementar, cravação da haste no solo, execução de solda exotérmica, a medição de resistência do aterramento e fechamento da cava.
Inclui a aplicação do eletroduto de PVC no poste quando necessário. Nesta atividade paga-se também a realização do serviço de fiscalização por amostragem dos aterramentos de AT, a razão de 60% da U.S.</t>
        </r>
      </text>
    </comment>
    <comment ref="D885" authorId="0" shapeId="0" xr:uid="{00000000-0006-0000-0300-0000D2000000}">
      <text>
        <r>
          <rPr>
            <b/>
            <sz val="8"/>
            <color indexed="81"/>
            <rFont val="Segoe UI"/>
            <family val="2"/>
          </rPr>
          <t>COPEL: ATERRAMENTOS E SECCIONAMENTGOS
Consiste na cravação da haste de aço-cobre no solo, solda exotérmica necessária,
Medição da resistência do aterramento e fechamento da cava. Nesta atividade paga-se também o 
aterramento da entrada de serviço de consumidor, inclusive a conexão na carcaça.</t>
        </r>
      </text>
    </comment>
    <comment ref="D886" authorId="0" shapeId="0" xr:uid="{00000000-0006-0000-0300-0000D3000000}">
      <text>
        <r>
          <rPr>
            <b/>
            <sz val="8"/>
            <color indexed="81"/>
            <rFont val="Segoe UI"/>
            <family val="2"/>
          </rPr>
          <t>COPEL: ATERRAMENTOS E SECCIONAMENTGOS
Compreende a cravação da haste de aço-cobre, execução da solda, medição da
resistência de aterramento e fechamento da cava.</t>
        </r>
      </text>
    </comment>
    <comment ref="D887" authorId="0" shapeId="0" xr:uid="{00000000-0006-0000-0300-0000D4000000}">
      <text>
        <r>
          <rPr>
            <b/>
            <sz val="8"/>
            <color indexed="81"/>
            <rFont val="Segoe UI"/>
            <family val="2"/>
          </rPr>
          <t>COPEL: ATERRAMENTOS E SECCIONAMENTGOS
Consiste na cravação da haste zincada no solo, a interligação dos fios da cerca, através de
arame, sua fixação no mourão com grampos U para madeira e a conexão na haste de aterramento cravada.</t>
        </r>
      </text>
    </comment>
    <comment ref="D888" authorId="0" shapeId="0" xr:uid="{00000000-0006-0000-0300-0000D5000000}">
      <text>
        <r>
          <rPr>
            <b/>
            <sz val="8"/>
            <color indexed="81"/>
            <rFont val="Segoe UI"/>
            <family val="2"/>
          </rPr>
          <t>COPEL: ATERRAMENTOS E SECCIONAMENTGOS
Compreende a abertura de valeta de 0,60 metro de profundidade mínima, exceto em
rocha, incluindo o lançamento do fio de aço-cobre e fechamento da valeta.</t>
        </r>
      </text>
    </comment>
    <comment ref="D889" authorId="0" shapeId="0" xr:uid="{00000000-0006-0000-0300-0000D6000000}">
      <text>
        <r>
          <rPr>
            <b/>
            <sz val="8"/>
            <color indexed="81"/>
            <rFont val="Segoe UI"/>
            <family val="2"/>
          </rPr>
          <t>COPEL: ATERRAMENTOS E SECCIONAMENTGOS
Consiste na aplicação do produto químico para tratamento do solo, afim de reduzir o valor
da sua resistividade. Estão incluídos os serviços de preparação da cava, utilização de água
até encharcar o solo em torno da haste, aplicação de produto na cava com a mistura de
terra até formação da pasta e a compactação do solo.
Inclui o transporte de todo o material necessário.</t>
        </r>
      </text>
    </comment>
    <comment ref="D890" authorId="0" shapeId="0" xr:uid="{00000000-0006-0000-0300-0000D7000000}">
      <text>
        <r>
          <rPr>
            <b/>
            <sz val="8"/>
            <color indexed="81"/>
            <rFont val="Segoe UI"/>
            <family val="2"/>
          </rPr>
          <t>COPEL: ATERRAMENTOS E SECCIONAMENTGOS
Compreende a preparação do equipamento, a análise de riscos, o teste de ausência de
tensão, a instalação do trado no solo, a instalação da sela no poste, e as conexões do
aterramento à rede elétrica. Consiste ainda a retirada e acondicionamento do
equipamento. Este item deve ser pago por estrutura onde houver instalação do
aterramento, independente da quantidade de eletricistas que escalar a estrutura</t>
        </r>
      </text>
    </comment>
    <comment ref="D891" authorId="0" shapeId="0" xr:uid="{00000000-0006-0000-0300-0000D8000000}">
      <text>
        <r>
          <rPr>
            <b/>
            <sz val="8"/>
            <color indexed="81"/>
            <rFont val="Segoe UI"/>
            <family val="2"/>
          </rPr>
          <t>COPEL: ATERRAMENTOS E SECCIONAMENTGOS
Compreende a aplicação do seccionador preformado para aterramento de cerca, em
qualquer tipo de fio e o acabamento de modo a interrompê-lo fisicamente.</t>
        </r>
      </text>
    </comment>
    <comment ref="D893" authorId="0" shapeId="0" xr:uid="{00000000-0006-0000-0300-0000D9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base para relé de iluminação pública de comando em grupo
ou individual e as conexões necessárias, exceto ligação à rede.</t>
        </r>
      </text>
    </comment>
    <comment ref="D895" authorId="0" shapeId="0" xr:uid="{00000000-0006-0000-0300-0000DA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braço de iluminação pública de até 2 metros de comprimento,
com luminária aberta ou fechada com lâmpada mista, incandescente, vapor de mercúrio
(VMC) ou vapor de sódio (VSA), incluindo a aplicação do fio no braço e as conexões
necessárias, exceto ligação à rede.</t>
        </r>
      </text>
    </comment>
    <comment ref="D897" authorId="0" shapeId="0" xr:uid="{00000000-0006-0000-0300-0000DB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braço para iluminação pública acima de 2 metros de
comprimento, com luminária aberta ou fechada com lâmpada mista, incandescente, vapor
de mercúrio (VMC) ou vapor de sódio (VSA), incluindo a aplicação do fio no braço e as
conexões necessárias, exceto ligação à rede.</t>
        </r>
      </text>
    </comment>
    <comment ref="D899" authorId="0" shapeId="0" xr:uid="{00000000-0006-0000-0300-0000DC000000}">
      <text>
        <r>
          <rPr>
            <b/>
            <sz val="8"/>
            <color indexed="81"/>
            <rFont val="Segoe UI"/>
            <family val="2"/>
          </rPr>
          <t>COPEL: COPEL: ILUMINAÇÃO PÚBLICA
Consiste no deslocamento da luminária montada, independente do tipo, para respeitar a
cota de afastamento ou possibilitar um melhor padrão de iluminação da área, exceto
ligação à rede.</t>
        </r>
      </text>
    </comment>
    <comment ref="D900" authorId="0" shapeId="0" xr:uid="{00000000-0006-0000-0300-0000DD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luminária e lâmpada, em braço já instalado de iluminação
pública, independente do tipo de luminária, incluindo as conexões necessárias, exceto
ligação à rede.</t>
        </r>
      </text>
    </comment>
    <comment ref="D902" authorId="0" shapeId="0" xr:uid="{00000000-0006-0000-0300-0000DE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da luminária tipo pétala, para iluminação pública, incluindo as
conexões necessárias, inclusive montagem de andaime quando necessário.</t>
        </r>
      </text>
    </comment>
    <comment ref="D904" authorId="0" shapeId="0" xr:uid="{00000000-0006-0000-0300-0000DF000000}">
      <text>
        <r>
          <rPr>
            <b/>
            <sz val="8"/>
            <color indexed="81"/>
            <rFont val="Segoe UI"/>
            <family val="2"/>
          </rPr>
          <t>COPEL: ILUMINAÇÃO PÚBLICA
Compreende a locação, abertura da cava, levantamento de poste ornamental de aço
escalonado tipo chicote, simples ou duplo, instalação de luminária e as conexões
necessárias, inclusive a pintura do poste, quando necessária.</t>
        </r>
      </text>
    </comment>
    <comment ref="D906" authorId="0" shapeId="0" xr:uid="{00000000-0006-0000-0300-0000E0000000}">
      <text>
        <r>
          <rPr>
            <b/>
            <sz val="8"/>
            <color indexed="81"/>
            <rFont val="Segoe UI"/>
            <family val="2"/>
          </rPr>
          <t>COPEL: ILUMINAÇÃO PÚBLICA
Compreende a locação, abertura da cava, levantamento de poste ornamental com
luminária decorativa e as conexões necessárias, inclui a pintura de poste quando
necessária.</t>
        </r>
      </text>
    </comment>
    <comment ref="D908" authorId="0" shapeId="0" xr:uid="{00000000-0006-0000-0300-0000E1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do reator de iluminação pública, para lâmpada de qualquer tipo,
inclusive as conexões necessárias, exceto ligação à rede.</t>
        </r>
      </text>
    </comment>
    <comment ref="D910" authorId="0" shapeId="0" xr:uid="{00000000-0006-0000-0300-0000E2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do refletor com lâmpada, incluindo a regulagem e conexões
necessárias, exceto ligação à rede.</t>
        </r>
      </text>
    </comment>
    <comment ref="D912" authorId="0" shapeId="0" xr:uid="{00000000-0006-0000-0300-0000E3000000}">
      <text>
        <r>
          <rPr>
            <b/>
            <sz val="8"/>
            <color indexed="81"/>
            <rFont val="Segoe UI"/>
            <family val="2"/>
          </rPr>
          <t>COPEL: ILUMINAÇÃO PÚBLICA
Consiste na retirada do conjunto braço e luminária montados e sua reinstalação no mesmo
poste ou outro poste da mesma obra, incluindo a conexão necessárias, exceto ligação à
rede.</t>
        </r>
      </text>
    </comment>
    <comment ref="D913" authorId="0" shapeId="0" xr:uid="{00000000-0006-0000-0300-0000E4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relé fotoelétrico de iluminação pública.</t>
        </r>
      </text>
    </comment>
    <comment ref="D915" authorId="0" shapeId="0" xr:uid="{00000000-0006-0000-0300-0000E5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relé fotoelétrico de iluminação pública.</t>
        </r>
      </text>
    </comment>
    <comment ref="D916" authorId="0" shapeId="0" xr:uid="{00000000-0006-0000-0300-0000E6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caixa padrão COPEL, tipo A ou B, para circuito de iluminação
pública, incluindo a fixação do eletroduto no poste, a fiação imbutida, e as conexões
necessárias, exceto ligação à rede.</t>
        </r>
      </text>
    </comment>
    <comment ref="I2612" authorId="0" shapeId="0" xr:uid="{00000000-0006-0000-0300-00002F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3" authorId="0" shapeId="0" xr:uid="{00000000-0006-0000-0300-000030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4" authorId="0" shapeId="0" xr:uid="{00000000-0006-0000-0300-000031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5" authorId="0" shapeId="0" xr:uid="{00000000-0006-0000-0300-000032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6" authorId="0" shapeId="0" xr:uid="{00000000-0006-0000-0300-000033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7" authorId="0" shapeId="0" xr:uid="{00000000-0006-0000-0300-000034010000}">
      <text>
        <r>
          <rPr>
            <b/>
            <sz val="8"/>
            <color indexed="81"/>
            <rFont val="Segoe UI"/>
            <family val="2"/>
          </rPr>
          <t>Mínimo um ensaio
Cada 800m2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8" authorId="0" shapeId="0" xr:uid="{00000000-0006-0000-0300-000035010000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9" authorId="0" shapeId="0" xr:uid="{00000000-0006-0000-0300-000036010000}">
      <text>
        <r>
          <rPr>
            <b/>
            <sz val="8"/>
            <color indexed="81"/>
            <rFont val="Segoe UI"/>
            <family val="2"/>
          </rPr>
          <t>Mínimo um ensaio
Cada 700m2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0" authorId="0" shapeId="0" xr:uid="{00000000-0006-0000-0300-000037010000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1" authorId="0" shapeId="0" xr:uid="{E11610BB-B29F-4F34-B7B3-99CE1E11AC35}">
      <text>
        <r>
          <rPr>
            <b/>
            <sz val="8"/>
            <color indexed="81"/>
            <rFont val="Segoe UI"/>
            <family val="2"/>
          </rPr>
          <t>Mínimo um ensaio
Cada 700m2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2" authorId="0" shapeId="0" xr:uid="{84C1B8DC-3C13-4C9E-A1A4-EE72B98B2ADC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7" authorId="0" shapeId="0" xr:uid="{28C7DA1F-4573-4617-BDE6-3BD84D29B09E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<sst xmlns="http://schemas.openxmlformats.org/spreadsheetml/2006/main" count="10441" uniqueCount="2272">
  <si>
    <t>:</t>
  </si>
  <si>
    <t>SUBPROJETO</t>
  </si>
  <si>
    <t>PROTOCOLO</t>
  </si>
  <si>
    <t xml:space="preserve">ARQ Nº </t>
  </si>
  <si>
    <t>LOCAL</t>
  </si>
  <si>
    <t>DMT</t>
  </si>
  <si>
    <t>CONSUMO</t>
  </si>
  <si>
    <t>CUSTOS UNITÁRIOS - ( R$ )</t>
  </si>
  <si>
    <t>PROJETO ORIGINAL</t>
  </si>
  <si>
    <t>TRANSP</t>
  </si>
  <si>
    <t>EXEC.</t>
  </si>
  <si>
    <t>S/BDI</t>
  </si>
  <si>
    <t>C/BDI</t>
  </si>
  <si>
    <t>QUANT</t>
  </si>
  <si>
    <t>UNIT</t>
  </si>
  <si>
    <t>( R$ ) - PM</t>
  </si>
  <si>
    <t>m3</t>
  </si>
  <si>
    <t xml:space="preserve"> </t>
  </si>
  <si>
    <t>m2</t>
  </si>
  <si>
    <t>m</t>
  </si>
  <si>
    <t>ton</t>
  </si>
  <si>
    <t>un</t>
  </si>
  <si>
    <t>TOTAL GERAL</t>
  </si>
  <si>
    <t>kg</t>
  </si>
  <si>
    <t>BLSA120</t>
  </si>
  <si>
    <t>BLSA150</t>
  </si>
  <si>
    <t>BLSA200</t>
  </si>
  <si>
    <t>BLSA250</t>
  </si>
  <si>
    <t>BLSC120</t>
  </si>
  <si>
    <t>BLSC150</t>
  </si>
  <si>
    <t>BLSC200</t>
  </si>
  <si>
    <t>BLSC250</t>
  </si>
  <si>
    <t>BLDA120</t>
  </si>
  <si>
    <t>BLDA150</t>
  </si>
  <si>
    <t>BLDC120</t>
  </si>
  <si>
    <t>BLDC150</t>
  </si>
  <si>
    <t>CLA060</t>
  </si>
  <si>
    <t>CLA080</t>
  </si>
  <si>
    <t>CLA100</t>
  </si>
  <si>
    <t>CLA120</t>
  </si>
  <si>
    <t>CLC060</t>
  </si>
  <si>
    <t>CLC080</t>
  </si>
  <si>
    <t>CLC100</t>
  </si>
  <si>
    <t>CLC120</t>
  </si>
  <si>
    <t>CLC150</t>
  </si>
  <si>
    <t>CLC200</t>
  </si>
  <si>
    <t>PVAH150</t>
  </si>
  <si>
    <t>PVCH150</t>
  </si>
  <si>
    <t>PVCH200</t>
  </si>
  <si>
    <t>PVCH250</t>
  </si>
  <si>
    <t>VIGA080</t>
  </si>
  <si>
    <t>VIGA100</t>
  </si>
  <si>
    <t>VIGA120</t>
  </si>
  <si>
    <t>DISSIPM</t>
  </si>
  <si>
    <t>serviço</t>
  </si>
  <si>
    <t>TIJOLO</t>
  </si>
  <si>
    <t>cimen</t>
  </si>
  <si>
    <t>areia</t>
  </si>
  <si>
    <t>brita</t>
  </si>
  <si>
    <t>custo
exec</t>
  </si>
  <si>
    <t>CAL</t>
  </si>
  <si>
    <t>forma
   m2</t>
  </si>
  <si>
    <t>TIJOLO
M3</t>
  </si>
  <si>
    <t>concr
magr</t>
  </si>
  <si>
    <t>Concr
11mpa</t>
  </si>
  <si>
    <t>Concr
15mpa</t>
  </si>
  <si>
    <t>argamas
M2</t>
  </si>
  <si>
    <t>aço
ca 60</t>
  </si>
  <si>
    <t>grelha</t>
  </si>
  <si>
    <t>B.L. Símples alvenaria H até 1,20 m</t>
  </si>
  <si>
    <t>B.L. Símples alvenaria H até 1,50 m</t>
  </si>
  <si>
    <t>B.L. Símples alvenaria H até 2,00 m</t>
  </si>
  <si>
    <t>B.L. Símples alvenaria H até 2,50 m</t>
  </si>
  <si>
    <t>C.L. Alvenaria Tubo até 0,80</t>
  </si>
  <si>
    <t>C.L. Alvenaria Tubo até 1,00</t>
  </si>
  <si>
    <t>C.L. Alvenaria Tubo até 1,20</t>
  </si>
  <si>
    <t>K</t>
  </si>
  <si>
    <t>M</t>
  </si>
  <si>
    <t>N</t>
  </si>
  <si>
    <t>O</t>
  </si>
  <si>
    <t>P</t>
  </si>
  <si>
    <t>Q</t>
  </si>
  <si>
    <t>R</t>
  </si>
  <si>
    <t>S</t>
  </si>
  <si>
    <t>0,0025</t>
  </si>
  <si>
    <t>0,0001</t>
  </si>
  <si>
    <t>0,0024</t>
  </si>
  <si>
    <t>0,0038</t>
  </si>
  <si>
    <t>0,0002</t>
  </si>
  <si>
    <t>0,0062</t>
  </si>
  <si>
    <t>0,0043</t>
  </si>
  <si>
    <t>0,0119</t>
  </si>
  <si>
    <t>0,0004</t>
  </si>
  <si>
    <t>0,0082</t>
  </si>
  <si>
    <t>0,6231</t>
  </si>
  <si>
    <t>2,2155</t>
  </si>
  <si>
    <t>C.L. Alvenaria Tubo até 0,40</t>
  </si>
  <si>
    <t>C.L. Alvenaria Tubo até 0,60</t>
  </si>
  <si>
    <t>B.L. Dupla Alvenaria H até 1,20 m</t>
  </si>
  <si>
    <t>B.L. Dupla Alvenaria H até 1,50 m</t>
  </si>
  <si>
    <t>B.L. Dupla Alvenaria H até 2,00 m</t>
  </si>
  <si>
    <t>B.L. Dupla Alvenaria H até 2,50 m</t>
  </si>
  <si>
    <t>B.L. Símples concreto armado H até 1,50 m</t>
  </si>
  <si>
    <t>B.L. Símples concreto armado H até 2,00 m</t>
  </si>
  <si>
    <t>B.L. Símples concreto armado H até 2,50 m</t>
  </si>
  <si>
    <t>B.L. Símples concreto armado H até 1,20 m</t>
  </si>
  <si>
    <t>B.L. Dupla Concreto armado H até 1,50 m</t>
  </si>
  <si>
    <t>B.L. Dupla Concreto armado H até 2,00 m</t>
  </si>
  <si>
    <t>B.L. Dupla Concreto armado H até 2,50 m</t>
  </si>
  <si>
    <t>B.L. Dupla Concreto armado H até 1,20 m</t>
  </si>
  <si>
    <t>BLSM120</t>
  </si>
  <si>
    <t>BLSM150</t>
  </si>
  <si>
    <t>BLSM200</t>
  </si>
  <si>
    <t>BLSM250</t>
  </si>
  <si>
    <t>BLDA200</t>
  </si>
  <si>
    <t>BLDA250</t>
  </si>
  <si>
    <t>BLDM120</t>
  </si>
  <si>
    <t>BLDM150</t>
  </si>
  <si>
    <t>BLDM200</t>
  </si>
  <si>
    <t>BLDM250</t>
  </si>
  <si>
    <t>BLDC200</t>
  </si>
  <si>
    <t>BLDC250</t>
  </si>
  <si>
    <t>CLA040</t>
  </si>
  <si>
    <t>CLM040</t>
  </si>
  <si>
    <t>CLM060</t>
  </si>
  <si>
    <t>CLM080</t>
  </si>
  <si>
    <t>CLM100</t>
  </si>
  <si>
    <t>CLM120</t>
  </si>
  <si>
    <t>CLC040</t>
  </si>
  <si>
    <t>PVAH180</t>
  </si>
  <si>
    <t>PVAH80</t>
  </si>
  <si>
    <t>PVAH100</t>
  </si>
  <si>
    <t>PVAH130</t>
  </si>
  <si>
    <t>PVMH80</t>
  </si>
  <si>
    <t>PVMH100</t>
  </si>
  <si>
    <t>PVMH130</t>
  </si>
  <si>
    <t>PVMH150</t>
  </si>
  <si>
    <t>PVMH180</t>
  </si>
  <si>
    <t>PVCH80</t>
  </si>
  <si>
    <t>PVCH100</t>
  </si>
  <si>
    <t>PVCH130</t>
  </si>
  <si>
    <t>PVCH180</t>
  </si>
  <si>
    <t>P.V. Alvenaria H até 0,80 m Tubo até 0,40 + chaminé 1,00 m</t>
  </si>
  <si>
    <t>P.V. Alvenaria H até 1,00 m Tubo até 0,60 + chaminé 1,00 m</t>
  </si>
  <si>
    <t>P.V. Alvenaria H até 1,30 m Tubo até 0,80 + chaminé 1,00 m</t>
  </si>
  <si>
    <t>P.V. Alvenaria H até 1,50 m Tubo até 1,00 + chaminé 1,00 m</t>
  </si>
  <si>
    <t>P.V. Alvenaria H até 1,80 m Tubo até 1,20 + chaminé 1,00 m</t>
  </si>
  <si>
    <t>P.V. Pré-moldado H até 0,80 m Tubo até 0,40 + chaminé 1,00 m</t>
  </si>
  <si>
    <t>P.V. Pré-moldado H até 1,00 m Tubo até 0,60 + chaminé 1,00 m</t>
  </si>
  <si>
    <t>P.V. Pré-moldado H até 1,30 m Tubo até 0,80 + chaminé 1,00 m</t>
  </si>
  <si>
    <t>P.V. Pré-moldado H até 1,50 m Tubo até 1,00 + chaminé 1,00 m</t>
  </si>
  <si>
    <t>P.V. Pré-moldado H até 1,80 m Tubo até 1,20 + chaminé 1,00 m</t>
  </si>
  <si>
    <t>P.V. Concreto armado H até 0,80 m Tubo até 0,40 + chaminé 1,00 m</t>
  </si>
  <si>
    <t>P.V. Concreto armado H até 1,00 m Tubo até 0,60 + chaminé 1,00 m</t>
  </si>
  <si>
    <t>P.V. Concreto armado H até 1,30 m Tubo até 0,80 + chaminé 1,00 m</t>
  </si>
  <si>
    <t>P.V. Concreto armado H até 1,50 m Tubo até 1,00 + chaminé 1,00 m</t>
  </si>
  <si>
    <t>P.V. Concreto armado H até 1,80 m Tubo até 1,20 + chaminé 1,00 m</t>
  </si>
  <si>
    <t>P.V. Concreto armado H até 2,00 m Tubo até 1,50 + chaminé 1,00 m</t>
  </si>
  <si>
    <t>P.V. Concreto armado H até 2,50 m Tubo até 2,00 + chaminé 1,00 m</t>
  </si>
  <si>
    <t>ENSAIOS (%)</t>
  </si>
  <si>
    <t>Dissipador de Energia c/Pedra de Mão tubo ø 1,00</t>
  </si>
  <si>
    <t>Dissipador de Energia c/Pedra de Mão tubo ø 1,20</t>
  </si>
  <si>
    <t>Dissipador de Energia c/Pedra de Mão tubo ø 1,50</t>
  </si>
  <si>
    <t>Pedra Argamassada m3</t>
  </si>
  <si>
    <t>CICLÓP 11
mpa m3</t>
  </si>
  <si>
    <t>transporte</t>
  </si>
  <si>
    <t>534908A</t>
  </si>
  <si>
    <t>534908B</t>
  </si>
  <si>
    <t>534908C</t>
  </si>
  <si>
    <t>534906C</t>
  </si>
  <si>
    <t>ORÇAMENTO COMPARATIVO DE PAVIMENTAÇÃO PELA TABELA</t>
  </si>
  <si>
    <t>x</t>
  </si>
  <si>
    <t>ESCRITÓRIO REGIONAL</t>
  </si>
  <si>
    <t>DESCRIÇÃO DOS SERVIÇOS</t>
  </si>
  <si>
    <t>km</t>
  </si>
  <si>
    <t>( ton )</t>
  </si>
  <si>
    <t>UD</t>
  </si>
  <si>
    <t>PLANILHA DE SERVIÇOS   -   PAVIMENTAÇÃO</t>
  </si>
  <si>
    <t>Paranacidade
( R$ )</t>
  </si>
  <si>
    <t>ORÇAMENTO APROVADO</t>
  </si>
  <si>
    <t>( R$ ) - PM
TOTAIS</t>
  </si>
  <si>
    <t>Município:</t>
  </si>
  <si>
    <t xml:space="preserve">SAM  </t>
  </si>
  <si>
    <t>Projeto :</t>
  </si>
  <si>
    <t xml:space="preserve">LOTE nº </t>
  </si>
  <si>
    <t>LOTE</t>
  </si>
  <si>
    <t>SERVIÇOS EXTRAS - TERRAPLENAGEM</t>
  </si>
  <si>
    <t/>
  </si>
  <si>
    <t>5</t>
  </si>
  <si>
    <t>2</t>
  </si>
  <si>
    <t>Regularização compac.subleito S.A.F. 100% PI</t>
  </si>
  <si>
    <t>Desmatamento e limpeza diam. até 30cm</t>
  </si>
  <si>
    <t>Destocamento árvores diam. &gt; 30cm</t>
  </si>
  <si>
    <t>Remoção de Solos Moles - 2 km</t>
  </si>
  <si>
    <t>Remoção da Camada Superficial</t>
  </si>
  <si>
    <t>Escavação em 1ª Categoria</t>
  </si>
  <si>
    <t>Escavação em 2ª Categoria</t>
  </si>
  <si>
    <t>Escavação em 3ª Categoria</t>
  </si>
  <si>
    <t>Escavação, Carga e Transp. de jazida 1ª Cat.</t>
  </si>
  <si>
    <t>Escavação, Carga e Transp. de jazida 2ª Cat.</t>
  </si>
  <si>
    <t>Compactação de Aterros - Controle Visual</t>
  </si>
  <si>
    <t>Compactação de Aterros 95% P.N.</t>
  </si>
  <si>
    <t>Compactação de Aterros 100% P.N.</t>
  </si>
  <si>
    <t>Colchão Drenante Areia Fund. Aterros</t>
  </si>
  <si>
    <t>Demolição de Concreto Símples</t>
  </si>
  <si>
    <t>Demolição de Concreto Armado</t>
  </si>
  <si>
    <t>Demolição Manual de Pavimento e Transporte</t>
  </si>
  <si>
    <t>Regularização do Subleito sem Compactação</t>
  </si>
  <si>
    <t>Regularização compac.subleito 100% PN</t>
  </si>
  <si>
    <t>Camada de bloqueio c/ pedra o &lt; 3/4"</t>
  </si>
  <si>
    <t>Regularização e Compactação p/ assentamento de calçadas/lajotas/blocos</t>
  </si>
  <si>
    <t>SEIL</t>
  </si>
  <si>
    <t>DER</t>
  </si>
  <si>
    <t>3</t>
  </si>
  <si>
    <t>Solo estabilizado 2ª categoria</t>
  </si>
  <si>
    <t>Revestimento Primário</t>
  </si>
  <si>
    <t>Cascalhamento</t>
  </si>
  <si>
    <t>Solo Arenoso Fino (base) 100% PI</t>
  </si>
  <si>
    <t>Cimento</t>
  </si>
  <si>
    <t>Solo (Solo Cimento )</t>
  </si>
  <si>
    <t>Massa (Solo Cimento )</t>
  </si>
  <si>
    <t>Bica Corrida</t>
  </si>
  <si>
    <t>Brita Graduada</t>
  </si>
  <si>
    <t>Macadame Seco c/ Bica Corrida</t>
  </si>
  <si>
    <t>Rachão</t>
  </si>
  <si>
    <t>Bica corrida</t>
  </si>
  <si>
    <t>Macadame Seco c/ Brita Graduada</t>
  </si>
  <si>
    <t>Macadame Hidráulico</t>
  </si>
  <si>
    <t>Brita graduada tratada c/cimento (Cp=4%) 100% PI</t>
  </si>
  <si>
    <t>Pedra britada (Usina de solos)</t>
  </si>
  <si>
    <t>Massa (Brita Graduada )</t>
  </si>
  <si>
    <t>4</t>
  </si>
  <si>
    <t>SERVIÇOS EXTRAS - REVESTIMENTO</t>
  </si>
  <si>
    <t>6</t>
  </si>
  <si>
    <t>Rachão s/ britagem</t>
  </si>
  <si>
    <t>534906D</t>
  </si>
  <si>
    <t>534906E</t>
  </si>
  <si>
    <t>534906F</t>
  </si>
  <si>
    <t>534908D</t>
  </si>
  <si>
    <t>534908E</t>
  </si>
  <si>
    <t>534908F</t>
  </si>
  <si>
    <t>DER mat</t>
  </si>
  <si>
    <t>SERVIÇOS EXTRAS - MEIO-FIO E SARJETA</t>
  </si>
  <si>
    <t>SERVIÇOS EXTRAS - URBANISMO DO PASSEIO</t>
  </si>
  <si>
    <t>605000B</t>
  </si>
  <si>
    <t>Bica Corrida - Passeio</t>
  </si>
  <si>
    <t>Limpeza e Lavagem da pista ( Recape )</t>
  </si>
  <si>
    <t>Pedra Irregular - sem colchão</t>
  </si>
  <si>
    <t>Cordão Lateral p/ Pedras Irregulares</t>
  </si>
  <si>
    <t>Retirada e Reassentamento de Pedras Irregulares</t>
  </si>
  <si>
    <t>Paralelepípedos Regulares</t>
  </si>
  <si>
    <t>Lajotas de Concreto e=4cm - sem colchão</t>
  </si>
  <si>
    <t>Lajotas de Concreto e=5cm - sem colchão</t>
  </si>
  <si>
    <t>Lajotas de Concreto e=6cm - sem colchão</t>
  </si>
  <si>
    <t>Lajotas de Concreto e=7cm - sem colchão</t>
  </si>
  <si>
    <t>Lajotas de Concreto e=8cm - sem colchão</t>
  </si>
  <si>
    <t>Lajotas de Concreto e=10cm - sem colchão</t>
  </si>
  <si>
    <t>Areia</t>
  </si>
  <si>
    <t>Cal Hidratada CH-1</t>
  </si>
  <si>
    <t>Pó de Pedra</t>
  </si>
  <si>
    <t>Trat.Sup. Símples c/ Emulsão ( Curitiba )</t>
  </si>
  <si>
    <t>Brita</t>
  </si>
  <si>
    <t>TSD com Capa Selante - Tipo I-1</t>
  </si>
  <si>
    <t>TSD com Capa Selante Tipo - I-2</t>
  </si>
  <si>
    <t>TSD com Capa Selante - Tipo I-3</t>
  </si>
  <si>
    <t>Trat.Sup.Tríplo ( TST ) Tipo I-4</t>
  </si>
  <si>
    <t>Trat.Sup.Tríplo ( TST ) Tipo I-5</t>
  </si>
  <si>
    <t>Trat.Sup.Tríplo ( TST ) Tipo I-6</t>
  </si>
  <si>
    <t>Macadame Betuminoso c/ Emulsão RR-2C</t>
  </si>
  <si>
    <t>Macadame Betuminoso c/ CAP</t>
  </si>
  <si>
    <t>Capa Selante</t>
  </si>
  <si>
    <t>Brita ( usina )</t>
  </si>
  <si>
    <t>Massa</t>
  </si>
  <si>
    <t>CBUQ c/ asfalto modificado p/ polímero SBS(60/85)</t>
  </si>
  <si>
    <t>CBUQ c/ asfalto com BORRACHA</t>
  </si>
  <si>
    <t>Frezagem Contínua a Frio</t>
  </si>
  <si>
    <t>Frezagem Descontínua a Frio</t>
  </si>
  <si>
    <t>Meio-Fio com Sarjeta DER - Tipo 1 - (0,103 m3) - Moldado "in loco"</t>
  </si>
  <si>
    <t>Meio-Fio com Sarjeta DER - Tipo 1 - (0,103 m3) - Pré-Moldado</t>
  </si>
  <si>
    <t>Meio-Fio com Sarjeta DER - Tipo 2 - (0,042 m3) - Moldado "in loco"</t>
  </si>
  <si>
    <t>Meio-Fio com Sarjeta DER - Tipo 2 - (0,042 m3) - Pré-Moldado</t>
  </si>
  <si>
    <t>Meio-Fio c/Sarjeta (rebaixado) DER-Tipo 7-(0,031 m3) - Moldado "in loco"</t>
  </si>
  <si>
    <t>Meio-Fio com Sarjeta DER - Tipo 7 - (0,031 m3) - Pré-Moldado</t>
  </si>
  <si>
    <t>Meio-Fio Símples DER - Tipo 3 - (0,034 m3) - Moldado "in loco"</t>
  </si>
  <si>
    <t>Meio-Fio com Sarjeta DER - Tipo 3 - (0,034 m3) - Pré-Moldado</t>
  </si>
  <si>
    <t>Meio-Fio Símples DER - Tipo 4 - (0,072 m3) - Moldado "in loco"</t>
  </si>
  <si>
    <t>Meio-Fio com Sarjeta DER - Tipo 4 - (0,072 m3) - Pré-Moldado</t>
  </si>
  <si>
    <t>Demolição de Concreto Símples (calçadas e outros)</t>
  </si>
  <si>
    <t>Lastro de Concreto Simples (calçadas e outros)</t>
  </si>
  <si>
    <t>Apiloamento Manual (calçadas e outros)</t>
  </si>
  <si>
    <t>Formas de madeira compensada resinada</t>
  </si>
  <si>
    <t>Aço CA-50 Dobr. e Colocação</t>
  </si>
  <si>
    <t>Aço CA-60 Dobr. e Colocação</t>
  </si>
  <si>
    <t>Calçada Concreto ( e = 5,00 cm )</t>
  </si>
  <si>
    <t>Remoção e recolocação de cercas de arame</t>
  </si>
  <si>
    <t>Construção de Cerca 4 fios c/ mourões de concreto</t>
  </si>
  <si>
    <t>Construção de Cerca 4 fios c/ mourões de madeira</t>
  </si>
  <si>
    <t>Defensa simples semi-maleável c/ espaçador e calço</t>
  </si>
  <si>
    <t>Regularização e Compactação SAF- 100% PI - Passeio com Pavimento</t>
  </si>
  <si>
    <t>Regularização e Compactação 100% PN - Passeio com Pavimento</t>
  </si>
  <si>
    <t>Aterro c/ mat. do canteiro (escav 1ª CAT+transp+compact) - Passeio</t>
  </si>
  <si>
    <t>Aterro c/ mat. de jazida (escav 1ª CAT+transp+compact) - Passeio</t>
  </si>
  <si>
    <t>Solo estabilizado 2ª categoria - Passeio</t>
  </si>
  <si>
    <t>Brita Graduada - Passeio</t>
  </si>
  <si>
    <t>Pedra Irregular - sem colchão - Passeio</t>
  </si>
  <si>
    <t>Cordão Lateral p/ Pedras Irregulares - Passeio</t>
  </si>
  <si>
    <t>Retirada de Pedras Irregulares - Passeio</t>
  </si>
  <si>
    <t>Retirada e Reassentamento de Pedras Irregulares - Passeio</t>
  </si>
  <si>
    <t>Limpeza e pintura de abrigo de ônibus</t>
  </si>
  <si>
    <t>Abrigo em parada de ônibus</t>
  </si>
  <si>
    <t>FAIXA ELEVADA PNE c/ Piso Tátil (NBR 9050) - Modelo 01 - ORÇAR</t>
  </si>
  <si>
    <t>Rampa para PNE com Piso Tátil (NBR 9050) - Modelo 02 - 5,94 m2</t>
  </si>
  <si>
    <t>Rampa para PNE com Piso Tátil (NBR 9050) - Modelo 03 - 5,94 m2</t>
  </si>
  <si>
    <t>Rampa para PNE com Piso Tátil (NBR 9050) - Modelo 04 - 5,94 m2</t>
  </si>
  <si>
    <t>Rampa para PNE com Piso Tátil (NBR 9050) - Modelo 05 - 7,80 m2</t>
  </si>
  <si>
    <t>Rampa para PNE com Piso Tátil (NBR 9050) - Modelo 06 - 7,65 m2</t>
  </si>
  <si>
    <t>Placa sinalização refletiva - SEM SUPORTE</t>
  </si>
  <si>
    <t>Suporte de madeira 3"x3" p/ placa sinalização</t>
  </si>
  <si>
    <t>Suporte metál.galv.fogo d=2,5" c/tampa e aletas anti-giro h=3,00m</t>
  </si>
  <si>
    <t>Placa sinalização refletiva-círculo (0,1964 m2/ud) + suporte MADEIRA</t>
  </si>
  <si>
    <t>Placa sinalização refletiva-triângulo (0,1219 m2/ud) + suporte MADEIRA</t>
  </si>
  <si>
    <t>Placa sinalização refletiva-octógono (0,2160 m2/ud) + suporte MADEIRA</t>
  </si>
  <si>
    <t>Placa sinalização refletiva-losango (0,2025 m2/ud) + suporte MADEIRA</t>
  </si>
  <si>
    <t>Placa sinalização refletiva-círculo (0,1964 m2/ud) + suporte METÁLICO</t>
  </si>
  <si>
    <t>Placa sinalização refletiva-triângulo (0,1219 m2/ud) + suporte METÁLICO</t>
  </si>
  <si>
    <t>Placa sinalização refletiva-octógono (0,2160 m2/ud) + suporte METÁLICO</t>
  </si>
  <si>
    <t>Placa sinalização refletiva-losango (0,2025 m2/ud) + suporte METÁLICO</t>
  </si>
  <si>
    <t>ORÇAR</t>
  </si>
  <si>
    <t>605000A</t>
  </si>
  <si>
    <t>605000C</t>
  </si>
  <si>
    <t>605000D</t>
  </si>
  <si>
    <t>605000E</t>
  </si>
  <si>
    <t>820000A</t>
  </si>
  <si>
    <t>820000B</t>
  </si>
  <si>
    <t>820000C</t>
  </si>
  <si>
    <t>820000D</t>
  </si>
  <si>
    <t>820000E</t>
  </si>
  <si>
    <t>820000F</t>
  </si>
  <si>
    <t>820000G</t>
  </si>
  <si>
    <t>820000H</t>
  </si>
  <si>
    <t>8</t>
  </si>
  <si>
    <t>Escavação Manual de Valas</t>
  </si>
  <si>
    <t>Escavação de Bueiros em 1ª Categoria</t>
  </si>
  <si>
    <t>Escavação de Bueiros em 2ª Categoria</t>
  </si>
  <si>
    <t>Escavação de Bueiros em 3ª Categoria</t>
  </si>
  <si>
    <t>Remoção de bueiro 0,30m</t>
  </si>
  <si>
    <t>Remoção de bueiro 0,40m</t>
  </si>
  <si>
    <t>Remoção de bueiro 0,50m</t>
  </si>
  <si>
    <t>Remoção de bueiro 0,60m</t>
  </si>
  <si>
    <t>Remoção de bueiro 0,80m</t>
  </si>
  <si>
    <t>Remoção de bueiro 1,00m</t>
  </si>
  <si>
    <t>Remoção de bueiro 1,20m</t>
  </si>
  <si>
    <t>Remoção de bueiro 1,50m</t>
  </si>
  <si>
    <t>Gabião</t>
  </si>
  <si>
    <t>Apiloamento Manual</t>
  </si>
  <si>
    <t>Reaterro Sem Apiloamento</t>
  </si>
  <si>
    <t>Alvenaria de Pedra de Mão Argamassada</t>
  </si>
  <si>
    <t>Enrocamento pedra de mão arrumada</t>
  </si>
  <si>
    <t>Enrocamento pedra de mão jogada</t>
  </si>
  <si>
    <t>Lastro de Areia</t>
  </si>
  <si>
    <t>Lastro de Brita</t>
  </si>
  <si>
    <t>Alvenaria de Tijolos Maciços</t>
  </si>
  <si>
    <t>Alvenaria de Tijolos 6 Furos</t>
  </si>
  <si>
    <t>Argamassa Cimento e Areia 1:3</t>
  </si>
  <si>
    <t>Argamassa Cimento e Areia 1:4</t>
  </si>
  <si>
    <t>Dreno profundo em solo - tipo 1</t>
  </si>
  <si>
    <t>Tubo</t>
  </si>
  <si>
    <t>Concreto Magro</t>
  </si>
  <si>
    <t>Concreto Ciclópico 11 Mpa (37% de Pedra de Mão)</t>
  </si>
  <si>
    <t>Brita + Pedra de Mão</t>
  </si>
  <si>
    <t>Concreto Símples Fck = 11 Mpa</t>
  </si>
  <si>
    <t>Concreto Estrutural Fck = 15 Mpa</t>
  </si>
  <si>
    <t>Concreto Fck = 18 Mpa</t>
  </si>
  <si>
    <t>Boca (Ala) de BSTC ø 0,40 m</t>
  </si>
  <si>
    <t>Boca (Ala) de BSTC ø 0,60 m</t>
  </si>
  <si>
    <t>Boca (Ala) de BSTC ø 0,80 m</t>
  </si>
  <si>
    <t>Boca (Ala) de BSTC ø 1,00 m</t>
  </si>
  <si>
    <t>Boca (Ala) de BSTC ø 1,20 m</t>
  </si>
  <si>
    <t>Boca (Ala) de BSTC ø 1,50 m</t>
  </si>
  <si>
    <t>Boca (Ala) de BSTC ø 2,00 m</t>
  </si>
  <si>
    <t>Boca (Ala) de BDTC ø 0,60 m</t>
  </si>
  <si>
    <t>Boca (Ala) de BDTC ø 0,80 m</t>
  </si>
  <si>
    <t>Boca (Ala) de BDTC ø 1,00 m</t>
  </si>
  <si>
    <t>Boca (Ala) de BDTC ø 1,20 m</t>
  </si>
  <si>
    <t>Boca (Ala) de BDTC ø 1,50 m</t>
  </si>
  <si>
    <t>Boca (Ala) de BDTC ø 2,00 m</t>
  </si>
  <si>
    <t>Boca (Ala) de BTTC ø 0,60 m</t>
  </si>
  <si>
    <t>Boca (Ala) de BTTC ø 0,80 m</t>
  </si>
  <si>
    <t>Boca (Ala) de BTTC ø 1,00 m</t>
  </si>
  <si>
    <t>Boca (Ala) de BTTC ø 1,20 m</t>
  </si>
  <si>
    <t>Boca (Ala) de BTTC ø 1,50 m</t>
  </si>
  <si>
    <t>Boca (Ala) de BTTC ø 2,00 m</t>
  </si>
  <si>
    <t>Corpo de BSTC ø 0,40 sem Berço e sem Armação</t>
  </si>
  <si>
    <t>Corpo de BSTC ø 0,60 sem Berço e sem Armação</t>
  </si>
  <si>
    <t>Corpo de BSTC ø 0,80 sem Berço e sem Armação</t>
  </si>
  <si>
    <t>Corpo de BSTC ø 0,40 Sem Berço c/ Armação Símples CA-1</t>
  </si>
  <si>
    <t>Corpo de BSTC ø 0,60 Sem Berço c/ Armação Símples CA-1</t>
  </si>
  <si>
    <t>Corpo de BSTC ø 0,80 Sem Berço c/ Armação Símples CA-1</t>
  </si>
  <si>
    <t>Corpo de BSTC ø 1,00 Sem Berço c/ Armação Símples CA-1</t>
  </si>
  <si>
    <t>Corpo de BSTC ø 1,20 Sem Berço c/ Armação Símples CA-1</t>
  </si>
  <si>
    <t>Corpo de BSTC ø 1,50 Sem Berço c/ Armação Símples CA-1</t>
  </si>
  <si>
    <t>Corpo de BSTC ø 1,80 Sem Berço c/ Armação Símples CA-1</t>
  </si>
  <si>
    <t>Corpo de BSTC ø 2,00 Sem Berço c/ Armação Símples CA-1</t>
  </si>
  <si>
    <t>Corpo de BSTC ø 0,40 Sem Berço c/ Armação Dupla CA-2</t>
  </si>
  <si>
    <t>Corpo de BSTC ø 0,60 Sem Berço c/ Armação Dupla CA-2</t>
  </si>
  <si>
    <t>Corpo de BSTC ø 0,80 Sem Berço c/ Armação Dupla CA-2</t>
  </si>
  <si>
    <t>Corpo de BSTC ø 1,00 Sem Berço c/ Armação Dupla CA-2</t>
  </si>
  <si>
    <t>Corpo de BSTC ø 1,20 Sem Berço c/ Armação Dupla CA-2</t>
  </si>
  <si>
    <t>Corpo de BSTC ø 1,50 Sem Berço c/ Armação Dupla CA-2</t>
  </si>
  <si>
    <t>Corpo de BSTC ø 1,80 Sem Berço c/ Armação Dupla CA-2</t>
  </si>
  <si>
    <t>Corpo de BSTC ø 2,00 Sem Berço c/ Armação Dupla CA-2</t>
  </si>
  <si>
    <t>Corpo de BSTC ø 0,40 Com Berço c/ Armação Dupla CA-2</t>
  </si>
  <si>
    <t>Corpo de BSTC ø 0,60 Com Berço c/ Armação Dupla CA-2</t>
  </si>
  <si>
    <t>Corpo de BSTC ø 0,80 Com Berço c/ Armação Dupla CA-2</t>
  </si>
  <si>
    <t>Corpo de BSTC ø 1,00 Com Berço c/ Armação Dupla CA-2</t>
  </si>
  <si>
    <t>Corpo de BSTC ø 1,20 Com Berço c/ Armação Dupla CA-2</t>
  </si>
  <si>
    <t>Corpo de BSTC ø 1,50 Com Berço c/ Armação Dupla CA-2</t>
  </si>
  <si>
    <t>Corpo de BSTC ø 1,80 Com Berço c/ Armação Dupla CA-2</t>
  </si>
  <si>
    <t>Corpo de BSTC ø 2,00 Com Berço c/ Armação Dupla CA-2</t>
  </si>
  <si>
    <t>Tijolo</t>
  </si>
  <si>
    <t>Cal</t>
  </si>
  <si>
    <t>B.L. Símples pré-moldado H até 1,20 m</t>
  </si>
  <si>
    <t>B.L. Símples pré-moldado H até 1,50 m</t>
  </si>
  <si>
    <t>B.L. Símples pré-moldado H até 2,00 m</t>
  </si>
  <si>
    <t>B.L. Símples pré-moldado H até 2,50 m</t>
  </si>
  <si>
    <t>B.L. Dupla Pré-moldado H até 1,20 m</t>
  </si>
  <si>
    <t>B.L. Dupla Pré-moldado H até 1,50 m</t>
  </si>
  <si>
    <t>B.L. Dupla Pré-moldado H até 2,00 m</t>
  </si>
  <si>
    <t>B.L. Dupla Pré-moldado H até 2,50 m</t>
  </si>
  <si>
    <t>C.L. pré-moldado Tubo até 0,40</t>
  </si>
  <si>
    <t>C.L. pré-moldado Tubo até 0,60</t>
  </si>
  <si>
    <t>C.L. pré-moldado Tubo até 0,80</t>
  </si>
  <si>
    <t>C.L. pré-moldado Tubo até 1,00</t>
  </si>
  <si>
    <t>C.L. pré-moldado Tubo até 1,20</t>
  </si>
  <si>
    <t>C.L. concreto armado Tubo até 0,40</t>
  </si>
  <si>
    <t>C.L. concreto armado Tubo até 0,60</t>
  </si>
  <si>
    <t>C.L. concreto armado Tubo até 0,80</t>
  </si>
  <si>
    <t>C.L. concreto armado Tubo até 1,00</t>
  </si>
  <si>
    <t>C.L. concreto armado Tubo até 1,20</t>
  </si>
  <si>
    <t>C.L. concreto armado Tubo até 1,50</t>
  </si>
  <si>
    <t>C.L. concreto armado Tubo até 2,00</t>
  </si>
  <si>
    <t>Viga de Apoio em concreto marmado Tubo 0,80</t>
  </si>
  <si>
    <t>Viga de Apoio em concreto marmado Tubo 1,00</t>
  </si>
  <si>
    <t>Viga de Apoio em concreto marmado Tubo 1,20</t>
  </si>
  <si>
    <t>Dissipador de Energia c/Pedra de Mão tubo ø 0, 40</t>
  </si>
  <si>
    <t>Dissipador de Energia c/Pedra de Mão tubo ø 0, 60</t>
  </si>
  <si>
    <t>Dissipador de Energia c/Pedra de Mão tubo ø 0, 80</t>
  </si>
  <si>
    <t>EEEE001</t>
  </si>
  <si>
    <t>EEEE002</t>
  </si>
  <si>
    <t>EEEE003</t>
  </si>
  <si>
    <t>EEEE004</t>
  </si>
  <si>
    <t>EEEE005</t>
  </si>
  <si>
    <t>EEEE006</t>
  </si>
  <si>
    <t>EEEE007</t>
  </si>
  <si>
    <t>EEEE008</t>
  </si>
  <si>
    <t>EEEE009</t>
  </si>
  <si>
    <t>EEEE010</t>
  </si>
  <si>
    <t>ENSAIO DE ORÇAMENTO 1</t>
  </si>
  <si>
    <t>ENSAIO DE ORÇAMENTO 2</t>
  </si>
  <si>
    <t>ENSAIO DE ORÇAMENTO 3</t>
  </si>
  <si>
    <t>ENSAIO DE ORÇAMENTO 4</t>
  </si>
  <si>
    <t>ENSAIO DE ORÇAMENTO 5</t>
  </si>
  <si>
    <t>ENSAIO DE ORÇAMENTO 6</t>
  </si>
  <si>
    <t>ENSAIO DE ORÇAMENTO 7</t>
  </si>
  <si>
    <t>ENSAIO DE ORÇAMENTO 8</t>
  </si>
  <si>
    <t>ENSAIO DE ORÇAMENTO 9</t>
  </si>
  <si>
    <t>ENSAIO DE ORÇAMENTO 10</t>
  </si>
  <si>
    <t>SERVIÇOS EXTRAS - DRENAGEM</t>
  </si>
  <si>
    <t>ÁREA INICIAL</t>
  </si>
  <si>
    <t>ÁREA ATUAL</t>
  </si>
  <si>
    <t>CONFERÊNCIA</t>
  </si>
  <si>
    <t>Código</t>
  </si>
  <si>
    <t>IMPRIMIR</t>
  </si>
  <si>
    <t>ITENS</t>
  </si>
  <si>
    <t>7</t>
  </si>
  <si>
    <t>Cartilha</t>
  </si>
  <si>
    <t>Arquivo</t>
  </si>
  <si>
    <t>ANEXO</t>
  </si>
  <si>
    <r>
      <t xml:space="preserve">Solo Cimento(Pista) - </t>
    </r>
    <r>
      <rPr>
        <b/>
        <sz val="10"/>
        <rFont val="Arial"/>
        <family val="2"/>
      </rPr>
      <t>2%</t>
    </r>
  </si>
  <si>
    <r>
      <t xml:space="preserve">Solo Cimento(Pista) - </t>
    </r>
    <r>
      <rPr>
        <b/>
        <sz val="10"/>
        <rFont val="Arial"/>
        <family val="2"/>
      </rPr>
      <t>3%</t>
    </r>
  </si>
  <si>
    <r>
      <t xml:space="preserve">Solo Cimento(Pista) - </t>
    </r>
    <r>
      <rPr>
        <b/>
        <sz val="10"/>
        <rFont val="Arial"/>
        <family val="2"/>
      </rPr>
      <t>4%</t>
    </r>
  </si>
  <si>
    <r>
      <t xml:space="preserve">Solo Cimento(Pista) - </t>
    </r>
    <r>
      <rPr>
        <b/>
        <sz val="10"/>
        <rFont val="Arial"/>
        <family val="2"/>
      </rPr>
      <t>5%</t>
    </r>
  </si>
  <si>
    <r>
      <t xml:space="preserve">Solo Cimento(Pista) - </t>
    </r>
    <r>
      <rPr>
        <b/>
        <sz val="10"/>
        <rFont val="Arial"/>
        <family val="2"/>
      </rPr>
      <t>6%</t>
    </r>
  </si>
  <si>
    <r>
      <t xml:space="preserve">Solo Cimento(Pista)- </t>
    </r>
    <r>
      <rPr>
        <b/>
        <sz val="10"/>
        <rFont val="Arial"/>
        <family val="2"/>
      </rPr>
      <t>7%</t>
    </r>
  </si>
  <si>
    <r>
      <t xml:space="preserve">Solo Cimento(Usina) - </t>
    </r>
    <r>
      <rPr>
        <b/>
        <sz val="10"/>
        <rFont val="Arial"/>
        <family val="2"/>
      </rPr>
      <t>2%</t>
    </r>
  </si>
  <si>
    <r>
      <t xml:space="preserve">Solo Cimento(Usina) - </t>
    </r>
    <r>
      <rPr>
        <b/>
        <sz val="10"/>
        <rFont val="Arial"/>
        <family val="2"/>
      </rPr>
      <t>3%</t>
    </r>
  </si>
  <si>
    <r>
      <t xml:space="preserve">Solo Cimento(Usina) - </t>
    </r>
    <r>
      <rPr>
        <b/>
        <sz val="10"/>
        <rFont val="Arial"/>
        <family val="2"/>
      </rPr>
      <t>4%</t>
    </r>
  </si>
  <si>
    <r>
      <t xml:space="preserve">Solo Cimento(Usina) - </t>
    </r>
    <r>
      <rPr>
        <b/>
        <sz val="10"/>
        <rFont val="Arial"/>
        <family val="2"/>
      </rPr>
      <t>5%</t>
    </r>
  </si>
  <si>
    <r>
      <t xml:space="preserve">Solo Cimento(Usina) - </t>
    </r>
    <r>
      <rPr>
        <b/>
        <sz val="10"/>
        <rFont val="Arial"/>
        <family val="2"/>
      </rPr>
      <t>6%</t>
    </r>
  </si>
  <si>
    <r>
      <t xml:space="preserve">Solo Cimento(Usina) - </t>
    </r>
    <r>
      <rPr>
        <b/>
        <sz val="10"/>
        <rFont val="Arial"/>
        <family val="2"/>
      </rPr>
      <t>7%</t>
    </r>
  </si>
  <si>
    <t>cartilha</t>
  </si>
  <si>
    <t>Anexo</t>
  </si>
  <si>
    <t>Quantidade
(projeto)</t>
  </si>
  <si>
    <t>Unid</t>
  </si>
  <si>
    <t>COPEL</t>
  </si>
  <si>
    <t>TERRAPLENAGEM</t>
  </si>
  <si>
    <t>REVESTIMENTO</t>
  </si>
  <si>
    <t>MEIO-FIO E SARJETA</t>
  </si>
  <si>
    <t>DRENAGEM</t>
  </si>
  <si>
    <t>SERVIÇOS PRELIMINARES</t>
  </si>
  <si>
    <t>SERVIÇOS EXTRAS - SERVIÇOS PRELIMINARES</t>
  </si>
  <si>
    <t>BASE / SUB-BASE</t>
  </si>
  <si>
    <t>SERVIÇOS EXTRAS - BASE / SUB-BASE</t>
  </si>
  <si>
    <t>PAISAGISMO / URBANISMO</t>
  </si>
  <si>
    <t>SINALIZAÇÃO DE TRÂNSITO</t>
  </si>
  <si>
    <t>SERVIÇOS EXTRAS - SINALIZAÇÃO DE TRÂNSITO</t>
  </si>
  <si>
    <t>ILUMINAÇÃO PÚBLICA</t>
  </si>
  <si>
    <t>9</t>
  </si>
  <si>
    <t>SERVIÇOS DIVERSOS</t>
  </si>
  <si>
    <t>10</t>
  </si>
  <si>
    <t>Limpeza de bueiro</t>
  </si>
  <si>
    <t>Limpeza e lavagem de sinalização vertical</t>
  </si>
  <si>
    <t>Limpeza e pintura de meio fio</t>
  </si>
  <si>
    <t>Remoção de cercas</t>
  </si>
  <si>
    <t>Escavação e carga mat. jazida 1a. cat./sem transporte</t>
  </si>
  <si>
    <t>Escavação e carga mat. jazida 2a. cat./sem transporte</t>
  </si>
  <si>
    <t>Escarificação e remoção revestimento primário</t>
  </si>
  <si>
    <t>Escarificação e conformação do subleito</t>
  </si>
  <si>
    <t>Escarificação da base</t>
  </si>
  <si>
    <t>Refôrço do Subleito c/ mat. de 1ª Cat (solos-argila e assemelhados)</t>
  </si>
  <si>
    <t>Refôrço do Subleito c/ mat. de 2ª Cat (saibro-moledo-cascalho)</t>
  </si>
  <si>
    <t>PAI-17</t>
  </si>
  <si>
    <t>Brita 4A</t>
  </si>
  <si>
    <t>PM curitiba</t>
  </si>
  <si>
    <t>Retirada de Pedras Irregulares</t>
  </si>
  <si>
    <t>810250A</t>
  </si>
  <si>
    <t>810250B</t>
  </si>
  <si>
    <t>Fincadinha de concreto - (9x19x39cm-0,0171m3/m)</t>
  </si>
  <si>
    <t>810250C</t>
  </si>
  <si>
    <t>Fincadinha de concreto moldada in loco- (7x20cm-0,014m3/m)</t>
  </si>
  <si>
    <t>Fincadinha de Granito - (8x15cm-0,012m3/m)</t>
  </si>
  <si>
    <t>Refôrço do Subleito c/ mat. de 2ª Cat (saibro-moledo-cascalho) passeio</t>
  </si>
  <si>
    <t>Brita 4A - passeio</t>
  </si>
  <si>
    <t>Plantio de Grama em placas</t>
  </si>
  <si>
    <t>Plantio de Grama em mudas</t>
  </si>
  <si>
    <t xml:space="preserve">Faixa de Sinalização Horizontal c/tinta resina acrílica base solvente- (0,034 m2/m2) </t>
  </si>
  <si>
    <t>Tacha refletiva bidirecional</t>
  </si>
  <si>
    <t>Tacha refletiva monodirecional</t>
  </si>
  <si>
    <t>Tachão refletivo bidirecional</t>
  </si>
  <si>
    <t>Tachão refletivo monodirecional</t>
  </si>
  <si>
    <t>Demolição de Alvenaria</t>
  </si>
  <si>
    <t>IMPOSTOS</t>
  </si>
  <si>
    <t>TOTAL</t>
  </si>
  <si>
    <t>LUCRO</t>
  </si>
  <si>
    <t>PREÇO GLOBAL</t>
  </si>
  <si>
    <t>Corpo de BSTC ø 0,20 sem Berço e sem Armação</t>
  </si>
  <si>
    <t>Corpo de BSTC ø 0,30 sem Berço e sem Armação</t>
  </si>
  <si>
    <t>Corpo de BSTC ø 0,50 sem Berço e sem Armação</t>
  </si>
  <si>
    <t>Corpo de BSTC ø 0,70 sem Berço e sem Armação</t>
  </si>
  <si>
    <t>Locação direta de estruras em ramais de RDR</t>
  </si>
  <si>
    <t>Locação de estrutura em rede distribuição rural</t>
  </si>
  <si>
    <t>Locação de estrutura em rede distribuição urbana</t>
  </si>
  <si>
    <t>742A</t>
  </si>
  <si>
    <t>743A</t>
  </si>
  <si>
    <t>744A</t>
  </si>
  <si>
    <t>745A</t>
  </si>
  <si>
    <t>746A</t>
  </si>
  <si>
    <t>747A</t>
  </si>
  <si>
    <t>748A</t>
  </si>
  <si>
    <t>759A</t>
  </si>
  <si>
    <t>751A</t>
  </si>
  <si>
    <t>752A</t>
  </si>
  <si>
    <t>753A</t>
  </si>
  <si>
    <t>755A</t>
  </si>
  <si>
    <t>756A</t>
  </si>
  <si>
    <t>757A</t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</si>
  <si>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Cadeia de isoladores de disco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</si>
  <si>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Cruzeta símples sem isoladores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</si>
  <si>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Cruzeta dupla sem isoladores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</si>
  <si>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isolador de pino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</si>
  <si>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T para fixação de chaves ou pára-raios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</si>
  <si>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ou afastador para isolador pilar</t>
    </r>
  </si>
  <si>
    <t>770A</t>
  </si>
  <si>
    <t>771A</t>
  </si>
  <si>
    <t>772A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</si>
  <si>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âncora simples ou reforçado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</si>
  <si>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âncora simples ou reforçado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</si>
  <si>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contraposte simples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</si>
  <si>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contraposte simples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</si>
  <si>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poste a poste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</si>
  <si>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poste a poste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</si>
  <si>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cadeia de isoladores de disco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</si>
  <si>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cruzeta símples sem isoladores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</si>
  <si>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provisório durante o lançamento e tensionamento de cabos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</si>
  <si>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cruzeta dupla sem isoladores</t>
    </r>
  </si>
  <si>
    <t>774A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</si>
  <si>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âncora com haste cimentada na rocha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</si>
  <si>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âncora com haste cimentada na rocha</t>
    </r>
  </si>
  <si>
    <t>776A</t>
  </si>
  <si>
    <t>862A</t>
  </si>
  <si>
    <t>875A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</si>
  <si>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dispositivo de segurança no estai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</si>
  <si>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dispositivo de segurança no estai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</si>
  <si>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concretagem</t>
    </r>
  </si>
  <si>
    <r>
      <t>MONTAGEM</t>
    </r>
    <r>
      <rPr>
        <sz val="10"/>
        <rFont val="Arial"/>
        <family val="2"/>
      </rPr>
      <t xml:space="preserve"> de sinalizador de estai de âncora</t>
    </r>
  </si>
  <si>
    <r>
      <t>Retirada</t>
    </r>
    <r>
      <rPr>
        <sz val="10"/>
        <rFont val="Arial"/>
        <family val="2"/>
      </rPr>
      <t xml:space="preserve"> de sinalizador de estai de âncora</t>
    </r>
  </si>
  <si>
    <t>947A</t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</si>
  <si>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l ou suporte afastador para rede antifurto</t>
    </r>
  </si>
  <si>
    <t>760A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</si>
  <si>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afastador de armação secundária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</si>
  <si>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afastador de armação secundária</t>
    </r>
  </si>
  <si>
    <t>761A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</si>
  <si>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armação secundária. de 1 estribo ou parafuso com olhal</t>
    </r>
  </si>
  <si>
    <t>762A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</si>
  <si>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armação secundária com mais de 1 estribo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</si>
  <si>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armação secundária com mais de 1 estribo</t>
    </r>
  </si>
  <si>
    <r>
      <rPr>
        <b/>
        <sz val="10"/>
        <rFont val="Arial"/>
        <family val="2"/>
      </rPr>
      <t>Deslocamento ou reinstalação</t>
    </r>
    <r>
      <rPr>
        <sz val="10"/>
        <rFont val="Arial"/>
        <family val="2"/>
      </rPr>
      <t xml:space="preserve"> de armação secundária montada com
mais de 1 (um) estribo</t>
    </r>
  </si>
  <si>
    <t>780A</t>
  </si>
  <si>
    <t>781A</t>
  </si>
  <si>
    <t>782A</t>
  </si>
  <si>
    <t>783A</t>
  </si>
  <si>
    <t>784A</t>
  </si>
  <si>
    <t>785A</t>
  </si>
  <si>
    <t>786A</t>
  </si>
  <si>
    <t>787A</t>
  </si>
  <si>
    <t>790A</t>
  </si>
  <si>
    <r>
      <rPr>
        <b/>
        <sz val="10"/>
        <rFont val="Arial"/>
        <family val="2"/>
      </rPr>
      <t xml:space="preserve">MONTAGEM - </t>
    </r>
    <r>
      <rPr>
        <sz val="10"/>
        <rFont val="Arial"/>
        <family val="2"/>
      </rPr>
      <t>lançamento de cabo de alumínio de AT, acima 02 AWG até 2/0 AWG CA ou CAA e cabo alumínio 4/0 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</si>
  <si>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acima 02 AWG até 2/0 AWG CA ou CAA e cabo alumínio 4/0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</si>
  <si>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alumínio de at, de 4/0 AWG até 336,4 mcm CAA e cabo de alumínio acima de 4/0 AWG até 336,4 mcm 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</si>
  <si>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de 4/0 AWG até 336,4 mcm CAA e cabo de alumínio acima de 4/0 AWG até 336,4 mcm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</si>
  <si>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alumínio de AT, acima 336,4 mcm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</si>
  <si>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acima 336,4 mcm CA ou CAA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</si>
  <si>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ou fio de cobre de AT, até 35 mm24/0 AWG até 336,4 mcm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</si>
  <si>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cobre de AT, acima de 35 mm2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</si>
  <si>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cobre de AT, acima de 35 mm2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</si>
  <si>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AT, aço 3x2,25mm, aço-alumínio 3x10 AWG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</si>
  <si>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AT, aço 3x2,25mm, aço-alumínio 3x10 AWG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</si>
  <si>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do fio de aço 3,09 mm de AT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</si>
  <si>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fio de aço 3,09 mm de AT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</si>
  <si>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subterrâneo de alta tensão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</si>
  <si>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subterrâneo de alta tensão</t>
    </r>
  </si>
  <si>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cabos existentes em AT, </t>
    </r>
    <r>
      <rPr>
        <b/>
        <sz val="10"/>
        <rFont val="Arial"/>
        <family val="2"/>
      </rPr>
      <t>por cabo</t>
    </r>
  </si>
  <si>
    <t>1</t>
  </si>
  <si>
    <t>860A</t>
  </si>
  <si>
    <t>864A</t>
  </si>
  <si>
    <t>866A</t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</si>
  <si>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canaleta para proteção do cabo condutor AT /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</si>
  <si>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canaleta para proteção do cabo condutor AT / BT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</si>
  <si>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esfera de sinalaização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</si>
  <si>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eletroduto para rede subterrânea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</si>
  <si>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eletroduto para rede subterrânea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</si>
  <si>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esfera de sinalaização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</si>
  <si>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ou fio de cobre de AT, até 35 mm24/0 AWG até 336,4 mcm 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</si>
  <si>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auxiliar para entrada serviço de unidade consumidora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</si>
  <si>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auxiliar para entrada serviço de unidade consumidora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</si>
  <si>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até 1000 DAN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</si>
  <si>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até 1000 DAN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</si>
  <si>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acima 1000 DAN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</si>
  <si>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resistência.
acima 1000 DAN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</si>
  <si>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entre 13 a 15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</si>
  <si>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entre 13 a 15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</si>
  <si>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de 15 a 18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</si>
  <si>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de 15 a 18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</si>
  <si>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acima de 18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</si>
  <si>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acima de 18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</si>
  <si>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proteção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</si>
  <si>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proteção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</si>
  <si>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defensa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</si>
  <si>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armação secundária. de 1 estribo ou parafuso com olhal</t>
    </r>
  </si>
  <si>
    <t>794A</t>
  </si>
  <si>
    <t>795A</t>
  </si>
  <si>
    <t>792A</t>
  </si>
  <si>
    <t>796A</t>
  </si>
  <si>
    <t>867A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</si>
  <si>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de alumínio de BT, até 02 AWG CA ou CAA</t>
    </r>
  </si>
  <si>
    <r>
      <rPr>
        <b/>
        <sz val="10"/>
        <rFont val="Arial"/>
        <family val="2"/>
      </rPr>
      <t xml:space="preserve">MONTAGEM - </t>
    </r>
    <r>
      <rPr>
        <sz val="10"/>
        <rFont val="Arial"/>
        <family val="2"/>
      </rPr>
      <t>lançamento de cabo de alumínio de AT, até 02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</si>
  <si>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até 02 AWG CA ou CAA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</si>
  <si>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de alumínio de BT, acima 02 AWG até 2/0 AWG CA ou CAA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</si>
  <si>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ou fio de cobre de BT, até 35 mm2</t>
    </r>
  </si>
  <si>
    <t>Retirada de cabo ou fio de cobre de BT, até 35 mm2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</si>
  <si>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ou fio de cobre de BT, acima 35 mm2</t>
    </r>
  </si>
  <si>
    <t>Retirada de cabo ou fio de cobre de BT, acima 35 mm2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</si>
  <si>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subterrâneo de baixa tensão</t>
    </r>
  </si>
  <si>
    <t>Retirada de cabo subterrâneo de baixa tensão</t>
  </si>
  <si>
    <t>Retirada de espaçador de cabos em vão de baixa tensão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</si>
  <si>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espaçador de cabos em vão de baixa tensão</t>
    </r>
  </si>
  <si>
    <t>813A</t>
  </si>
  <si>
    <t>8712A</t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</si>
  <si>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descida suplementar de proteção para aterramento de transformador de 33kv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</si>
  <si>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descida suplementar de proteção para aterramento de transformador de 33kv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</si>
  <si>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aterramento temporário para rede de AT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</si>
  <si>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aterramento temporário para rede de BT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</si>
  <si>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de aço cobre, primeira haste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</si>
  <si>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de aço cobre, demais hastes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</si>
  <si>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haste de aterramento de aço cobre, haste profunda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</si>
  <si>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zincada para cerca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</si>
  <si>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malha de aterramento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</si>
  <si>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aplicação de produtos químicos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</si>
  <si>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instalação do aterramento temporário tipo sela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</si>
  <si>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seccionamento de cerca, por seccionador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</si>
  <si>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seccionamento de cerca, por seccionador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</si>
  <si>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Aprumar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existente equipado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</si>
  <si>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Deslocamento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equipado existente até 0,30 metros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</si>
  <si>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defensa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</si>
  <si>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Reinstalação</t>
    </r>
    <r>
      <rPr>
        <sz val="10"/>
        <rFont val="Arial"/>
        <family val="2"/>
      </rPr>
      <t xml:space="preserve"> de cruzeta dupla montada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</si>
  <si>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isolador de pino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</si>
  <si>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Iinstalação</t>
    </r>
    <r>
      <rPr>
        <sz val="10"/>
        <rFont val="Arial"/>
        <family val="2"/>
      </rPr>
      <t xml:space="preserve"> de suporte T para fixação de chaves ou pára-raios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</si>
  <si>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Suporte ou afastador para isolador pilar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</si>
  <si>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suporte l ou suporte afastador para rede antifurto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</si>
  <si>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Corte de poste de concreto ou madeira para escora subsolo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</si>
  <si>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Escora de subsolo simples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</si>
  <si>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Escora de subsolo dupla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</si>
  <si>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 aço do estai simples ou reforçado
existente</t>
    </r>
  </si>
  <si>
    <r>
      <rPr>
        <sz val="10"/>
        <rFont val="Arial"/>
        <family val="2"/>
      </rPr>
      <t>MONTAGEM</t>
    </r>
    <r>
      <rPr>
        <b/>
        <sz val="10"/>
        <rFont val="Arial"/>
        <family val="2"/>
      </rPr>
      <t xml:space="preserve"> - Concretagem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</si>
  <si>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cabos existentes em BT, </t>
    </r>
    <r>
      <rPr>
        <b/>
        <sz val="10"/>
        <rFont val="Arial"/>
        <family val="2"/>
      </rPr>
      <t>por cabo</t>
    </r>
  </si>
  <si>
    <t>834A</t>
  </si>
  <si>
    <t>836A</t>
  </si>
  <si>
    <t>793A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</si>
  <si>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base p/ relé iluminação públ. comando grupo ou individual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</si>
  <si>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braço de iluminação pública de até 2m de comprimento, com luminária aberta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</si>
  <si>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braço de iluminação pública de até 2m de comprimento, com luminária aberta ou fechada, com lâmpada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</si>
  <si>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braço de iluminação pública acima de 2m de comprimento, com luminária aberta ou fechada, com lâmpada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</si>
  <si>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deslocamento de luminária montada</t>
    </r>
  </si>
  <si>
    <t>835A</t>
  </si>
  <si>
    <t>838A</t>
  </si>
  <si>
    <t>839A</t>
  </si>
  <si>
    <t>840A</t>
  </si>
  <si>
    <t>841A</t>
  </si>
  <si>
    <t>842A</t>
  </si>
  <si>
    <t>845A</t>
  </si>
  <si>
    <t>843A</t>
  </si>
  <si>
    <t>859A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</si>
  <si>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luminária exceto braço para iluminação pública</t>
    </r>
  </si>
  <si>
    <t>Retirada de luminária exceto braço para iluminação pública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</si>
  <si>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luminária tipo pétala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</si>
  <si>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luminária tipo pétala para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</si>
  <si>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poste ornamental de aço tipo chicote simples ou duplo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</si>
  <si>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poste ornamental até 5 metros altura útil com luminária decorativa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</si>
  <si>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reator para lâmpada vapor de mercúrio (vmc), vapor de sódio (vsa) e vapor metálico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</si>
  <si>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reator para lâmpada vapor de mercúrio (vmc), vapor de sódio (vsa) e vapor metálico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</si>
  <si>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refletor para lâmpada incandescente, mista, vapor de mercúrio, vapor de sódio e vapor metálico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</si>
  <si>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reinstalação de luminária montada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</si>
  <si>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relé fotelétrico de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</si>
  <si>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relé fotelétrico de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</si>
  <si>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substituição de lâmpada de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</si>
  <si>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caixa de proteção padrão copel, tipo a ou b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</si>
  <si>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caixa de proteção padrão copel, tipo a ou b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</si>
  <si>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poste ornamental até 5 metros altura útil com luminária decorativa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</si>
  <si>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braço de iluminação pública acima de 2m de comprimento, com luminária aberta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</si>
  <si>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base p/ relé iluminação públ. comando grupo ou individual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</si>
  <si>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BT, acima 02 AWG até 2/0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</si>
  <si>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BT, até 02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</si>
  <si>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refletor para lâmpada incandescente, mista, vapor de mercúrio, vapor de sódio e vapor metálicoberta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</si>
  <si>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poste ornamental de aço tipo chicote simples ou duplo</t>
    </r>
  </si>
  <si>
    <t>SERVIÇOS EXTRAS - ILUMINAÇÃO PÚBLICA</t>
  </si>
  <si>
    <t>Corpo de BSTC ø 0,70 Sem Berço c/ Armação Símples CA-1</t>
  </si>
  <si>
    <t>Corpo de BSTC ø 0,90 Sem Berço c/ Armação Símples CA-1</t>
  </si>
  <si>
    <t>Corpo de BSTC ø 0,50 Sem Berço c/ Armação Símples CA-1</t>
  </si>
  <si>
    <t>Corpo de BSTC ø 0,50 Sem Berço c/ Armação Dupla CA-2</t>
  </si>
  <si>
    <t>Corpo de BSTC ø 0,70 Sem Berço c/ Armação Dupla CA-2</t>
  </si>
  <si>
    <t>Corpo de BSTC ø 0,90 Sem Berço c/ Armação Dupla CA-2</t>
  </si>
  <si>
    <t>Corpo de BSTC ø 0,50 Com Berço c/ Armação Dupla CA-2</t>
  </si>
  <si>
    <t>Corpo de BSTC ø 0,70 Com Berço c/ Armação Dupla CA-2</t>
  </si>
  <si>
    <t>Corpo de BSTC ø 0,90 Com Berço c/ Armação Dupla CA-2</t>
  </si>
  <si>
    <t>TOTAL DO PAVIMENTO (1-2-3-4-5)</t>
  </si>
  <si>
    <t>TOTAL DE ILUMINAÇÃO PÚBLICA (8)</t>
  </si>
  <si>
    <t>TOTAL DE SEVIÇOS DIVERSOS (9)</t>
  </si>
  <si>
    <t>TOTAL DE DRENAGEM (10)</t>
  </si>
  <si>
    <t>TOTAL DE URBANISMO E SINALIZAÇÃO(6-7)</t>
  </si>
  <si>
    <t>Remoção manual de entulho</t>
  </si>
  <si>
    <t>Remoção de Revestimento Primário</t>
  </si>
  <si>
    <t>Demolição Mecânica de Pavimento e Transporte</t>
  </si>
  <si>
    <t>SERVIÇOS EXTRAS - SERVIÇOS DIVERSOS</t>
  </si>
  <si>
    <t>Remanejamento postes linha transmissão</t>
  </si>
  <si>
    <t>11</t>
  </si>
  <si>
    <t xml:space="preserve">Ensaio de Massa Específica - In Situ - Método Frasco de Areia (Grau de Compactação) - Terraplenagem </t>
  </si>
  <si>
    <t xml:space="preserve">Ensaio de Massa Específica - In Situ - Método Frasco de Areia (Grau de Compactação) - Reforço do Subleito 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</si>
  <si>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</si>
  <si>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</si>
  <si>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</si>
  <si>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</si>
  <si>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</si>
  <si>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74022/50</t>
  </si>
  <si>
    <t>Ensaio de Determinação da Taxa de Espalhamento do Agregado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</si>
  <si>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</si>
  <si>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</si>
  <si>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</si>
  <si>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</si>
  <si>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</si>
  <si>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SERVIÇOS EXTRAS - ENSAIOS TECNOLÓGICOS</t>
  </si>
  <si>
    <t>gb</t>
  </si>
  <si>
    <t>DAER/RS</t>
  </si>
  <si>
    <t>TOTAL DE ENSAIOS TECNOLÓGICOS (11)</t>
  </si>
  <si>
    <t xml:space="preserve">     </t>
  </si>
  <si>
    <t>%</t>
  </si>
  <si>
    <t>CÓDIGO 
DE 
BUSCA</t>
  </si>
  <si>
    <t>95474</t>
  </si>
  <si>
    <t>560100A</t>
  </si>
  <si>
    <t>560100B</t>
  </si>
  <si>
    <t>Fincadinha de concreto - (5x22,5x45cm-0,01125m3/m)</t>
  </si>
  <si>
    <t>BDI (%) - SERVIÇOS</t>
  </si>
  <si>
    <t>BDI (%) - BETUMES</t>
  </si>
  <si>
    <t>1 - Solicitar o valor do ISS do município</t>
  </si>
  <si>
    <t>2- Solicitar a "Base de Cálculo" (% de mão de Obra)</t>
  </si>
  <si>
    <t>Calçada Concreto ( e = 6,00 cm )</t>
  </si>
  <si>
    <t>Calçada Concreto ( e = 7,00 cm )</t>
  </si>
  <si>
    <t>Limpeza e desobstrução de bueiros simples</t>
  </si>
  <si>
    <t>Limpeza e desobstrução de bueiros duplos</t>
  </si>
  <si>
    <t>Limpeza e desobstrução de bueiros triplos</t>
  </si>
  <si>
    <t>Boca de saída de dreno ø 0,20</t>
  </si>
  <si>
    <t>Boca (Ala) de BSTC ø 0,30 m</t>
  </si>
  <si>
    <t>Boca (Ala) de BSTC ø 0,50 m</t>
  </si>
  <si>
    <t>Boca (Ala) de BSTC ø 0,70 m</t>
  </si>
  <si>
    <t>ENSAIOS TECNOLÓGICOS</t>
  </si>
  <si>
    <t>Calçada Concreto ( e = 8,00 cm )</t>
  </si>
  <si>
    <t>=ISS x base de cálculo</t>
  </si>
  <si>
    <t>Saibro Compactado CBR&gt;=20 (Base ou Sub-Base)</t>
  </si>
  <si>
    <t>Moledo  Compactado CBR&gt;=20(Base ou Sub-Base)</t>
  </si>
  <si>
    <t>Placa sinalização refletiva-retangular dupla (duas de-0,20x060) em L (0,2400 m2/ud) + suporte METÁLICO</t>
  </si>
  <si>
    <t>Concreto Ciclópico 11 Mpa (30% em volume de Pedra de Mão)</t>
  </si>
  <si>
    <t>tampão
161125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</si>
  <si>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</si>
  <si>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Barreira New Jersey simples de concreto, não armada, executada com</t>
  </si>
  <si>
    <t>Barreira New Jersey dupla de concreto, não armada, executada com</t>
  </si>
  <si>
    <t>8.1</t>
  </si>
  <si>
    <t>5.1</t>
  </si>
  <si>
    <t>SEIL/2016</t>
  </si>
  <si>
    <t>3.20</t>
  </si>
  <si>
    <t>7.1</t>
  </si>
  <si>
    <t>Imprimação com Emulsão EAI - exclusive emulsão</t>
  </si>
  <si>
    <t>Imprimação com  CM-30 - exclusive CM-30</t>
  </si>
  <si>
    <t>Pintura de ligação com RR-1C - exclusive emulsão</t>
  </si>
  <si>
    <t>Fornecimento de emulsão RL - lama asfáltica faixa 1</t>
  </si>
  <si>
    <t>Lama Asfáltica ( faixa " 1 " ) - 2 mm - exclusive emulsão (0,0015)</t>
  </si>
  <si>
    <t>taxa RL</t>
  </si>
  <si>
    <t>Fornecimento de emulsão RL - lama asfáltica faixa 2</t>
  </si>
  <si>
    <t>Fornecimento de emulsão RL - lama asfáltica faixa 3</t>
  </si>
  <si>
    <t>Fornecimento de emulsão RL - lama asfáltica faixa 4</t>
  </si>
  <si>
    <t>Lama Asfáltica ( faixa " 4 " ) -12 mm - exclusive emulsão (0,0026)</t>
  </si>
  <si>
    <t>Lama Asfáltica ( faixa " 2 " ) - 4 mm - exclusive emulsão (0,0018)</t>
  </si>
  <si>
    <t>Lama Asfáltica ( faixa " 3" ) - 8 mm - exclusive emulsão (0,0020)</t>
  </si>
  <si>
    <t>Fornecimento de emulsão RR-2C - TSS</t>
  </si>
  <si>
    <t>Fornecimento de emulsão RR-1C - imprimação</t>
  </si>
  <si>
    <t>Fornecimento de emulsão EAI - imprimação</t>
  </si>
  <si>
    <t>Fornecimento de CM-30 - imprimação</t>
  </si>
  <si>
    <t>Fornecimento de emulsão RR-1C - pintura de ligaçãp</t>
  </si>
  <si>
    <t>Fornecimento de emulsão RR-2C - TSD com Capa Selante - Tipo I-1</t>
  </si>
  <si>
    <t>Fornecimento de emulsão RR-2C - Trat.Sup.Tríplo ( TST ) Tipo I-4</t>
  </si>
  <si>
    <t>Fornecimento de emulsão RR-2C - TSD com Capa Selante - Tipo I-3</t>
  </si>
  <si>
    <t>Fornecimento de emulsão RR-2C - Trat.Sup.Tríplo ( TST ) Tipo I-5</t>
  </si>
  <si>
    <t>Fornecimento de emulsão RR-2C - Trat.Sup.Tríplo ( TST ) Tipo I-6</t>
  </si>
  <si>
    <t>Fornecimento de emulsão RR-2C - Macadame Betuminoso</t>
  </si>
  <si>
    <t>Fornecimento de CAP - Macadame Betuminoso</t>
  </si>
  <si>
    <t>Fornecimento de emulsão RR-2C - Capa Selante</t>
  </si>
  <si>
    <t>Fornecimento de CAP - Pré-Misturado a Quente (menor que 10000 ton)</t>
  </si>
  <si>
    <t>Fornecimento de CAP - Pré-Misturado a Quente (maior que 10000 ton)</t>
  </si>
  <si>
    <t>Fornecimento de CAP - CBUQ (Quantidade menor que 10000 toneladas)</t>
  </si>
  <si>
    <t>Fornecimento de CAP - CBUQ (Quantidade maior que 10000 toneladas)</t>
  </si>
  <si>
    <t>Fornecimento de CAP SBS(60/85) - CBUQ c/ asfalto modificado p/ polímero</t>
  </si>
  <si>
    <t>Fornecimento de ASFALTO-BORRACHA - CBUQ com borracha</t>
  </si>
  <si>
    <t>taxa RR-2C</t>
  </si>
  <si>
    <t>taxa CAP</t>
  </si>
  <si>
    <t>taxa RM-2C</t>
  </si>
  <si>
    <t>taxa CAP 
SBS(60/85)</t>
  </si>
  <si>
    <t>taxa CAP 
borracha</t>
  </si>
  <si>
    <t xml:space="preserve">ton </t>
  </si>
  <si>
    <t>taxa RR-1C</t>
  </si>
  <si>
    <t>SERVIÇOS DE URBANIZAÇÃO</t>
  </si>
  <si>
    <r>
      <t>Pré-Misturado a Frio (aberto) - DER - (</t>
    </r>
    <r>
      <rPr>
        <b/>
        <sz val="10"/>
        <rFont val="Arial"/>
        <family val="2"/>
      </rPr>
      <t>REPERFILAMENTO</t>
    </r>
    <r>
      <rPr>
        <sz val="10"/>
        <rFont val="Arial"/>
        <family val="2"/>
      </rPr>
      <t>)</t>
    </r>
  </si>
  <si>
    <r>
      <t>Pré-Misturado a Frio (aberto) - DER - (</t>
    </r>
    <r>
      <rPr>
        <b/>
        <sz val="10"/>
        <rFont val="Arial"/>
        <family val="2"/>
      </rPr>
      <t>TAPA - BURACO</t>
    </r>
    <r>
      <rPr>
        <sz val="10"/>
        <rFont val="Arial"/>
        <family val="2"/>
      </rPr>
      <t>)</t>
    </r>
  </si>
  <si>
    <r>
      <t>Pré-Misturado a Frio (aberto)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</si>
  <si>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REPERFILAMENTO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</si>
  <si>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</si>
  <si>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t>Critério Econômico de Elegibilidade</t>
  </si>
  <si>
    <t>PAVIMENTAÇÃO</t>
  </si>
  <si>
    <t>PROGRAMA PARANÁ URBANO 3</t>
  </si>
  <si>
    <t>INDICADOR FÍSICO (TAXA DE OCUPAÇÃO)</t>
  </si>
  <si>
    <t>Nº de lotes totais:</t>
  </si>
  <si>
    <t xml:space="preserve">&gt;= </t>
  </si>
  <si>
    <t>Nº de lotes ocupados:</t>
  </si>
  <si>
    <t xml:space="preserve">Nº de lotes ocupados  </t>
  </si>
  <si>
    <r>
      <rPr>
        <b/>
        <u/>
        <sz val="14"/>
        <rFont val="Arial"/>
        <family val="2"/>
      </rPr>
      <t>Nº de lotes ocupados</t>
    </r>
    <r>
      <rPr>
        <b/>
        <sz val="14"/>
        <rFont val="Arial"/>
        <family val="2"/>
      </rPr>
      <t xml:space="preserve">  =</t>
    </r>
  </si>
  <si>
    <t>Nº de lotes totais</t>
  </si>
  <si>
    <t>VIABILIDADE DO PROJETO</t>
  </si>
  <si>
    <t>INDICADOR ECONÔMICO ( VALOR DO INVESTIMENTO / Nº DE LOTES TOTAIS)</t>
  </si>
  <si>
    <t>Valor do Investimento</t>
  </si>
  <si>
    <t xml:space="preserve">&lt;= </t>
  </si>
  <si>
    <t>Valor do Investimento  =</t>
  </si>
  <si>
    <t>PRAÇA</t>
  </si>
  <si>
    <t>INDICADOR ECONÔMICO ( VALOR DO INVESTIMENTO / ÁREA URBANIZADA)</t>
  </si>
  <si>
    <t>Valor do Investimento - ( R$ )</t>
  </si>
  <si>
    <t>Área Urbanizada - ( m2 )</t>
  </si>
  <si>
    <t xml:space="preserve">Valor do Investimento  </t>
  </si>
  <si>
    <t>SINAPI</t>
  </si>
  <si>
    <t>CBUQ - REMENDO (MANUAL)</t>
  </si>
  <si>
    <t>534000A</t>
  </si>
  <si>
    <t>534000B</t>
  </si>
  <si>
    <t>7.4</t>
  </si>
  <si>
    <t>aço
ca 50</t>
  </si>
  <si>
    <t>aço
ca 25</t>
  </si>
  <si>
    <t>Concr
18 mpa</t>
  </si>
  <si>
    <t xml:space="preserve">1 - </t>
  </si>
  <si>
    <t>PAVIMENTAÇÃO (IMPLANTAÇÃO - RESTAURAÇÃO DE PAVIMENTO - IMPLASNTAÇÃO + RECAPE)</t>
  </si>
  <si>
    <r>
      <t xml:space="preserve">PRAZOS E ÁREAS MÁXIMAS DE </t>
    </r>
    <r>
      <rPr>
        <b/>
        <sz val="16"/>
        <color theme="1"/>
        <rFont val="Calibri"/>
        <family val="2"/>
        <scheme val="minor"/>
      </rPr>
      <t>PAVIMENTAÇÃO</t>
    </r>
    <r>
      <rPr>
        <b/>
        <sz val="11"/>
        <color theme="1"/>
        <rFont val="Calibri"/>
        <family val="2"/>
        <scheme val="minor"/>
      </rPr>
      <t xml:space="preserve"> PARA O CRONOGRMA</t>
    </r>
  </si>
  <si>
    <t>Prazo do</t>
  </si>
  <si>
    <t>Áreas Máximas</t>
  </si>
  <si>
    <t>Cronograma  (N)</t>
  </si>
  <si>
    <t>de</t>
  </si>
  <si>
    <t>até</t>
  </si>
  <si>
    <t>3 meses</t>
  </si>
  <si>
    <t>-</t>
  </si>
  <si>
    <t>2.000  m2</t>
  </si>
  <si>
    <t>4 meses</t>
  </si>
  <si>
    <t>4.000  m2</t>
  </si>
  <si>
    <t>5 meses</t>
  </si>
  <si>
    <t>8.000  m2</t>
  </si>
  <si>
    <t>Obs.</t>
  </si>
  <si>
    <t>Para áreas maiores que 30.000 m2  :    Dividir em "Lotes"</t>
  </si>
  <si>
    <t>6 meses</t>
  </si>
  <si>
    <t>13.000  m2</t>
  </si>
  <si>
    <t>7 meses</t>
  </si>
  <si>
    <t>18.000  m2</t>
  </si>
  <si>
    <t>8 meses</t>
  </si>
  <si>
    <t>24.000  m2</t>
  </si>
  <si>
    <t>9 meses</t>
  </si>
  <si>
    <t>30.000  m2</t>
  </si>
  <si>
    <t>RECAPE ASFÁLTICO</t>
  </si>
  <si>
    <t>PRAZOS E ÁREAS MÁXIMAS DE RECAPE PARA O CRONOGRMA</t>
  </si>
  <si>
    <t>10.000  m2</t>
  </si>
  <si>
    <t>15.000  m2</t>
  </si>
  <si>
    <t>Para áreas maiores que 60.000 m2  :    Dividir em "Lotes"</t>
  </si>
  <si>
    <t>20.000  m2</t>
  </si>
  <si>
    <t>40.000  m2</t>
  </si>
  <si>
    <t>50.000  m2</t>
  </si>
  <si>
    <t>60.000  m2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</si>
  <si>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</si>
  <si>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</si>
  <si>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</si>
  <si>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</si>
  <si>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</si>
  <si>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</si>
  <si>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</si>
  <si>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</si>
  <si>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</si>
  <si>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</si>
  <si>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</si>
  <si>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</si>
  <si>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</si>
  <si>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</si>
  <si>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</si>
  <si>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</si>
  <si>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</si>
  <si>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</si>
  <si>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</si>
  <si>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</si>
  <si>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</si>
  <si>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</si>
  <si>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</si>
  <si>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</si>
  <si>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</si>
  <si>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</si>
  <si>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</si>
  <si>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</si>
  <si>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>TESOURO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</si>
  <si>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</si>
  <si>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</si>
  <si>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</si>
  <si>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</si>
  <si>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</si>
  <si>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</si>
  <si>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</si>
  <si>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</si>
  <si>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</si>
  <si>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</si>
  <si>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</si>
  <si>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</si>
  <si>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</si>
  <si>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</si>
  <si>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</si>
  <si>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</si>
  <si>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</si>
  <si>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</si>
  <si>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</si>
  <si>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</si>
  <si>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</si>
  <si>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</si>
  <si>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</si>
  <si>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</si>
  <si>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</si>
  <si>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</si>
  <si>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</si>
  <si>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</si>
  <si>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</si>
  <si>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</si>
  <si>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</si>
  <si>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</si>
  <si>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</si>
  <si>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</si>
  <si>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</si>
  <si>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</si>
  <si>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</si>
  <si>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Fornecimento de Emulsão RM-2C - Pré-Misturado a Frio (aberto) - DER</t>
  </si>
  <si>
    <t>Fornecimento de Emulsão RM-2C - Pré-Misturado a Frio (Semi-Denso) - DER</t>
  </si>
  <si>
    <r>
      <rPr>
        <b/>
        <sz val="12"/>
        <rFont val="Arial"/>
        <family val="2"/>
      </rPr>
      <t xml:space="preserve">CBUQ - PASSEIO  </t>
    </r>
    <r>
      <rPr>
        <sz val="10"/>
        <rFont val="Arial"/>
        <family val="2"/>
      </rPr>
      <t>(Quantidade menor que 10000 toneladas)</t>
    </r>
  </si>
  <si>
    <t>560100C</t>
  </si>
  <si>
    <t>560400A</t>
  </si>
  <si>
    <t>561100A</t>
  </si>
  <si>
    <t>Fornecimento de emulsão RR-1C - pintura de ligação</t>
  </si>
  <si>
    <t>589420A</t>
  </si>
  <si>
    <t>589420B</t>
  </si>
  <si>
    <t>589420C</t>
  </si>
  <si>
    <t>589320A</t>
  </si>
  <si>
    <t>589320B</t>
  </si>
  <si>
    <t>589320C</t>
  </si>
  <si>
    <t>589320D</t>
  </si>
  <si>
    <t>589320E</t>
  </si>
  <si>
    <t>589100A</t>
  </si>
  <si>
    <t>TRAÇOS DE CBUQ</t>
  </si>
  <si>
    <t>Nome da Usina / Pedreira</t>
  </si>
  <si>
    <t>Local da Pedreira</t>
  </si>
  <si>
    <t>Local da Usina</t>
  </si>
  <si>
    <t>Composição dos agregados (SEM LIGANTE)</t>
  </si>
  <si>
    <t>MATERIAL</t>
  </si>
  <si>
    <t>Utilização</t>
  </si>
  <si>
    <t>Brita "a"</t>
  </si>
  <si>
    <t>Brita "b"</t>
  </si>
  <si>
    <t>Brita "c"</t>
  </si>
  <si>
    <t>Nome da Brita</t>
  </si>
  <si>
    <t>brita 3/4</t>
  </si>
  <si>
    <t>Pedrisco</t>
  </si>
  <si>
    <t>Pó de pedra</t>
  </si>
  <si>
    <t>Cal Hidratada CH-1 ou Filler</t>
  </si>
  <si>
    <t>% sem ligante</t>
  </si>
  <si>
    <t>Total agregados</t>
  </si>
  <si>
    <t>resumido</t>
  </si>
  <si>
    <t>Composição da MASSA (COM LIGANTE)</t>
  </si>
  <si>
    <t>% COM ligante</t>
  </si>
  <si>
    <t>Traço</t>
  </si>
  <si>
    <t>Total da MASSA</t>
  </si>
  <si>
    <t>Total de LIGANTE</t>
  </si>
  <si>
    <t>TRAÇO 1</t>
  </si>
  <si>
    <t>TRAÇO 3</t>
  </si>
  <si>
    <t>TRAÇO 2</t>
  </si>
  <si>
    <t>"FAIXA B" DER</t>
  </si>
  <si>
    <t>Camada de Ligação  -  BINDER</t>
  </si>
  <si>
    <t>conferência</t>
  </si>
  <si>
    <t>DADOS DO PROJETO MARSHAL</t>
  </si>
  <si>
    <t>FAIXA</t>
  </si>
  <si>
    <t xml:space="preserve">DENSIDADE APARENTE DA MASSA </t>
  </si>
  <si>
    <t>TEÔR ÓTIMO DE LIGANTE</t>
  </si>
  <si>
    <t>% DE CADA AGREGADO</t>
  </si>
  <si>
    <t>COMPOSIÇÃO</t>
  </si>
  <si>
    <t>CÁLCULO DO DA COMPOSIÇÃO</t>
  </si>
  <si>
    <t>Agregados sem Betume</t>
  </si>
  <si>
    <t>Sem Betume</t>
  </si>
  <si>
    <t>CÁLCULO DO DO TRAÇO</t>
  </si>
  <si>
    <t>CÁLCULO DO PERCENTUAL DE AGREADOS NA NASSA</t>
  </si>
  <si>
    <t>Observação :</t>
  </si>
  <si>
    <t xml:space="preserve">O perceentual de Agregados na Massa é: </t>
  </si>
  <si>
    <t>100,00% menos o percentual de betume</t>
  </si>
  <si>
    <t>Percentual de Agregados na Massa</t>
  </si>
  <si>
    <t>Teôr Ótimo de Betume</t>
  </si>
  <si>
    <t>Total da Massa</t>
  </si>
  <si>
    <t>ADMINISTRAÇÃO CENTRAL</t>
  </si>
  <si>
    <t>RISCOS</t>
  </si>
  <si>
    <t>SEGUROS E GRANTIAS</t>
  </si>
  <si>
    <t>DESPESAS FINANCEIRAS</t>
  </si>
  <si>
    <t>DIGITE</t>
  </si>
  <si>
    <t>3- Fórmula de cálculo do ISS</t>
  </si>
  <si>
    <t>4- Valor do ISS calculado (Máximo : 2,50%)</t>
  </si>
  <si>
    <t>Agregados COM Betume</t>
  </si>
  <si>
    <t>Agregados SEM Betume</t>
  </si>
  <si>
    <t>TRAÇO 4</t>
  </si>
  <si>
    <t>DIGITAR SÓ  NAS CÉLULAS COLORIDAS</t>
  </si>
  <si>
    <t>CBUQ "PMQ" (Quant menor que 10.000 ton)</t>
  </si>
  <si>
    <t>CBUQ "PMQ" (Quant maior que 10.000 ton)</t>
  </si>
  <si>
    <t>atualizado : jun/2020</t>
  </si>
  <si>
    <t>ISS =</t>
  </si>
  <si>
    <t>PIS =</t>
  </si>
  <si>
    <t>COFINS =</t>
  </si>
  <si>
    <t>CPMF =</t>
  </si>
  <si>
    <t>TOTAL =</t>
  </si>
  <si>
    <t>TIPO DE SERVIÇO</t>
  </si>
  <si>
    <t>OBRAS</t>
  </si>
  <si>
    <t>MATERIAIS</t>
  </si>
  <si>
    <t>BDI (OBRA OU MATERIAIS/EQUIP.)</t>
  </si>
  <si>
    <t>BDI=(((((1+(C8+C9+C10)/100)*(1+C11/100)*(1+C12/100))/(1-C6/100))-1)*100)</t>
  </si>
  <si>
    <t>BDI (OBRA)</t>
  </si>
  <si>
    <t>BDI (MATERIAIS E EQUIPAMENTOS)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</si>
  <si>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</si>
  <si>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</si>
  <si>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</si>
  <si>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</si>
  <si>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</si>
  <si>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</si>
  <si>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</si>
  <si>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</si>
  <si>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</si>
  <si>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</si>
  <si>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</si>
  <si>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</si>
  <si>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</si>
  <si>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</si>
  <si>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</si>
  <si>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</si>
  <si>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</si>
  <si>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</si>
  <si>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74022/55</t>
  </si>
  <si>
    <t>Paver ou Bloket  e=6cm - sem colchão</t>
  </si>
  <si>
    <t>Paver ou Bloket  Colorido e=6cm - sem colchão</t>
  </si>
  <si>
    <t>Paver ou Bloket  e=8cm - sem colchão</t>
  </si>
  <si>
    <t>Paver ou Bloket  Colorido e=8cm - sem colchão</t>
  </si>
  <si>
    <t>Paver ou Bloket e=10cm - sem colchão</t>
  </si>
  <si>
    <t>Paver ou Bloket  Colorido e=10cm - sem colchão</t>
  </si>
  <si>
    <t>Demolição de Concreto Armado (calçadas e outros)</t>
  </si>
  <si>
    <t>Concreto Símples Fck = 9 Mpa</t>
  </si>
  <si>
    <t>Concreto Fck = 20 Mpa</t>
  </si>
  <si>
    <t>Concreto Fck = 22 Mpa</t>
  </si>
  <si>
    <t>Concreto Fck = 24 Mpa</t>
  </si>
  <si>
    <t>Concreto Fck = 25 Mpa</t>
  </si>
  <si>
    <t>Concreto Fck = 30 Mpa</t>
  </si>
  <si>
    <t>Concreto Fck = 32 Mpa</t>
  </si>
  <si>
    <t>Gabião tipo caixa 2x1x0,50m ZN/AL + PVC  (NBR 8964)</t>
  </si>
  <si>
    <t>Pedra de mão</t>
  </si>
  <si>
    <t>Gabião tipo caixa 2x1x0,50m ZN/AL (NBR 8964)</t>
  </si>
  <si>
    <t>Gabião tipo caixa 2x1x1,00m ZN/AL + PVC (NBR 8964)</t>
  </si>
  <si>
    <t>Gabião tipo caixa 2x1x1,00m ZN/AL (NBR 8964)</t>
  </si>
  <si>
    <t>Gabião tipo colchão ZN/AL + PVC e=0,17m (NBR 8964)</t>
  </si>
  <si>
    <t>Gabião tipo colchão ZN/AL + PVC e=0,23m (NBR 8964)</t>
  </si>
  <si>
    <t>Gabião tipo colchão ZN/AL + PVC e=0,30m (NBR 8964)</t>
  </si>
  <si>
    <t>tubo ø60
610.600</t>
  </si>
  <si>
    <t>l.</t>
  </si>
  <si>
    <t>U</t>
  </si>
  <si>
    <t>V</t>
  </si>
  <si>
    <t>W</t>
  </si>
  <si>
    <t>X</t>
  </si>
  <si>
    <r>
      <t>Pré-Misturado a Frio (Denso)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</si>
  <si>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t>PAV-003</t>
  </si>
  <si>
    <t>PAV-005</t>
  </si>
  <si>
    <t>PAV-085</t>
  </si>
  <si>
    <t>PAV-071</t>
  </si>
  <si>
    <t>PAV-077</t>
  </si>
  <si>
    <t>Arrancamento e reassentamento de Meio-Fio de Concreto com sarjeta</t>
  </si>
  <si>
    <t>Arrancamento de Meio-Fio</t>
  </si>
  <si>
    <t>Plantio de Árvore com altura até 2m</t>
  </si>
  <si>
    <t>Plantio de Árvore com altura de 2m a 4m</t>
  </si>
  <si>
    <t>Plantio de palmeira com altura até 2,00 m</t>
  </si>
  <si>
    <t>Plantio de forração</t>
  </si>
  <si>
    <t>TRANSFORMADOR DE DISTRIBUIÇÃO, 30 KVA, TRIFÁSICO, 60 HZ, CLASSE 15 KV, IMERSO EM ÓLEO MINERAL, INSTALAÇÃO EM POSTE (NÃO INCLUSO SUPORTE) - FORNECIMENTO E INSTALAÇÃO. AF_12/2020</t>
  </si>
  <si>
    <t>TRANSFORMADOR DE DISTRIBUIÇÃO, 45 KVA, TRIFÁSICO, 60 HZ, CLASSE 15 KV, IMERSO EM ÓLEO MINERAL, INSTALAÇÃO EM POSTE (NÃO INCLUSO SUPORTE) - FORNECIMENTO E INSTALAÇÃO. AF_12/2020</t>
  </si>
  <si>
    <t>TRANSFORMADOR DE DISTRIBUIÇÃO, 75 KVA, TRIFÁSICO, 60 HZ, CLASSE 15 KV, IMERSO EM ÓLEO MINERAL, INSTALAÇÃO EM POSTE (NÃO INCLUSO SUPORTE) - FORNECIMENTO E INSTALAÇÃO. AF_12/2020</t>
  </si>
  <si>
    <t>TRANSFORMADOR DE DISTRIBUIÇÃO, 112,5 KVA, TRIFÁSICO, 60 HZ, CLASSE 15 KV, IMERSO EM ÓLEO MINERAL, INSTALAÇÃO EM POSTE (NÃO INCLUSO SUPORTE) - FORNECIMENTO E INSTALAÇÃO. AF_12/2020</t>
  </si>
  <si>
    <t>TRANSFORMADOR DE DISTRIBUIÇÃO, 150 KVA, TRIFÁSICO, 60 HZ, CLASSE 15 KV, IMERSO EM ÓLEO MINERAL, INSTALAÇÃO EM POSTE (NÃO INCLUSO SUPORTE) - FORNECIMENTO E INSTALAÇÃO. AF_12/2020</t>
  </si>
  <si>
    <t>TRANSFORMADOR DE DISTRIBUIÇÃO, 225 KVA, TRIFÁSICO, 60 HZ, CLASSE 15 KV, IMERSO EM ÓLEO MINERAL, INSTALAÇÃO EM POSTE (NÃO INCLUSO SUPORTE) - FORNECIMENTO E INSTALAÇÃO. AF_12/2020</t>
  </si>
  <si>
    <t>TRANSFORMADOR DE DISTRIBUIÇÃO, 300 KVA, TRIFÁSICO, 60 HZ, CLASSE 15 KV, IMERSO EM ÓLEO MINERAL, INSTALAÇÃO EM POSTE (NÃO INCLUSO SUPORTE) - FORNECIMENTO E INSTALAÇÃO. AF_12/2020</t>
  </si>
  <si>
    <t>SUPORTE PARA TRANSFORMADOR EM POSTE DE CONCRETO CIRCULAR - FORNECIMENTO E INSTALAÇÃO. AF_12/2020</t>
  </si>
  <si>
    <t>SUPORTE PARA TRANSFORMADOR EM POSTE DE CONCRETO DUPLO T - FORNECIMENTO E INSTALAÇÃO. AF_12/2020</t>
  </si>
  <si>
    <t>POSTE DECORATIVO PARA JARDIM EM AÇO TUBULAR, H = *2,5* M, SEM LUMINÁRIA - FORNECIMENTO E INSTALAÇÃO. AF_11/2019</t>
  </si>
  <si>
    <t>POSTE DE AÇO CONICO CONTÍNUO CURVO SIMPLES, FLANGEADO, H=9M, INCLUSIVE LUMINÁRIA, SEM LÂMPADA - FORNECIMENTO E INSTALACAO. AF_11/2019</t>
  </si>
  <si>
    <t>POSTE DE AÇO CONICO CONTÍNUO CURVO DUPLO, FLANGEADO, H=9M, INCLUSIVE LUMINÁRIAS, SEM LÂMPADAS - FORNECIMENTO E INSTALACAO. AF_11/2019</t>
  </si>
  <si>
    <t>POSTE DE AÇO CONICO CONTÍNUO CURVO SIMPLES, ENGASTADO, H=9M, INCLUSIVE LUMINÁRIA, SEM LÂMPADA - FORNECIMENTO E INSTALACAO. AF_11/2019</t>
  </si>
  <si>
    <t>POSTE DE AÇO CONICO CONTÍNUO CURVO DUPLO, ENGASTADO, H=9M, INCLUSIVE LUMINÁRIAS, SEM LÂMPADAS - FORNECIMENTO E INSTALACAO. AF_11/2019</t>
  </si>
  <si>
    <t>ASSENTAMENTO DE POSTE DE CONCRETO COM COMPRIMENTO NOMINAL DE 9 M, CARGA NOMINAL MENOR OU IGUAL A 1000 DAN, ENGASTAMENTO SIMPLES COM 1,5 M DE SOLO (NÃO INCLUI FORNECIMENTO). AF_11/2019</t>
  </si>
  <si>
    <t>ASSENTAMENTO DE POSTE DE CONCRETO COM COMPRIMENTO NOMINAL DE 10 M, CARGA NOMINAL MENOR OU IGUAL A 1000 DAN, ENGASTAMENTO SIMPLES COM 1,6 M DE SOLO (NÃO INCLUI FORNECIMENTO). AF_11/2019</t>
  </si>
  <si>
    <t>ASSENTAMENTO DE POSTE DE CONCRETO COM COMPRIMENTO NOMINAL DE 10 M, CARGA NOMINAL MAIOR QUE 1000 DAN, ENGASTAMENTO SIMPLES COM 1,6 M DE SOLO (NÃO INCLUI FORNECIMENTO). AF_11/2019</t>
  </si>
  <si>
    <t>ASSENTAMENTO DE POSTE DE CONCRETO COM COMPRIMENTO NOMINAL DE 10,5 M, CARGA NOMINAL MENOR OU IGUAL A 1000 DAN, ENGASTAMENTO SIMPLES COM 1,65 M DE SOLO (NÃO INCLUI FORNECIMENTO). AF_11/2019</t>
  </si>
  <si>
    <t>ASSENTAMENTO DE POSTE DE CONCRETO COM COMPRIMENTO NOMINAL DE 10,5 M, CARGA NOMINAL MAIOR QUE 1000 DAN, ENGASTAMENTO SIMPLES COM 1,65 M DE SOLO (NÃO INCLUI FORNECIMENTO). AF_11/2019</t>
  </si>
  <si>
    <t>ASSENTAMENTO DE POSTE DE CONCRETO COM COMPRIMENTO NOMINAL DE 11 M, CARGA NOMINAL MENOR OU IGUAL A 1000 DAN, ENGASTAMENTO SIMPLES COM 1,7 M DE SOLO (NÃO INCLUI FORNECIMENTO). AF_11/2019</t>
  </si>
  <si>
    <t>ASSENTAMENTO DE POSTE DE CONCRETO COM COMPRIMENTO NOMINAL DE 11 M, CARGA NOMINAL MAIOR QUE 1000 DAN, ENGASTAMENTO SIMPLES COM 1,7 M DE SOLO (NÃO INCLUI FORNECIMENTO). AF_11/2019</t>
  </si>
  <si>
    <t>ASSENTAMENTO DE POSTE DE CONCRETO COM COMPRIMENTO NOMINAL DE 12 M, CARGA NOMINAL MENOR OU IGUAL A 1000 DAN, ENGASTAMENTO SIMPLES COM 1,8 M DE SOLO (NÃO INCLUI FORNECIMENTO). AF_11/2019</t>
  </si>
  <si>
    <t>ASSENTAMENTO DE POSTE DE CONCRETO COM COMPRIMENTO NOMINAL DE 12 M, CARGA NOMINAL MAIOR QUE 1000 DAN, ENGASTAMENTO SIMPLES COM 1,8 M DE SOLO (NÃO INCLUI FORNECIMENTO). AF_11/2019</t>
  </si>
  <si>
    <t>ASSENTAMENTO DE POSTE DE CONCRETO COM COMPRIMENTO NOMINAL DE 13 M, CARGA NOMINAL MENOR OU IGUAL A 1000 DAN, ENGASTAMENTO SIMPLES COM 1,9 M DE SOLO (NÃO INCLUI FORNECIMENTO). AF_11/2019</t>
  </si>
  <si>
    <t>ASSENTAMENTO DE POSTE DE CONCRETO COM COMPRIMENTO NOMINAL DE 13 M, CARGA NOMINAL MAIOR QUE 1000 DAN, ENGASTAMENTO SIMPLES COM 1,9 M DE SOLO (NÃO INCLUI FORNECIMENTO). AF_11/2019</t>
  </si>
  <si>
    <t>ASSENTAMENTO DE POSTE DE CONCRETO COM COMPRIMENTO NOMINAL DE 13,5 M, CARGA NOMINAL MENOR OU IGUAL A 1000 DAN, ENGASTAMENTO SIMPLES COM 1,95 M DE SOLO (NÃO INCLUI FORNECIMENTO). AF_11/2019</t>
  </si>
  <si>
    <t>ASSENTAMENTO DE POSTE DE CONCRETO COM COMPRIMENTO NOMINAL DE 13,5 M, CARGA NOMINAL MAIOR QUE 1000 DAN, ENGASTAMENTO SIMPLES COM 1,95 M DE SOLO (NÃO INCLUI FORNECIMENTO). AF_11/2019</t>
  </si>
  <si>
    <t>ASSENTAMENTO DE POSTE DE CONCRETO COM COMPRIMENTO NOMINAL DE 14 M, CARGA NOMINAL MENOR OU IGUAL A 1000 DAN, ENGASTAMENTO SIMPLES COM 2 M DE SOLO (NÃO INCLUI FORNECIMENTO). AF_11/2019</t>
  </si>
  <si>
    <t>ASSENTAMENTO DE POSTE DE CONCRETO COM COMPRIMENTO NOMINAL DE 14 M, CARGA NOMINAL MAIOR QUE 1000 DAN, ENGASTAMENTO SIMPLES COM 2 M DE SOLO (NÃO INCLUI FORNECIMENTO). AF_11/2019</t>
  </si>
  <si>
    <t>ASSENTAMENTO DE POSTE DE CONCRETO COM COMPRIMENTO NOMINAL DE 15 M, CARGA NOMINAL MENOR OU IGUAL A 1000 DAN, ENGASTAMENTO SIMPLES COM 2,1 M DE SOLO (NÃO INCLUI FORNECIMENTO). AF_11/2019</t>
  </si>
  <si>
    <t>ASSENTAMENTO DE POSTE DE CONCRETO COM COMPRIMENTO NOMINAL DE 15 M, CARGA NOMINAL MAIOR QUE 1000 DAN, ENGASTAMENTO SIMPLES COM 2,1 M DE SOLO (NÃO INCLUI FORNECIMENTO). AF_11/2019</t>
  </si>
  <si>
    <t>ASSENTAMENTO DE POSTE DE CONCRETO COM COMPRIMENTO NOMINAL DE 18 M, CARGA NOMINAL MENOR OU IGUAL A 1000 DAN, ENGASTAMENTO SIMPLES COM 2,4 M DE SOLO (NÃO INCLUI FORNECIMENTO). AF_11/2019</t>
  </si>
  <si>
    <t>ASSENTAMENTO DE POSTE DE CONCRETO COM COMPRIMENTO NOMINAL DE 18 M, CARGA NOMINAL MAIOR QUE 1000 DAN, ENGASTAMENTO SIMPLES COM 2,4 M DE SOLO (NÃO INCLUI FORNECIMENTO). AF_11/2019</t>
  </si>
  <si>
    <t>ASSENTAMENTO DE POSTE DE CONCRETO COM COMPRIMENTO NOMINAL DE 20 M, CARGA NOMINAL MENOR OU IGUAL A 1000 DAN, ENGASTAMENTO SIMPLES COM 2,6 M DE SOLO (NÃO INCLUI FORNECIMENTO). AF_11/2019</t>
  </si>
  <si>
    <t>ASSENTAMENTO DE POSTE DE CONCRETO COM COMPRIMENTO NOMINAL DE 20 M, CARGA NOMINAL MAIOR QUE 1000, ENGASTAMENTO SIMPLES COM 2,6 M DE SOLO (NÃO INCLUI FORNECIMENTO). AF_11/2019</t>
  </si>
  <si>
    <t>ASSENTAMENTO DE POSTE DE CONCRETO COM COMPRIMENTO NOMINAL DE 9 M, CARGA NOMINAL DE 150 DAN, ENGASTAMENTO BASE CONCRETADA COM 1 M DE CONCRETO E 0,5 M DE SOLO (NÃO INCLUI FORNECIMENTO). AF_11/2019</t>
  </si>
  <si>
    <t>ASSENTAMENTO DE POSTE DE CONCRETO COM COMPRIMENTO NOMINAL DE 9 M, CARGA NOMINAL DE 300 DAN, ENGASTAMENTO BASE CONCRETADA COM 1 M DE CONCRETO E 0,5 M DE SOLO (NÃO INCLUI FORNECIMENTO). AF_11/2019</t>
  </si>
  <si>
    <t>ASSENTAMENTO DE POSTE DE CONCRETO COM COMPRIMENTO NOMINAL DE 9 M, CARGA NOMINAL DE 400 DAN, ENGASTAMENTO BASE CONCRETADA COM 1 M DE CONCRETO E 0,5 M DE SOLO (NÃO INCLUI FORNECIMENTO). AF_11/2019</t>
  </si>
  <si>
    <t>ASSENTAMENTO DE POSTE DE CONCRETO COM COMPRIMENTO NOMINAL DE 9 M, CARGA NOMINAL DE 600 DAN, ENGASTAMENTO BASE CONCRETADA COM 1 M DE CONCRETO E 0,5 M DE SOLO (NÃO INCLUI FORNECIMENTO). AF_11/2019</t>
  </si>
  <si>
    <t>ASSENTAMENTO DE POSTE DE CONCRETO COM COMPRIMENTO NOMINAL DE 9 M, CARGA NOMINAL DE 1000 DAN, ENGASTAMENTO BASE CONCRETADA COM 1 M DE CONCRETO E 0,5 M DE SOLO (NÃO INCLUI FORNECIMENTO). AF_11/2019</t>
  </si>
  <si>
    <t>ASSENTAMENTO DE POSTE DE CONCRETO COM COMPRIMENTO NOMINAL DE 10 M, CARGA NOMINAL DE 300 DAN, ENGASTAMENTO BASE CONCRETADA COM 1 M DE CONCRETO E 0,6 M DE SOLO (NÃO INCLUI FORNECIMENTO). AF_11/2019</t>
  </si>
  <si>
    <t>ASSENTAMENTO DE POSTE DE CONCRETO COM COMPRIMENTO NOMINAL DE 10 M, CARGA NOMINAL DE 600 DAN, ENGASTAMENTO BASE CONCRETADA COM 1 M DE CONCRETO E 0,6 M DE SOLO (NÃO INCLUI FORNECIMENTO). AF_11/2019</t>
  </si>
  <si>
    <t>ASSENTAMENTO DE POSTE DE CONCRETO COM COMPRIMENTO NOMINAL DE 10 M, CARGA NOMINAL DE 1000 DAN, ENGASTAMENTO BASE CONCRETADA COM 1 M DE CONCRETO E 0,6 M DE SOLO (NÃO INCLUI FORNECIMENTO). AF_11/2019</t>
  </si>
  <si>
    <t>ASSENTAMENTO DE POSTE DE CONCRETO COM COMPRIMENTO NOMINAL DE 10,5 M, CARGA NOMINAL DE 300 DAN, ENGASTAMENTO BASE CONCRETADA COM 1 M DE CONCRETO E 0,65 M DE SOLO (NÃO INCLUI FORNECIMENTO). AF_11/2019</t>
  </si>
  <si>
    <t>ASSENTAMENTO DE POSTE DE CONCRETO COM COMPRIMENTO NOMINAL DE 10,5 M, CARGA NOMINAL DE 600 DAN, ENGASTAMENTO BASE CONCRETADA COM 1 M DE CONCRETO E 0,65 M DE SOLO (NÃO INCLUI FORNECIMENTO). AF_11/2019</t>
  </si>
  <si>
    <t>ASSENTAMENTO DE POSTE DE CONCRETO COM COMPRIMENTO NOMINAL DE 10,5 M, CARGA NOMINAL DE 1000 DAN, ENGASTAMENTO BASE CONCRETADA COM 1 M DE CONCRETO E 0,65 M DE SOLO (NÃO INCLUI FORNECIMENTO). AF_11/2019</t>
  </si>
  <si>
    <t>ASSENTAMENTO DE POSTE DE CONCRETO COM COMPRIMENTO NOMINAL DE 11 M, CARGA NOMINAL DE 300 DAN, ENGASTAMENTO BASE CONCRETADA COM 1 M DE CONCRETO E 0,7 M DE SOLO (NÃO INCLUI FORNECIMENTO). AF_11/2019</t>
  </si>
  <si>
    <t>ASSENTAMENTO DE POSTE DE CONCRETO COM COMPRIMENTO NOMINAL DE 11 M, CARGA NOMINAL DE 400 DAN, ENGASTAMENTO BASE CONCRETADA COM 1 M DE CONCRETO E 0,7 M DE SOLO (NÃO INCLUI FORNECIMENTO). AF_11/2019</t>
  </si>
  <si>
    <t>ASSENTAMENTO DE POSTE DE CONCRETO COM COMPRIMENTO NOMINAL DE 11 M, CARGA NOMINAL DE 600 DAN, ENGASTAMENTO BASE CONCRETADA COM 1 M DE CONCRETO E 0,7 M DE SOLO (NÃO INCLUI FORNECIMENTO). AF_11/2019</t>
  </si>
  <si>
    <t>ASSENTAMENTO DE POSTE DE CONCRETO COM COMPRIMENTO NOMINAL DE 11 M, CARGA NOMINAL DE 1000 DAN, ENGASTAMENTO BASE CONCRETADA COM 1 M DE CONCRETO E 0,7 M DE SOLO (NÃO INCLUI FORNECIMENTO). AF_11/2019</t>
  </si>
  <si>
    <t>ASSENTAMENTO DE POSTE DE CONCRETO COM COMPRIMENTO NOMINAL DE 12 M, CARGA NOMINAL DE 400 DAN, ENGASTAMENTO BASE CONCRETADA COM 1 M DE CONCRETO E 0,8 M DE SOLO (NÃO INCLUI FORNECIMENTO). AF_11/2019</t>
  </si>
  <si>
    <t>ASSENTAMENTO DE POSTE DE CONCRETO COM COMPRIMENTO NOMINAL DE 12 M, CARGA NOMINAL DE 600 DAN, ENGASTAMENTO BASE CONCRETADA COM 1 M DE CONCRETO E 0,8 M DE SOLO (NÃO INCLUI FORNECIMENTO). AF_11/2019</t>
  </si>
  <si>
    <t>ASSENTAMENTO DE POSTE DE CONCRETO COM COMPRIMENTO NOMINAL DE 12 M, CARGA NOMINAL DE 1000 DAN, ENGASTAMENTO BASE CONCRETADA COM 1 M DE CONCRETO E 0,8 M DE SOLO (NÃO INCLUI FORNECIMENTO). AF_11/2019</t>
  </si>
  <si>
    <t>ASSENTAMENTO DE POSTE DE CONCRETO COM COMPRIMENTO NOMINAL DE 13 M, CARGA NOMINAL DE 600 DAN, ENGASTAMENTO BASE CONCRETADA COM 1 M DE CONCRETO E 0,9 M DE SOLO (NÃO INCLUI FORNECIMENTO). AF_11/2019</t>
  </si>
  <si>
    <t>ASSENTAMENTO DE POSTE DE CONCRETO COM COMPRIMENTO NOMINAL DE 13 M, CARGA NOMINAL DE 1000 DAN, ENGASTAMENTO BASE CONCRETADA COM 1 M DE CONCRETO E 0,9 M DE SOLO - SOMENTE INSTALAÇÃO, SEM FORNECIMENTO. AF_11/2019</t>
  </si>
  <si>
    <t>REMOÇÃO DE INTERRUPTORES/TOMADAS ELÉTRICAS, DE FORMA MANUAL, SEM REAPROVEITAMENTO. AF_12/2017</t>
  </si>
  <si>
    <t>RASGO EM ALVENARIA PARA ELETRODUTOS COM DIAMETROS MENORES OU IGUAIS A 40 MM. AF_05/2015</t>
  </si>
  <si>
    <t>QUEBRA EM ALVENARIA PARA INSTALAÇÃO DE CAIXA DE TOMADA (4X4 OU 4X2). AF_05/2015</t>
  </si>
  <si>
    <t>QUEBRA EM ALVENARIA PARA INSTALAÇÃO DE QUADRO DISTRIBUIÇÃO PEQUENO (19X25 CM). AF_05/2015</t>
  </si>
  <si>
    <t>QUEBRA EM ALVENARIA PARA INSTALAÇÃO DE QUADRO DISTRIBUIÇÃO GRANDE (76X40 CM). AF_05/2015</t>
  </si>
  <si>
    <t>CAIXA DE PROTEÇÃO PARA MEDIDOR MONOFÁSICO DE EMBUTIR - FORNECIMENTO E INSTALAÇÃO. AF_10/2020</t>
  </si>
  <si>
    <t>ENTRADA DE ENERGIA ELÉTRICA, AÉREA, MONOFÁSICA, COM CAIXA DE SOBREPOR, CABO DE 10 MM2 E DISJUNTOR DIN 50A (NÃO INCLUSO O POSTE DE CONCRETO). AF_07/2020_P</t>
  </si>
  <si>
    <t>ENTRADA DE ENERGIA ELÉTRICA, AÉREA, MONOFÁSICA, COM CAIXA DE SOBREPOR, CABO DE 16 MM2 E DISJUNTOR DIN 50A (NÃO INCLUSO O POSTE DE CONCRETO). AF_07/2020_P</t>
  </si>
  <si>
    <t>ENTRADA DE ENERGIA ELÉTRICA, AÉREA, MONOFÁSICA, COM CAIXA DE SOBREPOR, CABO DE 25 MM2 E DISJUNTOR DIN 50A (NÃO INCLUSO O POSTE DE CONCRETO). AF_07/2020_P</t>
  </si>
  <si>
    <t>ENTRADA DE ENERGIA ELÉTRICA, AÉREA, MONOFÁSICA, COM CAIXA DE SOBREPOR, CABO DE 35 MM2 E DISJUNTOR DIN 50A (NÃO INCLUSO O POSTE DE CONCRETO). AF_07/2020_P</t>
  </si>
  <si>
    <t>ENTRADA DE ENERGIA ELÉTRICA, AÉREA, MONOFÁSICA, COM CAIXA DE EMBUTIR, CABO DE 10 MM2 E DISJUNTOR DIN 50A (NÃO INCLUSO O POSTE DE CONCRETO). AF_07/2020_P</t>
  </si>
  <si>
    <t>ENTRADA DE ENERGIA ELÉTRICA, AÉREA, MONOFÁSICA, COM CAIXA DE EMBUTIR, CABO DE 16 MM2 E DISJUNTOR DIN 50A (NÃO INCLUSO O POSTE DE CONCRETO). AF_07/2020_P</t>
  </si>
  <si>
    <t>ENTRADA DE ENERGIA ELÉTRICA, AÉREA, MONOFÁSICA, COM CAIXA DE EMBUTIR, CABO DE 25 MM2 E DISJUNTOR DIN 50A (NÃO INCLUSO O POSTE DE CONCRETO). AF_07/2020_P</t>
  </si>
  <si>
    <t>ENTRADA DE ENERGIA ELÉTRICA, AÉREA, MONOFÁSICA, COM CAIXA DE EMBUTIR, CABO DE 35 MM2 E DISJUNTOR DIN 50A (NÃO INCLUSO O POSTE DE CONCRETO). AF_07/2020_P</t>
  </si>
  <si>
    <t>ENTRADA DE ENERGIA ELÉTRICA, AÉREA, BIFÁSICA, COM CAIXA DE SOBREPOR, CABO DE 10 MM2 E DISJUNTOR DIN 50A (NÃO INCLUSO O POSTE DE CONCRETO). AF_07/2020_P</t>
  </si>
  <si>
    <t>ENTRADA DE ENERGIA ELÉTRICA, AÉREA, BIFÁSICA, COM CAIXA DE SOBREPOR, CABO DE 16 MM2 E DISJUNTOR DIN 50A (NÃO INCLUSO O POSTE DE CONCRETO). AF_07/2020_P</t>
  </si>
  <si>
    <t>ENTRADA DE ENERGIA ELÉTRICA, AÉREA, BIFÁSICA, COM CAIXA DE SOBREPOR, CABO DE 25 MM2 E DISJUNTOR DIN 50A (NÃO INCLUSO O POSTE DE CONCRETO). AF_07/2020_P</t>
  </si>
  <si>
    <t>ENTRADA DE ENERGIA ELÉTRICA, AÉREA, BIFÁSICA, COM CAIXA DE SOBREPOR, CABO DE 35 MM2 E DISJUNTOR DIN 50A (NÃO INCLUSO O POSTE DE CONCRETO). AF_07/2020_P</t>
  </si>
  <si>
    <t>ENTRADA DE ENERGIA ELÉTRICA, AÉREA, BIFÁSICA, COM CAIXA DE EMBUTIR, CABO DE 10 MM2 E DISJUNTOR DIN 50A (NÃO INCLUSO O POSTE DE CONCRETO). AF_07/2020_P</t>
  </si>
  <si>
    <t>ENTRADA DE ENERGIA ELÉTRICA, AÉREA, BIFÁSICA, COM CAIXA DE EMBUTIR, CABO DE 16 MM2 E DISJUNTOR DIN 50A (NÃO INCLUSO O POSTE DE CONCRETO). AF_07/2020_P</t>
  </si>
  <si>
    <t>ENTRADA DE ENERGIA ELÉTRICA, AÉREA, BIFÁSICA, COM CAIXA DE EMBUTIR, CABO DE 25 MM2 E DISJUNTOR DIN 50A (NÃO INCLUSO O POSTE DE CONCRETO). AF_07/2020_P</t>
  </si>
  <si>
    <t>ENTRADA DE ENERGIA ELÉTRICA, AÉREA, BIFÁSICA, COM CAIXA DE EMBUTIR, CABO DE 35 MM2 E DISJUNTOR DIN 50A (NÃO INCLUSO O POSTE DE CONCRETO). AF_07/2020_P</t>
  </si>
  <si>
    <t>ENTRADA DE ENERGIA ELÉTRICA, AÉREA, TRIFÁSICA, COM CAIXA DE SOBREPOR, CABO DE 10 MM2 E DISJUNTOR DIN 50A (NÃO INCLUSO O POSTE DE CONCRETO). AF_07/2020_P</t>
  </si>
  <si>
    <t>ENTRADA DE ENERGIA ELÉTRICA, AÉREA, TRIFÁSICA, COM CAIXA DE SOBREPOR, CABO DE 16 MM2 E DISJUNTOR DIN 50A (NÃO INCLUSO O POSTE DE CONCRETO). AF_07/2020_P</t>
  </si>
  <si>
    <t>ENTRADA DE ENERGIA ELÉTRICA, AÉREA, TRIFÁSICA, COM CAIXA DE SOBREPOR, CABO DE 25 MM2 E DISJUNTOR DIN 50A (NÃO INCLUSO O POSTE DE CONCRETO). AF_07/2020_P</t>
  </si>
  <si>
    <t>ENTRADA DE ENERGIA ELÉTRICA, AÉREA, TRIFÁSICA, COM CAIXA DE SOBREPOR, CABO DE 35 MM2 E DISJUNTOR DIN 50A (NÃO INCLUSO O POSTE DE CONCRETO). AF_07/2020_P</t>
  </si>
  <si>
    <t>ENTRADA DE ENERGIA ELÉTRICA, AÉREA, TRIFÁSICA, COM CAIXA DE EMBUTIR, CABO DE 10 MM2 E DISJUNTOR DIN 50A (NÃO INCLUSO O POSTE DE CONCRETO). AF_07/2020</t>
  </si>
  <si>
    <t>ENTRADA DE ENERGIA ELÉTRICA, AÉREA, TRIFÁSICA, COM CAIXA DE EMBUTIR, CABO DE 16 MM2 E DISJUNTOR DIN 50A (NÃO INCLUSO O POSTE DE CONCRETO). AF_07/2020</t>
  </si>
  <si>
    <t>ENTRADA DE ENERGIA ELÉTRICA, AÉREA, TRIFÁSICA, COM CAIXA DE EMBUTIR, CABO DE 25 MM2 E DISJUNTOR DIN 50A (NÃO INCLUSO O POSTE DE CONCRETO). AF_07/2020</t>
  </si>
  <si>
    <t>ENTRADA DE ENERGIA ELÉTRICA, AÉREA, TRIFÁSICA, COM CAIXA DE EMBUTIR, CABO DE 35 MM2 E DISJUNTOR DIN 50A (NÃO INCLUSO O POSTE DE CONCRETO). AF_07/2020</t>
  </si>
  <si>
    <t>ENTRADA DE ENERGIA ELÉTRICA, SUBTERRÂNEA, MONOFÁSICA, COM CAIXA DE SOBREPOR, CABO DE 10 MM2 E DISJUNTOR DIN 50A (NÃO INCLUSA MURETA DE ALVENARIA). AF_07/2020_P</t>
  </si>
  <si>
    <t>ENTRADA DE ENERGIA ELÉTRICA, SUBTERRÂNEA, MONOFÁSICA, COM CAIXA DE SOBREPOR, CABO DE 16 MM2 E DISJUNTOR DIN 50A (NÃO INCLUSA MURETA DE ALVENARIA). AF_07/2020_P</t>
  </si>
  <si>
    <t>ENTRADA DE ENERGIA ELÉTRICA, SUBTERRÂNEA, MONOFÁSICA, COM CAIXA DE SOBREPOR, CABO DE 25 MM2 E DISJUNTOR DIN 50A (NÃO INCLUSA MURETA DE ALVENARIA). AF_07/2020_P</t>
  </si>
  <si>
    <t>ENTRADA DE ENERGIA ELÉTRICA, SUBTERRÂNEA, MONOFÁSICA, COM CAIXA DE SOBREPOR, CABO DE 35 MM2 E DISJUNTOR DIN 50A (NÃO INCLUSA MURETA DE ALVENARIA). AF_07/2020_P</t>
  </si>
  <si>
    <t>ENTRADA DE ENERGIA ELÉTRICA, SUBTERRÂNEA, MONOFÁSICA, COM CAIXA DE EMBUTIR, CABO DE 10 MM2 E DISJUNTOR DIN 50A (NÃO INCLUSA MURETA DE ALVENARIA). AF_07/2020_P</t>
  </si>
  <si>
    <t>ENTRADA DE ENERGIA ELÉTRICA, SUBTERRÂNEA, MONOFÁSICA, COM CAIXA DE EMBUTIR, CABO DE 16 MM2 E DISJUNTOR DIN 50A (NÃO INCLUSA MURETA DE ALVENARIA). AF_07/2020_P</t>
  </si>
  <si>
    <t>ENTRADA DE ENERGIA ELÉTRICA, SUBTERRÂNEA, MONOFÁSICA, COM CAIXA DE EMBUTIR, CABO DE 25 MM2 E DISJUNTOR DIN 50A (NÃO INCLUSA MURETA DE ALVENARIA). AF_07/2020_P</t>
  </si>
  <si>
    <t>ENTRADA DE ENERGIA ELÉTRICA, SUBTERRÂNEA, MONOFÁSICA, COM CAIXA DE EMBUTIR, CABO DE 35 MM2 E DISJUNTOR DIN 50A (NÃO INCLUSA MURETA DE ALVENARIA). AF_07/2020_P</t>
  </si>
  <si>
    <t>ENTRADA DE ENERGIA ELÉTRICA, SUBTERRÂNEA, BIFÁSICA, COM CAIXA DE SOBREPOR, CABO DE 10 MM2 E DISJUNTOR DIN 50A (NÃO INCLUSA MURETA DE ALVENARIA). AF_07/2020_P</t>
  </si>
  <si>
    <t>ENTRADA DE ENERGIA ELÉTRICA, SUBTERRÂNEA, BIFÁSICA, COM CAIXA DE SOBREPOR, CABO DE 16 MM2 E DISJUNTOR DIN 50A (NÃO INCLUSA MURETA DE ALVENARIA). AF_07/2020_P</t>
  </si>
  <si>
    <t>ENTRADA DE ENERGIA ELÉTRICA, SUBTERRÂNEA, BIFÁSICA, COM CAIXA DE SOBREPOR, CABO DE 25 MM2 E DISJUNTOR DIN 50A (NÃO INCLUSA MURETA DE ALVENARIA). AF_07/2020_P</t>
  </si>
  <si>
    <t>ENTRADA DE ENERGIA ELÉTRICA, SUBTERRÂNEA, BIFÁSICA, COM CAIXA DE SOBREPOR, CABO DE 35 MM2 E DISJUNTOR DIN 50A (NÃO INCLUSA MURETA DE ALVENARIA). AF_07/2020_P</t>
  </si>
  <si>
    <t>ENTRADA DE ENERGIA ELÉTRICA, SUBTERRÂNEA, BIFÁSICA, COM CAIXA DE EMBUTIR, CABO DE 10 MM2 E DISJUNTOR DIN 50A (NÃO INCLUSA MURETA DE ALVENARIA). AF_07/2020_P</t>
  </si>
  <si>
    <t>ENTRADA DE ENERGIA ELÉTRICA, SUBTERRÂNEA, BIFÁSICA, COM CAIXA DE EMBUTIR, CABO DE 16 MM2 E DISJUNTOR DIN 50A (NÃO INCLUSA MURETA DE ALVENARIA). AF_07/2020_P</t>
  </si>
  <si>
    <t>ENTRADA DE ENERGIA ELÉTRICA, SUBTERRÂNEA, BIFÁSICA, COM CAIXA DE EMBUTIR, CABO DE 25 MM2 E DISJUNTOR DIN 50A (NÃO INCLUSA MURETA DE ALVENARIA). AF_07/2020_P</t>
  </si>
  <si>
    <t>ENTRADA DE ENERGIA ELÉTRICA, SUBTERRÂNEA, BIFÁSICA, COM CAIXA DE EMBUTIR, CABO DE 35 MM2 E DISJUNTOR DIN 50A (NÃO INCLUSA MURETA DE ALVENARIA). AF_07/2020_P</t>
  </si>
  <si>
    <t>ENTRADA DE ENERGIA ELÉTRICA, SUBTERRÂNEA, TRIFÁSICA, COM CAIXA DE SOBREPOR, CABO DE 10 MM2 E DISJUNTOR DIN 50A (NÃO INCLUSA MURETA DE ALVENARIA). AF_07/2020_P</t>
  </si>
  <si>
    <t>ENTRADA DE ENERGIA ELÉTRICA, SUBTERRÂNEA, TRIFÁSICA, COM CAIXA DE SOBREPOR, CABO DE 16 MM2 E DISJUNTOR DIN 50A (NÃO INCLUSA MURETA DE ALVENARIA). AF_07/2020_P</t>
  </si>
  <si>
    <t>ENTRADA DE ENERGIA ELÉTRICA, SUBTERRÂNEA, TRIFÁSICA, COM CAIXA DE SOBREPOR, CABO DE 25 MM2 E DISJUNTOR DIN 50A (NÃO INCLUSA MURETA DE ALVENARIA). AF_07/2020_P</t>
  </si>
  <si>
    <t>ENTRADA DE ENERGIA ELÉTRICA, SUBTERRÂNEA, TRIFÁSICA, COM CAIXA DE SOBREPOR, CABO DE 35 MM2 E DISJUNTOR DIN 50A (NÃO INCLUSA MURETA DE ALVENARIA). AF_07/2020_P</t>
  </si>
  <si>
    <t>ENTRADA DE ENERGIA ELÉTRICA, SUBTERRÂNEA, TRIFÁSICA, COM CAIXA DE EMBUTIR, CABO DE 10 MM2 E DISJUNTOR DIN 50A (NÃO INCLUSA MURETA DE ALVENARIA). AF_07/2020</t>
  </si>
  <si>
    <t>ENTRADA DE ENERGIA ELÉTRICA, SUBTERRÂNEA, TRIFÁSICA, COM CAIXA DE EMBUTIR, CABO DE 16 MM2 E DISJUNTOR DIN 50A (NÃO INCLUSA MURETA DE ALVENARIA). AF_07/2020</t>
  </si>
  <si>
    <t>ENTRADA DE ENERGIA ELÉTRICA, SUBTERRÂNEA, TRIFÁSICA, COM CAIXA DE EMBUTIR, CABO DE 25 MM2 E DISJUNTOR DIN 50A (NÃO INCLUSA MURETA DE ALVENARIA). AF_07/2020</t>
  </si>
  <si>
    <t>ENTRADA DE ENERGIA ELÉTRICA, SUBTERRÂNEA, TRIFÁSICA, COM CAIXA DE EMBUTIR, CABO DE 35 MM2 E DISJUNTOR DIN 50A (NÃO INCLUSA MURETA DE ALVENARIA). AF_07/2020</t>
  </si>
  <si>
    <t>16.105.000030.SER</t>
  </si>
  <si>
    <t>16.105.000031.SER</t>
  </si>
  <si>
    <t>16.105.000032.SER</t>
  </si>
  <si>
    <t>16.105.000033.SER</t>
  </si>
  <si>
    <t>Entrada de energia em poste próprio da edificação com potência instalada de 15 a 20 KW</t>
  </si>
  <si>
    <t>16.105.000034.SER</t>
  </si>
  <si>
    <t>Entrada de energia em poste próprio da edificação com potência instalada de 20 a 25 KW</t>
  </si>
  <si>
    <t>16.105.000035.SER</t>
  </si>
  <si>
    <t>Entrada de energia em poste próprio da edificação com potência instalada de 25 a 30 KW</t>
  </si>
  <si>
    <t>ELETRODUTO PVC 40MM (1 ¼ ) PARA SPDA - FORNECIMENTO E INSTALAÇÃO. AF_12/2017</t>
  </si>
  <si>
    <t>ELETRODUTO FLEXÍVEL CORRUGADO, PVC, DN 20 MM (1/2"), PARA CIRCUITOS TERMINAIS, INSTALADO EM FORRO - FORNECIMENTO E INSTALAÇÃO. AF_12/2015</t>
  </si>
  <si>
    <t>ELETRODUTO FLEXÍVEL CORRUGADO, PVC, DN 25 MM (3/4"), PARA CIRCUITOS TERMINAIS, INSTALADO EM FORRO - FORNECIMENTO E INSTALAÇÃO. AF_12/2015</t>
  </si>
  <si>
    <t>ELETRODUTO FLEXÍVEL CORRUGADO, PVC, DN 32 MM (1"), PARA CIRCUITOS TERMINAIS, INSTALADO EM FORRO - FORNECIMENTO E INSTALAÇÃO. AF_12/2015</t>
  </si>
  <si>
    <t>ELETRODUTO FLEXÍVEL CORRUGADO, PVC, DN 20 MM (1/2"), PARA CIRCUITOS TERMINAIS, INSTALADO EM LAJE - FORNECIMENTO E INSTALAÇÃO. AF_12/2015</t>
  </si>
  <si>
    <t>ELETRODUTO FLEXÍVEL CORRUGADO, PVC, DN 25 MM (3/4"), PARA CIRCUITOS TERMINAIS, INSTALADO EM LAJE - FORNECIMENTO E INSTALAÇÃO. AF_12/2015</t>
  </si>
  <si>
    <t>ELETRODUTO FLEXÍVEL CORRUGADO, PVC, DN 32 MM (1"), PARA CIRCUITOS TERMINAIS, INSTALADO EM LAJE - FORNECIMENTO E INSTALAÇÃO. AF_12/2015</t>
  </si>
  <si>
    <t>ELETRODUTO FLEXÍVEL CORRUGADO, PVC, DN 20 MM (1/2"), PARA CIRCUITOS TERMINAIS, INSTALADO EM PAREDE - FORNECIMENTO E INSTALAÇÃO. AF_12/2015</t>
  </si>
  <si>
    <t>ELETRODUTO FLEXÍVEL CORRUGADO, PVC, DN 25 MM (3/4"), PARA CIRCUITOS TERMINAIS, INSTALADO EM PAREDE - FORNECIMENTO E INSTALAÇÃO. AF_12/2015</t>
  </si>
  <si>
    <t>ELETRODUTO FLEXÍVEL CORRUGADO, PVC, DN 32 MM (1"), PARA CIRCUITOS TERMINAIS, INSTALADO EM PAREDE - FORNECIMENTO E INSTALAÇÃO. AF_12/2015</t>
  </si>
  <si>
    <t>ELETRODUTO FLEXÍVEL CORRUGADO REFORÇADO, PVC, DN 20 MM (1/2"), PARA CIRCUITOS TERMINAIS, INSTALADO EM FORRO - FORNECIMENTO E INSTALAÇÃO. AF_12/2015</t>
  </si>
  <si>
    <t>ELETRODUTO FLEXÍVEL CORRUGADO REFORÇADO, PVC, DN 25 MM (3/4"), PARA CIRCUITOS TERMINAIS, INSTALADO EM FORRO - FORNECIMENTO E INSTALAÇÃO. AF_12/2015</t>
  </si>
  <si>
    <t>ELETRODUTO FLEXÍVEL CORRUGADO REFORÇADO, PVC, DN 32 MM (1"), PARA CIRCUITOS TERMINAIS, INSTALADO EM FORRO - FORNECIMENTO E INSTALAÇÃO. AF_12/2015</t>
  </si>
  <si>
    <t>ELETRODUTO FLEXÍVEL CORRUGADO REFORÇADO, PVC, DN 20 MM (1/2"), PARA CIRCUITOS TERMINAIS, INSTALADO EM LAJE - FORNECIMENTO E INSTALAÇÃO. AF_12/2015</t>
  </si>
  <si>
    <t>ELETRODUTO FLEXÍVEL CORRUGADO REFORÇADO, PVC, DN 25 MM (3/4"), PARA CIRCUITOS TERMINAIS, INSTALADO EM LAJE - FORNECIMENTO E INSTALAÇÃO. AF_12/2015</t>
  </si>
  <si>
    <t>ELETRODUTO FLEXÍVEL CORRUGADO REFORÇADO, PVC, DN 32 MM (1"), PARA CIRCUITOS TERMINAIS, INSTALADO EM LAJE - FORNECIMENTO E INSTALAÇÃO. AF_12/2015</t>
  </si>
  <si>
    <t>ELETRODUTO FLEXÍVEL CORRUGADO REFORÇADO, PVC, DN 20 MM (1/2"), PARA CIRCUITOS TERMINAIS, INSTALADO EM PAREDE - FORNECIMENTO E INSTALAÇÃO. AF_12/2015</t>
  </si>
  <si>
    <t>ELETRODUTO FLEXÍVEL CORRUGADO REFORÇADO, PVC, DN 25 MM (3/4"), PARA CIRCUITOS TERMINAIS, INSTALADO EM PAREDE - FORNECIMENTO E INSTALAÇÃO. AF_12/2015</t>
  </si>
  <si>
    <t>ELETRODUTO FLEXÍVEL CORRUGADO REFORÇADO, PVC, DN 32 MM (1"), PARA CIRCUITOS TERMINAIS, INSTALADO EM PAREDE - FORNECIMENTO E INSTALAÇÃO. AF_12/2015</t>
  </si>
  <si>
    <t>LUVA PARA ELETRODUTO, PVC, ROSCÁVEL, DN 20 MM (1/2"), PARA CIRCUITOS TERMINAIS, INSTALADA EM FORRO - FORNECIMENTO E INSTALAÇÃO. AF_12/2015</t>
  </si>
  <si>
    <t>LUVA PARA ELETRODUTO, PVC, ROSCÁVEL, DN 25 MM (3/4"), PARA CIRCUITOS TERMINAIS, INSTALADA EM FORRO - FORNECIMENTO E INSTALAÇÃO. AF_12/2015</t>
  </si>
  <si>
    <t>LUVA PARA ELETRODUTO, PVC, ROSCÁVEL, DN 32 MM (1"), PARA CIRCUITOS TERMINAIS, INSTALADA EM FORRO - FORNECIMENTO E INSTALAÇÃO. AF_12/2015</t>
  </si>
  <si>
    <t>LUVA PARA ELETRODUTO, PVC, ROSCÁVEL, DN 40 MM (1 1/4"), PARA CIRCUITOS TERMINAIS, INSTALADA EM FORRO - FORNECIMENTO E INSTALAÇÃO. AF_12/2015</t>
  </si>
  <si>
    <t>LUVA PARA ELETRODUTO, PVC, ROSCÁVEL, DN 20 MM (1/2"), PARA CIRCUITOS TERMINAIS, INSTALADA EM LAJE - FORNECIMENTO E INSTALAÇÃO. AF_12/2015</t>
  </si>
  <si>
    <t>LUVA PARA ELETRODUTO, PVC, ROSCÁVEL, DN 25 MM (3/4"), PARA CIRCUITOS TERMINAIS, INSTALADA EM LAJE - FORNECIMENTO E INSTALAÇÃO. AF_12/2015</t>
  </si>
  <si>
    <t>LUVA PARA ELETRODUTO, PVC, ROSCÁVEL, DN 32 MM (1"), PARA CIRCUITOS TERMINAIS, INSTALADA EM LAJE - FORNECIMENTO E INSTALAÇÃO. AF_12/2015</t>
  </si>
  <si>
    <t>LUVA PARA ELETRODUTO, PVC, ROSCÁVEL, DN 40 MM (1 1/4"), PARA CIRCUITOS TERMINAIS, INSTALADA EM LAJE - FORNECIMENTO E INSTALAÇÃO. AF_12/2015</t>
  </si>
  <si>
    <t>LUVA PARA ELETRODUTO, PVC, ROSCÁVEL, DN 20 MM (1/2"), PARA CIRCUITOS TERMINAIS, INSTALADA EM PAREDE - FORNECIMENTO E INSTALAÇÃO. AF_12/2015</t>
  </si>
  <si>
    <t>LUVA PARA ELETRODUTO, PVC, ROSCÁVEL, DN 25 MM (3/4"), PARA CIRCUITOS TERMINAIS, INSTALADA EM PAREDE - FORNECIMENTO E INSTALAÇÃO. AF_12/2015</t>
  </si>
  <si>
    <t>LUVA PARA ELETRODUTO, PVC, ROSCÁVEL, DN 32 MM (1"), PARA CIRCUITOS TERMINAIS, INSTALADA EM PAREDE - FORNECIMENTO E INSTALAÇÃO. AF_12/2015</t>
  </si>
  <si>
    <t>LUVA PARA ELETRODUTO, PVC, ROSCÁVEL, DN 40 MM (1 1/4"), PARA CIRCUITOS TERMINAIS, INSTALADA EM PAREDE - FORNECIMENTO E INSTALAÇÃO. AF_12/2015</t>
  </si>
  <si>
    <t>CURVA 90 GRAUS PARA ELETRODUTO, PVC, ROSCÁVEL, DN 20 MM (1/2"), PARA CIRCUITOS TERMINAIS, INSTALADA EM FORRO - FORNECIMENTO E INSTALAÇÃO. AF_12/2015</t>
  </si>
  <si>
    <t>CURVA 180 GRAUS PARA ELETRODUTO, PVC, ROSCÁVEL, DN 20 MM (1/2"), PARA CIRCUITOS TERMINAIS, INSTALADA EM FORRO - FORNECIMENTO E INSTALAÇÃO. AF_12/2015</t>
  </si>
  <si>
    <t>CURVA 90 GRAUS PARA ELETRODUTO, PVC, ROSCÁVEL, DN 25 MM (3/4"), PARA CIRCUITOS TERMINAIS, INSTALADA EM FORRO - FORNECIMENTO E INSTALAÇÃO. AF_12/2015</t>
  </si>
  <si>
    <t>CURVA 180 GRAUS PARA ELETRODUTO, PVC, ROSCÁVEL, DN 25 MM (3/4"), PARA CIRCUITOS TERMINAIS, INSTALADA EM FORRO - FORNECIMENTO E INSTALAÇÃO. AF_12/2015</t>
  </si>
  <si>
    <t>CURVA 90 GRAUS PARA ELETRODUTO, PVC, ROSCÁVEL, DN 32 MM (1"), PARA CIRCUITOS TERMINAIS, INSTALADA EM FORRO - FORNECIMENTO E INSTALAÇÃO. AF_12/2015</t>
  </si>
  <si>
    <t>CURVA 90 GRAUS PARA ELETRODUTO, PVC, ROSCÁVEL, DN 40 MM (1 1/4"), PARA CIRCUITOS TERMINAIS, INSTALADA EM FORRO - FORNECIMENTO E INSTALAÇÃO. AF_12/2015</t>
  </si>
  <si>
    <t>CURVA 180 GRAUS PARA ELETRODUTO, PVC, ROSCÁVEL, DN 40 MM (1 1/4"), PARA CIRCUITOS TERMINAIS, INSTALADA EM FORRO - FORNECIMENTO E INSTALAÇÃO. AF_12/2015</t>
  </si>
  <si>
    <t>CURVA 90 GRAUS PARA ELETRODUTO, PVC, ROSCÁVEL, DN 20 MM (1/2"), PARA CIRCUITOS TERMINAIS, INSTALADA EM LAJE - FORNECIMENTO E INSTALAÇÃO. AF_12/2015</t>
  </si>
  <si>
    <t>CURVA 180 GRAUS PARA ELETRODUTO, PVC, ROSCÁVEL, DN 20 MM (1/2"), PARA CIRCUITOS TERMINAIS, INSTALADA EM LAJE - FORNECIMENTO E INSTALAÇÃO. AF_12/2015</t>
  </si>
  <si>
    <t>CURVA 90 GRAUS PARA ELETRODUTO, PVC, ROSCÁVEL, DN 25 MM (3/4"), PARA CIRCUITOS TERMINAIS, INSTALADA EM LAJE - FORNECIMENTO E INSTALAÇÃO. AF_12/2015</t>
  </si>
  <si>
    <t>CURVA 180 GRAUS PARA ELETRODUTO, PVC, ROSCÁVEL, DN 32 MM (1"), PARA CIRCUITOS TERMINAIS, INSTALADA EM FORRO - FORNECIMENTO E INSTALAÇÃO. AF_12/2015</t>
  </si>
  <si>
    <t>CURVA 180 GRAUS PARA ELETRODUTO, PVC, ROSCÁVEL, DN 32 MM (1), PARA CIRCUITOS TERMINAIS, INSTALADA EM LAJE - FORNECIMENTO E INSTALAÇÃO. AF_12/2015</t>
  </si>
  <si>
    <t>CURVA 180 GRAUS PARA ELETRODUTO, PVC, ROSCÁVEL, DN 32 MM (1), PARA CIRCUITOS TERMINAIS, INSTALADA EM PAREDE - FORNECIMENTO E INSTALAÇÃO. AF_12/2015</t>
  </si>
  <si>
    <t>CURVA 180 GRAUS PARA ELETRODUTO, PVC, ROSCÁVEL, DN 25 MM (3/4"), PARA CIRCUITOS TERMINAIS, INSTALADA EM LAJE - FORNECIMENTO E INSTALAÇÃO. AF_12/2015</t>
  </si>
  <si>
    <t>CURVA 90 GRAUS PARA ELETRODUTO, PVC, ROSCÁVEL, DN 32 MM (1"), PARA CIRCUITOS TERMINAIS, INSTALADA EM LAJE - FORNECIMENTO E INSTALAÇÃO. AF_12/2015</t>
  </si>
  <si>
    <t>CURVA 90 GRAUS PARA ELETRODUTO, PVC, ROSCÁVEL, DN 40 MM (1 1/4"), PARA CIRCUITOS TERMINAIS, INSTALADA EM LAJE - FORNECIMENTO E INSTALAÇÃO. AF_12/2015</t>
  </si>
  <si>
    <t>CURVA 180 GRAUS PARA ELETRODUTO, PVC, ROSCÁVEL, DN 40 MM (1 1/4"), PARA CIRCUITOS TERMINAIS, INSTALADA EM LAJE - FORNECIMENTO E INSTALAÇÃO. AF_12/2015</t>
  </si>
  <si>
    <t>CURVA 90 GRAUS PARA ELETRODUTO, PVC, ROSCÁVEL, DN 20 MM (1/2"), PARA CIRCUITOS TERMINAIS, INSTALADA EM PAREDE - FORNECIMENTO E INSTALAÇÃO. AF_12/2015</t>
  </si>
  <si>
    <t>CURVA 180 GRAUS PARA ELETRODUTO, PVC, ROSCÁVEL, DN 20 MM (1/2"), PARA CIRCUITOS TERMINAIS, INSTALADA EM PAREDE - FORNECIMENTO E INSTALAÇÃO. AF_12/2015</t>
  </si>
  <si>
    <t>CURVA 90 GRAUS PARA ELETRODUTO, PVC, ROSCÁVEL, DN 25 MM (3/4"), PARA CIRCUITOS TERMINAIS, INSTALADA EM PAREDE - FORNECIMENTO E INSTALAÇÃO. AF_12/2015</t>
  </si>
  <si>
    <t>CURVA 180 GRAUS PARA ELETRODUTO, PVC, ROSCÁVEL, DN 25 MM (3/4"), PARA CIRCUITOS TERMINAIS, INSTALADA EM PAREDE - FORNECIMENTO E INSTALAÇÃO. AF_12/2015</t>
  </si>
  <si>
    <t>CURVA 90 GRAUS PARA ELETRODUTO, PVC, ROSCÁVEL, DN 32 MM (1"), PARA CIRCUITOS TERMINAIS, INSTALADA EM PAREDE - FORNECIMENTO E INSTALAÇÃO. AF_12/2015</t>
  </si>
  <si>
    <t>CURVA 90 GRAUS PARA ELETRODUTO, PVC, ROSCÁVEL, DN 40 MM (1 1/4"), PARA CIRCUITOS TERMINAIS, INSTALADA EM PAREDE - FORNECIMENTO E INSTALAÇÃO. AF_12/2015</t>
  </si>
  <si>
    <t>CURVA 180 GRAUS PARA ELETRODUTO, PVC, ROSCÁVEL, DN 40 MM (1 1/4"), PARA CIRCUITOS TERMINAIS, INSTALADA EM PAREDE - FORNECIMENTO E INSTALAÇÃO. AF_12/2015</t>
  </si>
  <si>
    <t>LUVA PARA ELETRODUTO, PVC, ROSCÁVEL, DN 50 MM (1 1/2") - FORNECIMENTO E INSTALAÇÃO. AF_12/2015</t>
  </si>
  <si>
    <t>LUVA PARA ELETRODUTO, PVC, ROSCÁVEL, DN 60 MM (2") - FORNECIMENTO E INSTALAÇÃO. AF_12/2015</t>
  </si>
  <si>
    <t>LUVA PARA ELETRODUTO, PVC, ROSCÁVEL, DN 75 MM (2 1/2") - FORNECIMENTO E INSTALAÇÃO. AF_12/2015</t>
  </si>
  <si>
    <t>LUVA PARA ELETRODUTO, PVC, ROSCÁVEL, DN 85 MM (3") - FORNECIMENTO E INSTALAÇÃO. AF_12/2015</t>
  </si>
  <si>
    <t>LUVA PARA ELETRODUTO, PVC, ROSCÁVEL, DN 110 MM (4") - FORNECIMENTO E INSTALAÇÃO. AF_12/2015</t>
  </si>
  <si>
    <t>CURVA 90 GRAUS PARA ELETRODUTO, PVC, ROSCÁVEL, DN 50 MM (1 1/2") - FORNECIMENTO E INSTALAÇÃO. AF_12/2015</t>
  </si>
  <si>
    <t>CURVA 90 GRAUS PARA ELETRODUTO, PVC, ROSCÁVEL, DN 60 MM (2") - FORNECIMENTO E INSTALAÇÃO. AF_12/2015</t>
  </si>
  <si>
    <t>CURVA 90 GRAUS PARA ELETRODUTO, PVC, ROSCÁVEL, DN 75 MM (2 1/2") - FORNECIMENTO E INSTALAÇÃO. AF_12/2015</t>
  </si>
  <si>
    <t>CURVA 90 GRAUS PARA ELETRODUTO, PVC, ROSCÁVEL, DN 85 MM (3") - FORNECIMENTO E INSTALAÇÃO. AF_12/2015</t>
  </si>
  <si>
    <t>CURVA 90 GRAUS PARA ELETRODUTO, PVC, ROSCÁVEL, DN 110 MM (4") - FORNECIMENTO E INSTALAÇÃO. AF_12/2015</t>
  </si>
  <si>
    <t>CURVA 135 GRAUS PARA ELETRODUTO, PVC, ROSCÁVEL, DN 25 MM (3/4), PARA CIRCUITOS TERMINAIS, INSTALADA EM FORRO - FORNECIMENTO E INSTALAÇÃO. AF_12/2015</t>
  </si>
  <si>
    <t>CURVA 135 GRAUS PARA ELETRODUTO, PVC, ROSCÁVEL, DN 25 MM (3/4), PARA CIRCUITOS TERMINAIS, INSTALADA EM LAJE - FORNECIMENTO E INSTALAÇÃO. AF_12/2015</t>
  </si>
  <si>
    <t>CURVA 135 GRAUS PARA ELETRODUTO, PVC, ROSCÁVEL, DN 25 MM (3/4), PARA CIRCUITOS TERMINAIS, INSTALADA EM PAREDE - FORNECIMENTO E INSTALAÇÃO. AF_12/2015</t>
  </si>
  <si>
    <t>ELETRODUTO RÍGIDO ROSCÁVEL, PVC, DN 20 MM (1/2"), PARA CIRCUITOS TERMINAIS, INSTALADO EM FORRO - FORNECIMENTO E INSTALAÇÃO. AF_12/2015</t>
  </si>
  <si>
    <t>ELETRODUTO RÍGIDO ROSCÁVEL, PVC, DN 25 MM (3/4"), PARA CIRCUITOS TERMINAIS, INSTALADO EM FORRO - FORNECIMENTO E INSTALAÇÃO. AF_12/2015</t>
  </si>
  <si>
    <t>ELETRODUTO RÍGIDO ROSCÁVEL, PVC, DN 32 MM (1"), PARA CIRCUITOS TERMINAIS, INSTALADO EM FORRO - FORNECIMENTO E INSTALAÇÃO. AF_12/2015</t>
  </si>
  <si>
    <t>ELETRODUTO RÍGIDO ROSCÁVEL, PVC, DN 40 MM (1 1/4"), PARA CIRCUITOS TERMINAIS, INSTALADO EM FORRO - FORNECIMENTO E INSTALAÇÃO. AF_12/2015</t>
  </si>
  <si>
    <t>ELETRODUTO RÍGIDO ROSCÁVEL, PVC, DN 20 MM (1/2"), PARA CIRCUITOS TERMINAIS, INSTALADO EM LAJE - FORNECIMENTO E INSTALAÇÃO. AF_12/2015</t>
  </si>
  <si>
    <t>ELETRODUTO RÍGIDO ROSCÁVEL, PVC, DN 25 MM (3/4"), PARA CIRCUITOS TERMINAIS, INSTALADO EM LAJE - FORNECIMENTO E INSTALAÇÃO. AF_12/2015</t>
  </si>
  <si>
    <t>ELETRODUTO RÍGIDO ROSCÁVEL, PVC, DN 32 MM (1"), PARA CIRCUITOS TERMINAIS, INSTALADO EM LAJE - FORNECIMENTO E INSTALAÇÃO. AF_12/2015</t>
  </si>
  <si>
    <t>ELETRODUTO RÍGIDO ROSCÁVEL, PVC, DN 40 MM (1 1/4"), PARA CIRCUITOS TERMINAIS, INSTALADO EM LAJE - FORNECIMENTO E INSTALAÇÃO. AF_12/2015</t>
  </si>
  <si>
    <t>ELETRODUTO RÍGIDO ROSCÁVEL, PVC, DN 20 MM (1/2"), PARA CIRCUITOS TERMINAIS, INSTALADO EM PAREDE - FORNECIMENTO E INSTALAÇÃO. AF_12/2015</t>
  </si>
  <si>
    <t>ELETRODUTO RÍGIDO ROSCÁVEL, PVC, DN 25 MM (3/4"), PARA CIRCUITOS TERMINAIS, INSTALADO EM PAREDE - FORNECIMENTO E INSTALAÇÃO. AF_12/2015</t>
  </si>
  <si>
    <t>ELETRODUTO RÍGIDO ROSCÁVEL, PVC, DN 32 MM (1"), PARA CIRCUITOS TERMINAIS, INSTALADO EM PAREDE - FORNECIMENTO E INSTALAÇÃO. AF_12/2015</t>
  </si>
  <si>
    <t>ELETRODUTO RÍGIDO ROSCÁVEL, PVC, DN 40 MM (1 1/4"), PARA CIRCUITOS TERMINAIS, INSTALADO EM PAREDE - FORNECIMENTO E INSTALAÇÃO. AF_12/2015</t>
  </si>
  <si>
    <t>ELETRODUTO RÍGIDO ROSCÁVEL, PVC, DN 50 MM (1 1/2") - FORNECIMENTO E INSTALAÇÃO. AF_12/2015</t>
  </si>
  <si>
    <t>ELETRODUTO RÍGIDO ROSCÁVEL, PVC, DN 60 MM (2") - FORNECIMENTO E INSTALAÇÃO. AF_12/2015</t>
  </si>
  <si>
    <t>ELETRODUTO RÍGIDO ROSCÁVEL, PVC, DN 75 MM (2 1/2") - FORNECIMENTO E INSTALAÇÃO. AF_12/2015</t>
  </si>
  <si>
    <t>ELETRODUTO RÍGIDO ROSCÁVEL, PVC, DN 85 MM (3") - FORNECIMENTO E INSTALAÇÃO. AF_12/2015</t>
  </si>
  <si>
    <t>ELETRODUTO RÍGIDO ROSCÁVEL, PVC, DN 110 MM (4") - FORNECIMENTO E INSTALAÇÃO. AF_12/2015</t>
  </si>
  <si>
    <t>ELETRODUTO RÍGIDO SOLDÁVEL, PVC, DN 20 MM (½), APARENTE, INSTALADO EM TETO - FORNECIMENTO E INSTALAÇÃO. AF_11/2016_P</t>
  </si>
  <si>
    <t>ELETRODUTO RÍGIDO SOLDÁVEL, PVC, DN 25 MM (3/4), APARENTE, INSTALADO EM TETO - FORNECIMENTO E INSTALAÇÃO. AF_11/2016_P</t>
  </si>
  <si>
    <t>ELETRODUTO RÍGIDO SOLDÁVEL, PVC, DN 32 MM (1), APARENTE, INSTALADO EM TETO - FORNECIMENTO E INSTALAÇÃO. AF_11/2016_P</t>
  </si>
  <si>
    <t>ELETRODUTO RÍGIDO SOLDÁVEL, PVC, DN 20 MM (½), APARENTE, INSTALADO EM PAREDE - FORNECIMENTO E INSTALAÇÃO. AF_11/2016_P</t>
  </si>
  <si>
    <t>ELETRODUTO RÍGIDO SOLDÁVEL, PVC, DN 25 MM (3/4), APARENTE, INSTALADO EM PAREDE - FORNECIMENTO E INSTALAÇÃO. AF_11/2016_P</t>
  </si>
  <si>
    <t>ELETRODUTO RÍGIDO SOLDÁVEL, PVC, DN 32 MM (1), APARENTE, INSTALADO EM PAREDE - FORNECIMENTO E INSTALAÇÃO. AF_11/2016_P</t>
  </si>
  <si>
    <t>LUVA PARA ELETRODUTO, PVC, SOLDÁVEL, DN 25 MM (3/4), APARENTE, INSTALADA EM TETO - FORNECIMENTO E INSTALAÇÃO. AF_11/2016_P</t>
  </si>
  <si>
    <t>LUVA PARA ELETRODUTO, PVC, SOLDÁVEL, DN 32 MM (1), APARENTE, INSTALADA EM TETO - FORNECIMENTO E INSTALAÇÃO. AF_11/2016_P</t>
  </si>
  <si>
    <t>LUVA PARA ELETRODUTO, PVC, SOLDÁVEL, DN 20 MM (1/2), APARENTE, INSTALADA EM PAREDE - FORNECIMENTO E INSTALAÇÃO. AF_11/2016_P</t>
  </si>
  <si>
    <t>LUVA PARA ELETRODUTO, PVC, SOLDÁVEL, DN 25 MM (3/4), APARENTE, INSTALADA EM PAREDE - FORNECIMENTO E INSTALAÇÃO. AF_11/2016_P</t>
  </si>
  <si>
    <t>LUVA PARA ELETRODUTO, PVC, SOLDÁVEL, DN 32 MM (1), APARENTE, INSTALADA EM PAREDE - FORNECIMENTO E INSTALAÇÃO. AF_11/2016_P</t>
  </si>
  <si>
    <t>LUVA PARA ELETRODUTO, PVC, SOLDÁVEL, DN 20 MM (1/2), APARENTE, INSTALADA EM TETO - FORNECIMENTO E INSTALAÇÃO. AF_11/2016_P</t>
  </si>
  <si>
    <t>ELETRODUTO DE AÇO GALVANIZADO, CLASSE LEVE, DN 20 MM (3/4), APARENTE, INSTALADO EM TETO - FORNECIMENTO E INSTALAÇÃO. AF_11/2016_P</t>
  </si>
  <si>
    <t>ELETRODUTO DE AÇO GALVANIZADO, CLASSE LEVE, DN 25 MM (1), APARENTE, INSTALADO EM TETO - FORNECIMENTO E INSTALAÇÃO. AF_11/2016_P</t>
  </si>
  <si>
    <t>ELETRODUTO DE AÇO GALVANIZADO, CLASSE SEMI PESADO, DN 32 MM (1 1/4), APARENTE, INSTALADO EM TETO - FORNECIMENTO E INSTALAÇÃO. AF_11/2016_P</t>
  </si>
  <si>
    <t>ELETRODUTO DE AÇO GALVANIZADO, CLASSE SEMI PESADO, DN 40 MM (1 1/2 ), APARENTE, INSTALADO EM TETO - FORNECIMENTO E INSTALAÇÃO. AF_11/2016_P</t>
  </si>
  <si>
    <t>ELETRODUTO DE AÇO GALVANIZADO, CLASSE LEVE, DN 20 MM (3/4), APARENTE, INSTALADO EM PAREDE - FORNECIMENTO E INSTALAÇÃO. AF_11/2016_P</t>
  </si>
  <si>
    <t>ELETRODUTO DE AÇO GALVANIZADO, CLASSE LEVE, DN 25 MM (1), APARENTE, INSTALADO EM PAREDE - FORNECIMENTO E INSTALAÇÃO. AF_11/2016_P</t>
  </si>
  <si>
    <t>ELETRODUTO DE AÇO GALVANIZADO, CLASSE SEMI PESADO, DN 32 MM (1 1/4), APARENTE, INSTALADO EM PAREDE - FORNECIMENTO E INSTALAÇÃO. AF_11/2016_P</t>
  </si>
  <si>
    <t>ELETRODUTO DE AÇO GALVANIZADO, CLASSE SEMI PESADO, DN 40 MM (1 1/2  ), APARENTE, INSTALADO EM PAREDE - FORNECIMENTO E INSTALAÇÃO. AF_11/2016_P</t>
  </si>
  <si>
    <t>LUVA DE EMENDA PARA ELETRODUTO, AÇO GALVANIZADO, DN 20 MM (3/4  ), APARENTE, INSTALADA EM TETO - FORNECIMENTO E INSTALAÇÃO. AF_11/2016_P</t>
  </si>
  <si>
    <t>LUVA DE EMENDA PARA ELETRODUTO, AÇO GALVANIZADO, DN 25 MM (1''), APARENTE, INSTALADA EM TETO - FORNECIMENTO E INSTALAÇÃO. AF_11/2016_P</t>
  </si>
  <si>
    <t>LUVA DE EMENDA PARA ELETRODUTO, AÇO GALVANIZADO, DN 32 MM (1 1/4''), APARENTE, INSTALADA EM TETO - FORNECIMENTO E INSTALAÇÃO. AF_11/2016_P</t>
  </si>
  <si>
    <t>LUVA DE EMENDA PARA ELETRODUTO, AÇO GALVANIZADO, DN 40 MM (1 1/2''), APARENTE, INSTALADA EM TETO - FORNECIMENTO E INSTALAÇÃO. AF_11/2016_P</t>
  </si>
  <si>
    <t>LUVA DE EMENDA PARA ELETRODUTO, AÇO GALVANIZADO, DN 20 MM (3/4''), APARENTE, INSTALADA EM PAREDE - FORNECIMENTO E INSTALAÇÃO. AF_11/2016_P</t>
  </si>
  <si>
    <t>LUVA DE EMENDA PARA ELETRODUTO, AÇO GALVANIZADO, DN 25 MM (1''), APARENTE, INSTALADA EM PAREDE - FORNECIMENTO E INSTALAÇÃO. AF_11/2016_P</t>
  </si>
  <si>
    <t>LUVA DE EMENDA PARA ELETRODUTO, AÇO GALVANIZADO, DN 32 MM (1 1/4''), APARENTE, INSTALADA EM PAREDE - FORNECIMENTO E INSTALAÇÃO. AF_11/2016_P</t>
  </si>
  <si>
    <t>LUVA DE EMENDA PARA ELETRODUTO, AÇO GALVANIZADO, DN 40 MM (1 1/2''), APARENTE, INSTALADA EM PAREDE - FORNECIMENTO E INSTALAÇÃO. AF_11/2016_P</t>
  </si>
  <si>
    <t>ELETRODUTO FLEXÍVEL LISO, PEAD, DN 32 MM (1"), PARA CIRCUITOS TERMINAIS, INSTALADO EM FORRO - FORNECIMENTO E INSTALAÇÃO. AF_12/2015</t>
  </si>
  <si>
    <t>ELETRODUTO FLEXÍVEL CORRUGADO, PEAD, DN 40 MM (1 1/4"), PARA CIRCUITOS TERMINAIS, INSTALADO EM FORRO - FORNECIMENTO E INSTALAÇÃO. AF_12/2015</t>
  </si>
  <si>
    <t>ELETRODUTO FLEXÍVEL LISO, PEAD, DN 40 MM (1 1/4"), PARA CIRCUITOS TERMINAIS, INSTALADO EM FORRO - FORNECIMENTO E INSTALAÇÃO. AF_12/2015</t>
  </si>
  <si>
    <t>ELETRODUTO FLEXÍVEL LISO, PEAD, DN 32 MM (1"), PARA CIRCUITOS TERMINAIS, INSTALADO EM LAJE - FORNECIMENTO E INSTALAÇÃO. AF_12/2015</t>
  </si>
  <si>
    <t>ELETRODUTO FLEXÍVEL CORRUGADO, PEAD, DN 40 MM (1 1/4"), PARA CIRCUITOS TERMINAIS, INSTALADO EM LAJE - FORNECIMENTO E INSTALAÇÃO. AF_12/2015</t>
  </si>
  <si>
    <t>ELETRODUTO FLEXÍVEL LISO, PEAD, DN 40 MM (1 1/4"), PARA CIRCUITOS TERMINAIS, INSTALADO EM LAJE - FORNECIMENTO E INSTALAÇÃO. AF_12/2015</t>
  </si>
  <si>
    <t>ELETRODUTO FLEXÍVEL LISO, PEAD, DN 32 MM (1"), PARA CIRCUITOS TERMINAIS, INSTALADO EM PAREDE - FORNECIMENTO E INSTALAÇÃO. AF_12/2015</t>
  </si>
  <si>
    <t>ELETRODUTO FLEXÍVEL CORRUGADO, PEAD, DN 40 MM (1 1/4"), PARA CIRCUITOS TERMINAIS, INSTALADO EM PAREDE - FORNECIMENTO E INSTALAÇÃO. AF_12/2015</t>
  </si>
  <si>
    <t>ELETRODUTO FLEXÍVEL LISO, PEAD, DN 40 MM (1 1/4"), PARA CIRCUITOS TERMINAIS, INSTALADO EM PAREDE - FORNECIMENTO E INSTALAÇÃO. AF_12/2015</t>
  </si>
  <si>
    <t>ELETRODUTO FLEXÍVEL CORRUGADO, PEAD, DN 50 (1 ½)  - FORNECIMENTO E INSTALAÇÃO. AF_04/2016</t>
  </si>
  <si>
    <t>ELETRODUTO FLEXÍVEL CORRUGADO, PEAD, DN 63 (2")  - FORNECIMENTO E INSTALAÇÃO. AF_04/2016</t>
  </si>
  <si>
    <t>ELETRODUTO FLEXÍVEL CORRUGADO, PEAD, DN 90 (3) - FORNECIMENTO E INSTALAÇÃO. AF_04/2016</t>
  </si>
  <si>
    <t>ELETRODUTO FLEXÍVEL CORRUGADO, PEAD, DN 100 (4) - FORNECIMENTO E INSTALAÇÃO. AF_04/2016</t>
  </si>
  <si>
    <t>CABO DE COBRE FLEXÍVEL ISOLADO, 1,5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</si>
  <si>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</si>
  <si>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</si>
  <si>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 FLEXÍVEL ISOLADO, 6 MM², ANTI-CHAMA 450/750 V, PARA CIRCUITOS TERMINAIS - FORNECIMENTO E INSTALAÇÃO. AF_12/2015</t>
  </si>
  <si>
    <t>CABO DE COBRE FLEXÍVEL ISOLADO, 10 MM², ANTI-CHAMA 450/750 V, PARA CIRCUITOS TERMINAIS - FORNECIMENTO E INSTALAÇÃO. AF_12/2015</t>
  </si>
  <si>
    <t>CABO DE COBRE FLEXÍVEL ISOLADO, 16 MM², ANTI-CHAMA 450/750 V, PARA CIRCUITOS TERMINAIS - FORNECIMENTO E INSTALAÇÃO. AF_12/2015</t>
  </si>
  <si>
    <t>CABO DE COBRE FLEXÍVEL ISOLADO, 10 MM², ANTI-CHAMA 450/750 V, PARA DISTRIBUIÇÃO - FORNECIMENTO E INSTALAÇÃO. AF_12/2015</t>
  </si>
  <si>
    <t>CABO DE COBRE FLEXÍVEL ISOLADO, 16 MM², ANTI-CHAMA 450/750 V, PARA DISTRIBUIÇÃO - FORNECIMENTO E INSTALAÇÃO. AF_12/2015</t>
  </si>
  <si>
    <t>CABO DE COBRE FLEXÍVEL ISOLADO, 25 MM², ANTI-CHAMA 450/750 V, PARA DISTRIBUIÇÃO - FORNECIMENTO E INSTALAÇÃO. AF_12/2015</t>
  </si>
  <si>
    <t>CABO DE COBRE FLEXÍVEL ISOLADO, 35 MM², ANTI-CHAMA 450/750 V, PARA DISTRIBUIÇÃO - FORNECIMENTO E INSTALAÇÃO. AF_12/2015</t>
  </si>
  <si>
    <t>CABO DE COBRE FLEXÍVEL ISOLADO, 50 MM², ANTI-CHAMA 450/750 V, PARA DISTRIBUIÇÃO - FORNECIMENTO E INSTALAÇÃO. AF_12/2015</t>
  </si>
  <si>
    <t>CABO DE COBRE FLEXÍVEL ISOLADO, 70 MM², ANTI-CHAMA 450/750 V, PARA DISTRIBUIÇÃO - FORNECIMENTO E INSTALAÇÃO. AF_12/2015</t>
  </si>
  <si>
    <t>CABO DE COBRE FLEXÍVEL ISOLADO, 95 MM², ANTI-CHAMA 450/750 V, PARA DISTRIBUIÇÃO - FORNECIMENTO E INSTALAÇÃO. AF_12/2015</t>
  </si>
  <si>
    <t>CABO DE COBRE FLEXÍVEL ISOLADO, 120 MM², ANTI-CHAMA 450/750 V, PARA DISTRIBUIÇÃO - FORNECIMENTO E INSTALAÇÃO. AF_12/2015</t>
  </si>
  <si>
    <t>CABO DE COBRE FLEXÍVEL ISOLADO, 150 MM², ANTI-CHAMA 450/750 V, PARA DISTRIBUIÇÃO - FORNECIMENTO E INSTALAÇÃO. AF_12/2015</t>
  </si>
  <si>
    <t>CABO DE COBRE FLEXÍVEL ISOLADO, 185 MM², ANTI-CHAMA 450/750 V, PARA DISTRIBUIÇÃO - FORNECIMENTO E INSTALAÇÃO. AF_12/2015</t>
  </si>
  <si>
    <t>CABO DE COBRE FLEXÍVEL ISOLADO, 240 MM², ANTI-CHAMA 450/750 V, PARA DISTRIBUIÇÃO - FORNECIMENTO E INSTALAÇÃO. AF_12/2015</t>
  </si>
  <si>
    <t>CABO DE COBRE RÍGIDO ISOLADO, 300 MM², ANTI-CHAMA 450/750 V, PARA DISTRIBUIÇÃO - FORNECIMENTO E INSTALAÇÃO. AF_12/2015</t>
  </si>
  <si>
    <t>CABO DE COBRE FLEXÍVEL ISOLADO, 1,5 MM², ANTI-CHAMA 0,6/1,0 KV, PARA CIRCUITOS TERMINAIS - FORNECIMENTO E INSTALAÇÃO. AF_12/2015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</si>
  <si>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</si>
  <si>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</si>
  <si>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CABO DE COBRE FLEXÍVEL ISOLADO, 6 MM², ANTI-CHAMA 0,6/1,0 KV, PARA CIRCUITOS TERMINAIS - FORNECIMENTO E INSTALAÇÃO. AF_12/2015</t>
  </si>
  <si>
    <t>CABO DE COBRE FLEXÍVEL ISOLADO, 10 MM², ANTI-CHAMA 0,6/1,0 KV, PARA CIRCUITOS TERMINAIS - FORNECIMENTO E INSTALAÇÃO. AF_12/2015</t>
  </si>
  <si>
    <t>CABO DE COBRE FLEXÍVEL ISOLADO, 16 MM², ANTI-CHAMA 0,6/1,0 KV, PARA CIRCUITOS TERMINAIS - FORNECIMENTO E INSTALAÇÃO. AF_12/2015</t>
  </si>
  <si>
    <t>CABO DE COBRE FLEXÍVEL ISOLADO, 10 MM², ANTI-CHAMA 0,6/1,0 KV, PARA DISTRIBUIÇÃO - FORNECIMENTO E INSTALAÇÃO. AF_12/2015</t>
  </si>
  <si>
    <t>CABO DE COBRE FLEXÍVEL ISOLADO, 16 MM², ANTI-CHAMA 0,6/1,0 KV, PARA DISTRIBUIÇÃO - FORNECIMENTO E INSTALAÇÃO. AF_12/2015</t>
  </si>
  <si>
    <t>CABO DE COBRE FLEXÍVEL ISOLADO, 25 MM², ANTI-CHAMA 0,6/1,0 KV, PARA DISTRIBUIÇÃO - FORNECIMENTO E INSTALAÇÃO. AF_12/2015</t>
  </si>
  <si>
    <t>CABO DE COBRE FLEXÍVEL ISOLADO, 35 MM², ANTI-CHAMA 0,6/1,0 KV, PARA DISTRIBUIÇÃO - FORNECIMENTO E INSTALAÇÃO. AF_12/2015</t>
  </si>
  <si>
    <t>CABO DE COBRE FLEXÍVEL ISOLADO, 50 MM², ANTI-CHAMA 0,6/1,0 KV, PARA DISTRIBUIÇÃO - FORNECIMENTO E INSTALAÇÃO. AF_12/2015</t>
  </si>
  <si>
    <t>CABO DE COBRE FLEXÍVEL ISOLADO, 70 MM², ANTI-CHAMA 0,6/1,0 KV, PARA DISTRIBUIÇÃO - FORNECIMENTO E INSTALAÇÃO. AF_12/2015</t>
  </si>
  <si>
    <t>CABO DE COBRE FLEXÍVEL ISOLADO, 95 MM², ANTI-CHAMA 0,6/1,0 KV, PARA DISTRIBUIÇÃO - FORNECIMENTO E INSTALAÇÃO. AF_12/2015</t>
  </si>
  <si>
    <t>CABO DE COBRE FLEXÍVEL ISOLADO, 120 MM², ANTI-CHAMA 0,6/1,0 KV, PARA DISTRIBUIÇÃO - FORNECIMENTO E INSTALAÇÃO. AF_12/2015</t>
  </si>
  <si>
    <t>CABO DE COBRE FLEXÍVEL ISOLADO, 150 MM², ANTI-CHAMA 0,6/1,0 KV, PARA DISTRIBUIÇÃO - FORNECIMENTO E INSTALAÇÃO. AF_12/2015</t>
  </si>
  <si>
    <t>CABO DE COBRE FLEXÍVEL ISOLADO, 185 MM², ANTI-CHAMA 0,6/1,0 KV, PARA DISTRIBUIÇÃO - FORNECIMENTO E INSTALAÇÃO. AF_12/2015</t>
  </si>
  <si>
    <t>CABO DE COBRE FLEXÍVEL ISOLADO, 240 MM², ANTI-CHAMA 0,6/1,0 KV, PARA DISTRIBUIÇÃO - FORNECIMENTO E INSTALAÇÃO. AF_12/2015</t>
  </si>
  <si>
    <t>CABO DE COBRE FLEXÍVEL ISOLADO, 300 MM², ANTI-CHAMA 0,6/1,0 KV, PARA DISTRIBUIÇÃO - FORNECIMENTO E INSTALAÇÃO. AF_12/2015</t>
  </si>
  <si>
    <t>CABO DE COBRE ISOLADO, 10 MM², ANTI-CHAMA 450/750 V, INSTALADO EM ELETROCALHA OU PERFILADO - FORNECIMENTO E INSTALAÇÃO. AF_10/2020</t>
  </si>
  <si>
    <t>CABO DE COBRE ISOLADO, 10 MM², ANTI-CHAMA 0,6/1 KV, INSTALADO EM ELETROCALHA OU PERFILADO - FORNECIMENTO E INSTALAÇÃO. AF_10/2020</t>
  </si>
  <si>
    <t>CABO DE COBRE ISOLADO, 16 MM², ANTI-CHAMA 450/750 V, INSTALADO EM ELETROCALHA OU PERFILADO - FORNECIMENTO E INSTALAÇÃO. AF_10/2020</t>
  </si>
  <si>
    <t>CABO DE COBRE ISOLADO, 16 MM², ANTI-CHAMA 0,6/1 KV, INSTALADO EM ELETROCALHA OU PERFILADO - FORNECIMENTO E INSTALAÇÃO. AF_10/2020</t>
  </si>
  <si>
    <t>CABO DE COBRE ISOLADO, 25 MM², ANTI-CHAMA 450/750 V, INSTALADO EM ELETROCALHA OU PERFILADO - FORNECIMENTO E INSTALAÇÃO. AF_10/2020</t>
  </si>
  <si>
    <t>CABO DE COBRE ISOLADO, 25 MM², ANTI-CHAMA 0,6/1 KV, INSTALADO EM ELETROCALHA OU PERFILADO - FORNECIMENTO E INSTALAÇÃO. AF_10/2020</t>
  </si>
  <si>
    <t>CABO DE COBRE FLEXÍVEL ISOLADO, 10 MM², 0,6/1,0 KV, PARA REDE AÉREA DE DISTRIBUIÇÃO DE ENERGIA ELÉTRICA DE BAIXA TENSÃO - FORNECIMENTO E INSTALAÇÃO. AF_07/2020</t>
  </si>
  <si>
    <t>CABO DE COBRE FLEXÍVEL ISOLADO, 16 MM², 0,6/1,0 KV, PARA REDE AÉREA DE DISTRIBUIÇÃO DE ENERGIA ELÉTRICA DE BAIXA TENSÃO - FORNECIMENTO E INSTALAÇÃO. AF_07/2020</t>
  </si>
  <si>
    <t>CABO DE COBRE FLEXÍVEL ISOLADO, 25 MM², 0,6/1,0 KV, PARA REDE AÉREA DE DISTRIBUIÇÃO DE ENERGIA ELÉTRICA DE BAIXA TENSÃO - FORNECIMENTO E INSTALAÇÃO. AF_07/2020</t>
  </si>
  <si>
    <t>CABO DE COBRE FLEXÍVEL ISOLADO, 35 MM², 0,6/1,0 KV, PARA REDE AÉREA DE DISTRIBUIÇÃO DE ENERGIA ELÉTRICA DE BAIXA TENSÃO - FORNECIMENTO E INSTALAÇÃO. AF_07/2020</t>
  </si>
  <si>
    <t>CABO DE COBRE FLEXÍVEL ISOLADO, 50 MM², 0,6/1,0 KV, PARA REDE AÉREA DE DISTRIBUIÇÃO DE ENERGIA ELÉTRICA DE BAIXA TENSÃO - FORNECIMENTO E INSTALAÇÃO. AF_07/2020</t>
  </si>
  <si>
    <t>CABO DE COBRE FLEXÍVEL ISOLADO, 70 MM², 0,6/1,0 KV, PARA REDE AÉREA DE DISTRIBUIÇÃO DE ENERGIA ELÉTRICA DE BAIXA TENSÃO - FORNECIMENTO E INSTALAÇÃO. AF_07/2020</t>
  </si>
  <si>
    <t>CABO DE COBRE FLEXÍVEL ISOLADO, 95 MM², 0,6/1,0 KV, PARA REDE AÉREA DE DISTRIBUIÇÃO DE ENERGIA ELÉTRICA DE BAIXA TENSÃO - FORNECIMENTO E INSTALAÇÃO. AF_07/2020</t>
  </si>
  <si>
    <t>CABO DE COBRE FLEXÍVEL ISOLADO, 120 MM², 0,6/1,0 KV, PARA REDE AÉREA DE DISTRIBUIÇÃO DE ENERGIA ELÉTRICA DE BAIXA TENSÃO - FORNECIMENTO E INSTALAÇÃO. AF_07/2020</t>
  </si>
  <si>
    <t>CONDULETE DE ALUMÍNIO, TIPO B, PARA ELETRODUTO DE AÇO GALVANIZADO DN 20 MM (3/4''), APARENTE - FORNECIMENTO E INSTALAÇÃO. AF_11/2016_P</t>
  </si>
  <si>
    <t>CONDULETE DE ALUMÍNIO, TIPO C, PARA ELETRODUTO DE AÇO GALVANIZADO DN 20 MM (3/4''), APARENTE - FORNECIMENTO E INSTALAÇÃO. AF_11/2016_P</t>
  </si>
  <si>
    <t>CONDULETE DE ALUMÍNIO, TIPO E, PARA ELETRODUTO DE AÇO GALVANIZADO DN 20 MM (3/4''), APARENTE - FORNECIMENTO E INSTALAÇÃO. AF_11/2016_P</t>
  </si>
  <si>
    <t>CONDULETE DE ALUMÍNIO, TIPO B, PARA ELETRODUTO DE AÇO GALVANIZADO DN 25 MM (1''), APARENTE - FORNECIMENTO E INSTALAÇÃO. AF_11/2016_P</t>
  </si>
  <si>
    <t>CONDULETE DE ALUMÍNIO, TIPO C, PARA ELETRODUTO DE AÇO GALVANIZADO DN 25 MM (1''), APARENTE - FORNECIMENTO E INSTALAÇÃO. AF_11/2016_P</t>
  </si>
  <si>
    <t>CONDULETE DE ALUMÍNIO, TIPO E, ELETRODUTO DE AÇO GALVANIZADO DN 25 MM (1''), APARENTE - FORNECIMENTO E INSTALAÇÃO. AF_11/2016_P</t>
  </si>
  <si>
    <t>CONDULETE DE ALUMÍNIO, TIPO E, PARA ELETRODUTO DE AÇO GALVANIZADO DN 32 MM (1 1/4''), APARENTE - FORNECIMENTO E INSTALAÇÃO. AF_11/2016_P</t>
  </si>
  <si>
    <t>CONDULETE DE ALUMÍNIO, TIPO LR, PARA ELETRODUTO DE AÇO GALVANIZADO DN 20 MM (3/4''), APARENTE - FORNECIMENTO E INSTALAÇÃO. AF_11/2016_P</t>
  </si>
  <si>
    <t>CONDULETE DE ALUMÍNIO, TIPO LR, PARA ELETRODUTO DE AÇO GALVANIZADO DN 25 MM (1''), APARENTE - FORNECIMENTO E INSTALAÇÃO. AF_11/2016_P</t>
  </si>
  <si>
    <t>CONDULETE DE ALUMÍNIO, TIPO LR, PARA ELETRODUTO DE AÇO GALVANIZADO DN 32 MM (1 1/4''), APARENTE - FORNECIMENTO E INSTALAÇÃO. AF_11/2016_P</t>
  </si>
  <si>
    <t>CONDULETE DE ALUMÍNIO, TIPO T, PARA ELETRODUTO DE AÇO GALVANIZADO DN 20 MM (3/4''), APARENTE - FORNECIMENTO E INSTALAÇÃO. AF_11/2016_P</t>
  </si>
  <si>
    <t>CONDULETE DE ALUMÍNIO, TIPO T, PARA ELETRODUTO DE AÇO GALVANIZADO DN 25 MM (1''), APARENTE - FORNECIMENTO E INSTALAÇÃO. AF_11/2016_P</t>
  </si>
  <si>
    <t>CONDULETE DE ALUMÍNIO, TIPO T, PARA ELETRODUTO DE AÇO GALVANIZADO DN 32 MM (1 1/4''), APARENTE - FORNECIMENTO E INSTALAÇÃO. AF_11/2016_P</t>
  </si>
  <si>
    <t>CONDULETE DE ALUMÍNIO, TIPO X, PARA ELETRODUTO DE AÇO GALVANIZADO DN 20 MM (3/4''), APARENTE - FORNECIMENTO E INSTALAÇÃO. AF_11/2016_P</t>
  </si>
  <si>
    <t>CONDULETE DE ALUMÍNIO, TIPO X, PARA ELETRODUTO DE AÇO GALVANIZADO DN 25 MM (1''), APARENTE - FORNECIMENTO E INSTALAÇÃO. AF_11/2016_P</t>
  </si>
  <si>
    <t>CONDULETE DE ALUMÍNIO, TIPO X, PARA ELETRODUTO DE AÇO GALVANIZADO DN 32 MM (1 1/4''), APARENTE - FORNECIMENTO E INSTALAÇÃO. AF_11/2016_P</t>
  </si>
  <si>
    <t>CONDULETE DE PVC, TIPO B, PARA ELETRODUTO DE PVC SOLDÁVEL DN 20 MM (1/2''), APARENTE - FORNECIMENTO E INSTALAÇÃO. AF_11/2016</t>
  </si>
  <si>
    <t>CONDULETE DE PVC, TIPO B, PARA ELETRODUTO DE PVC SOLDÁVEL DN 25 MM (3/4''), APARENTE - FORNECIMENTO E INSTALAÇÃO. AF_11/2016</t>
  </si>
  <si>
    <t>CONDULETE DE PVC, TIPO B, PARA ELETRODUTO DE PVC SOLDÁVEL DN 32 MM (1''), APARENTE - FORNECIMENTO E INSTALAÇÃO. AF_11/2016</t>
  </si>
  <si>
    <t>CONDULETE DE PVC, TIPO LL, PARA ELETRODUTO DE PVC SOLDÁVEL DN 20 MM (1/2''), APARENTE - FORNECIMENTO E INSTALAÇÃO. AF_11/2016</t>
  </si>
  <si>
    <t>CONDULETE DE PVC, TIPO LL, PARA ELETRODUTO DE PVC SOLDÁVEL DN 25 MM (3/4''), APARENTE - FORNECIMENTO E INSTALAÇÃO. AF_11/2016</t>
  </si>
  <si>
    <t>CONDULETE DE PVC, TIPO LL, PARA ELETRODUTO DE PVC SOLDÁVEL DN 32 MM (1''), APARENTE - FORNECIMENTO E INSTALAÇÃO. AF_11/2016</t>
  </si>
  <si>
    <t>CONDULETE DE PVC, TIPO LB, PARA ELETRODUTO DE PVC SOLDÁVEL DN 20 MM (1/2''), APARENTE - FORNECIMENTO E INSTALAÇÃO. AF_11/2016</t>
  </si>
  <si>
    <t>CONDULETE DE PVC, TIPO LB, PARA ELETRODUTO DE PVC SOLDÁVEL DN 25 MM (3/4''), APARENTE - FORNECIMENTO E INSTALAÇÃO. AF_11/2016</t>
  </si>
  <si>
    <t>CONDULETE DE PVC, TIPO LB, PARA ELETRODUTO DE PVC SOLDÁVEL DN 32 MM (1''), APARENTE - FORNECIMENTO E INSTALAÇÃO. AF_11/2016</t>
  </si>
  <si>
    <t>CONDULETE DE PVC, TIPO TB, PARA ELETRODUTO DE PVC SOLDÁVEL DN 20 MM (1/2''), APARENTE - FORNECIMENTO E INSTALAÇÃO. AF_11/2016</t>
  </si>
  <si>
    <t>CONDULETE DE PVC, TIPO TB, PARA ELETRODUTO DE PVC SOLDÁVEL DN 25 MM (3/4''), APARENTE - FORNECIMENTO E INSTALAÇÃO. AF_11/2016</t>
  </si>
  <si>
    <t>CONDULETE DE PVC, TIPO TB, PARA ELETRODUTO DE PVC SOLDÁVEL DN 32 MM (1''), APARENTE - FORNECIMENTO E INSTALAÇÃO. AF_11/2016</t>
  </si>
  <si>
    <t>CONDULETE DE PVC, TIPO X, PARA ELETRODUTO DE PVC SOLDÁVEL DN 20 MM (1/2''), APARENTE - FORNECIMENTO E INSTALAÇÃO. AF_11/2016</t>
  </si>
  <si>
    <t>CONDULETE DE PVC, TIPO X, PARA ELETRODUTO DE PVC SOLDÁVEL DN 25 MM (3/4''), APARENTE - FORNECIMENTO E INSTALAÇÃO. AF_11/2016</t>
  </si>
  <si>
    <t>CONDULETE DE PVC, TIPO X, PARA ELETRODUTO DE PVC SOLDÁVEL DN 32 MM (1''), APARENTE - FORNECIMENTO E INSTALAÇÃO. AF_11/2016</t>
  </si>
  <si>
    <t>CAIXA OCTOGONAL 4" X 4", PVC, INSTALADA EM LAJE - FORNECIMENTO E INSTALAÇÃO. AF_12/2015</t>
  </si>
  <si>
    <t>CAIXA OCTOGONAL 3" X 3", PVC, INSTALADA EM LAJE - FORNECIMENTO E INSTALAÇÃO. AF_12/2015</t>
  </si>
  <si>
    <t>CAIXA RETANGULAR 4" X 2" ALTA (2,00 M DO PISO), PVC, INSTALADA EM PAREDE - FORNECIMENTO E INSTALAÇÃO. AF_12/2015</t>
  </si>
  <si>
    <t>CAIXA RETANGULAR 4" X 2" MÉDIA (1,30 M DO PISO), PVC, INSTALADA EM PAREDE - FORNECIMENTO E INSTALAÇÃO. AF_12/2015</t>
  </si>
  <si>
    <t>CAIXA RETANGULAR 4" X 2" BAIXA (0,30 M DO PISO), PVC, INSTALADA EM PAREDE - FORNECIMENTO E INSTALAÇÃO. AF_12/2015</t>
  </si>
  <si>
    <t>CAIXA RETANGULAR 4" X 4" ALTA (2,00 M DO PISO), PVC, INSTALADA EM PAREDE - FORNECIMENTO E INSTALAÇÃO. AF_12/2015</t>
  </si>
  <si>
    <t>CAIXA RETANGULAR 4" X 4" MÉDIA (1,30 M DO PISO), PVC, INSTALADA EM PAREDE - FORNECIMENTO E INSTALAÇÃO. AF_12/2015</t>
  </si>
  <si>
    <t>CAIXA RETANGULAR 4" X 4" BAIXA (0,30 M DO PISO), PVC, INSTALADA EM PAREDE - FORNECIMENTO E INSTALAÇÃO. AF_12/2015</t>
  </si>
  <si>
    <t>CAIXA OCTOGONAL 4" X 4", METÁLICA, INSTALADA EM LAJE - FORNECIMENTO E INSTALAÇÃO. AF_12/2015</t>
  </si>
  <si>
    <t>CAIXA SEXTAVADA 3" X 3", METÁLICA, INSTALADA EM LAJE - FORNECIMENTO E INSTALAÇÃO. AF_12/2015</t>
  </si>
  <si>
    <t>CAIXA RETANGULAR 4" X 2" ALTA (2,00 M DO PISO), METÁLICA, INSTALADA EM PAREDE - FORNECIMENTO E INSTALAÇÃO. AF_12/2015</t>
  </si>
  <si>
    <t>CAIXA RETANGULAR 4" X 2" MÉDIA (1,30 M DO PISO), METÁLICA, INSTALADA EM PAREDE - FORNECIMENTO E INSTALAÇÃO. AF_12/2015</t>
  </si>
  <si>
    <t>CAIXA RETANGULAR 4" X 2" BAIXA (0,30 M DO PISO), METÁLICA, INSTALADA EM PAREDE - FORNECIMENTO E INSTALAÇÃO. AF_12/2015</t>
  </si>
  <si>
    <t>CAIXA RETANGULAR 4" X 4" ALTA (2,00 M DO PISO), METÁLICA, INSTALADA EM PAREDE - FORNECIMENTO E INSTALAÇÃO. AF_12/2015</t>
  </si>
  <si>
    <t>CAIXA RETANGULAR 4" X 4" MÉDIA (1,30 M DO PISO), METÁLICA, INSTALADA EM PAREDE - FORNECIMENTO E INSTALAÇÃO. AF_12/2015</t>
  </si>
  <si>
    <t>CAIXA RETANGULAR 4" X 4" BAIXA (0,30 M DO PISO), METÁLICA, INSTALADA EM PAREDE - FORNECIMENTO E INSTALAÇÃO. AF_12/2015</t>
  </si>
  <si>
    <t>CAIXA ENTERRADA ELÉTRICA RETANGULAR, EM ALVENARIA COM TIJOLOS CERÂMICOS MACIÇOS, FUNDO COM BRITA, DIMENSÕES INTERNAS: 0,3X0,3X0,3 M. AF_12/2020</t>
  </si>
  <si>
    <t>CAIXA ENTERRADA ELÉTRICA RETANGULAR, EM ALVENARIA COM TIJOLOS CERÂMICOS MACIÇOS, FUNDO COM BRITA, DIMENSÕES INTERNAS: 0,4X0,4X0,4 M. AF_12/2020</t>
  </si>
  <si>
    <t>CAIXA ENTERRADA ELÉTRICA RETANGULAR, EM ALVENARIA COM TIJOLOS CERÂMICOS MACIÇOS, FUNDO COM BRITA, DIMENSÕES INTERNAS: 0,6X0,6X0,6 M. AF_12/2020</t>
  </si>
  <si>
    <t>CAIXA ENTERRADA ELÉTRICA RETANGULAR, EM ALVENARIA COM TIJOLOS CERÂMICOS MACIÇOS, FUNDO COM BRITA, DIMENSÕES INTERNAS: 0,8X0,8X0,6 M. AF_12/2020</t>
  </si>
  <si>
    <t>CAIXA ENTERRADA ELÉTRICA RETANGULAR, EM ALVENARIA COM TIJOLOS CERÂMICOS MACIÇOS, FUNDO COM BRITA, DIMENSÕES INTERNAS: 1X1X0,6 M. AF_12/2020</t>
  </si>
  <si>
    <t>CAIXA COM GRELHA SIMPLES RETANGULAR, EM CONCRETO PRÉ-MOLDADO, DIMENSÕES INTERNAS: 0,6X1,0X1,0 M. AF_12/2020</t>
  </si>
  <si>
    <t>CAIXA COM GRELHA SIMPLES RETANGULAR, EM ALVENARIA COM TIJOLOS CERÂMICOS MACIÇOS, DIMENSÕES INTERNAS: 0,5X1X1 M. AF_12/2020</t>
  </si>
  <si>
    <t>CAIXA COM GRELHA DUPLA RETANGULAR, EM ALVENARIA COM TIJOLOS CERÂMICOS MACIÇOS, DIMENSÕES INTERNAS: 0,5X2,2X1 M. AF_12/2020</t>
  </si>
  <si>
    <t>CAIXA COM GRELHA SIMPLES RETANGULAR, EM ALVENARIA COM BLOCOS DE CONCRETO, DIMENSÕES INTERNAS: 0,5X1X1 M. AF_12/2020</t>
  </si>
  <si>
    <t>CAIXA COM GRELHA DUPLA RETANGULAR, EM ALVENARIA COM BLOCOS DE CONCRETO, DIMENSÕES INTERNAS: 0,5X2,2X1 M. AF_12/2020</t>
  </si>
  <si>
    <t>CAIXA ENTERRADA ELÉTRICA RETANGULAR, EM ALVENARIA COM BLOCOS DE CONCRETO, FUNDO COM BRITA, DIMENSÕES INTERNAS: 0,4X0,4X0,4 M. AF_12/2020</t>
  </si>
  <si>
    <t>CAIXA ENTERRADA ELÉTRICA RETANGULAR, EM ALVENARIA COM BLOCOS DE CONCRETO, FUNDO COM BRITA, DIMENSÕES INTERNAS: 0,6X0,6X0,6 M. AF_12/2020</t>
  </si>
  <si>
    <t>CAIXA ENTERRADA ELÉTRICA RETANGULAR, EM ALVENARIA COM BLOCOS DE CONCRETO, FUNDO COM BRITA, DIMENSÕES INTERNAS: 0,8X0,8X0,6 M. AF_12/2020</t>
  </si>
  <si>
    <t>CAIXA ENTERRADA ELÉTRICA RETANGULAR, EM ALVENARIA COM BLOCOS DE CONCRETO, FUNDO COM BRITA, DIMENSÕES INTERNAS: 1X1X0,6 M. AF_12/2020</t>
  </si>
  <si>
    <t>CAIXA ENTERRADA ELÉTRICA RETANGULAR, EM CONCRETO PRÉ-MOLDADO, FUNDO COM BRITA, DIMENSÕES INTERNAS: 0,3X0,3X0,3 M. AF_12/2020</t>
  </si>
  <si>
    <t>CAIXA ENTERRADA ELÉTRICA RETANGULAR, EM CONCRETO PRÉ-MOLDADO, FUNDO COM BRITA, DIMENSÕES INTERNAS: 0,4X0,4X0,4 M. AF_12/2020</t>
  </si>
  <si>
    <t>CAIXA ENTERRADA ELÉTRICA RETANGULAR, EM CONCRETO PRÉ-MOLDADO, FUNDO COM BRITA, DIMENSÕES INTERNAS: 0,6X0,6X0,5 M. AF_12/2020</t>
  </si>
  <si>
    <t>CAIXA ENTERRADA ELÉTRICA RETANGULAR, EM CONCRETO PRÉ-MOLDADO, FUNDO COM BRITA, DIMENSÕES INTERNAS: 0,8X0,8X0,5 M. AF_12/2020</t>
  </si>
  <si>
    <t>CAIXA ENTERRADA ELÉTRICA RETANGULAR, EM CONCRETO PRÉ-MOLDADO, FUNDO COM BRITA, DIMENSÕES INTERNAS: 1X1X0,5 M. AF_12/2020</t>
  </si>
  <si>
    <t>SUPORTE PARAFUSADO COM PLACA DE ENCAIXE 4" X 2" ALTO (2,00 M DO PISO) PARA PONTO ELÉTRICO - FORNECIMENTO E INSTALAÇÃO. AF_12/2015</t>
  </si>
  <si>
    <t>SUPORTE PARAFUSADO COM PLACA DE ENCAIXE 4" X 2" MÉDIO (1,30 M DO PISO) PARA PONTO ELÉTRICO - FORNECIMENTO E INSTALAÇÃO. AF_12/2015</t>
  </si>
  <si>
    <t>SUPORTE PARAFUSADO COM PLACA DE ENCAIXE 4" X 2" BAIXO (0,30 M DO PISO) PARA PONTO ELÉTRICO - FORNECIMENTO E INSTALAÇÃO. AF_12/2015</t>
  </si>
  <si>
    <t>SUPORTE PARAFUSADO COM PLACA DE ENCAIXE 4" X 4" ALTO (2,00 M DO PISO) PARA PONTO ELÉTRICO - FORNECIMENTO E INSTALAÇÃO. AF_12/2015</t>
  </si>
  <si>
    <t>SUPORTE PARAFUSADO COM PLACA DE ENCAIXE 4" X 4" MÉDIO (1,30 M DO PISO) PARA PONTO ELÉTRICO - FORNECIMENTO E INSTALAÇÃO. AF_12/2015</t>
  </si>
  <si>
    <t>SUPORTE PARAFUSADO COM PLACA DE ENCAIXE 4" X 4" BAIXO (0,30 M DO PISO) PARA PONTO ELÉTRICO - FORNECIMENTO E INSTALAÇÃO. AF_12/2015</t>
  </si>
  <si>
    <t>QUADRO DE MEDIÇÃO GERAL DE ENERGIA PARA 1 MEDIDOR DE SOBREPOR - FORNECIMENTO E INSTALAÇÃO. AF_10/2020</t>
  </si>
  <si>
    <t>QUADRO DE MEDIÇÃO GERAL DE ENERGIA PARA BARRAMENTO BLINDADO COM 4 MEDIDORES - FORNECIMENTO E INSTALAÇÃO. AF_10/2020</t>
  </si>
  <si>
    <t>QUADRO DE MEDIÇÃO GERAL DE ENERGIA COM 8 MEDIDORES - FORNECIMENTO E INSTALAÇÃO. AF_10/2020</t>
  </si>
  <si>
    <t>QUADRO DE MEDIÇÃO GERAL DE ENERGIA COM 12 MEDIDORES - FORNECIMENTO E INSTALAÇÃO. AF_10/2020</t>
  </si>
  <si>
    <t>QUADRO DE MEDIÇÃO GERAL DE ENERGIA COM 16 MEDIDORES - FORNECIMENTO E INSTALAÇÃO. AF_10/2020</t>
  </si>
  <si>
    <t>QUADRO DE DISTRIBUIÇÃO DE ENERGIA EM CHAPA DE AÇO GALVANIZADO, DE EMBUTIR, COM BARRAMENTO TRIFÁSICO, PARA 12 DISJUNTORES DIN 100A - FORNECIMENTO E INSTALAÇÃO. AF_10/2020</t>
  </si>
  <si>
    <t>QUADRO DE DISTRIBUIÇÃO DE ENERGIA EM PVC, DE EMBUTIR, SEM BARRAMENTO, PARA 6 DISJUNTORES - FORNECIMENTO E INSTALAÇÃO. AF_10/2020</t>
  </si>
  <si>
    <t>QUADRO DE DISTRIBUIÇÃO DE ENERGIA EM PVC, DE EMBUTIR, SEM BARRAMENTO, PARA 3 DISJUNTORES - FORNECIMENTO E INSTALAÇÃO. AF_10/2020</t>
  </si>
  <si>
    <t>QUADRO DE DISTRIBUIÇÃO DE ENERGIA EM CHAPA DE AÇO GALVANIZADO, DE SOBREPOR, COM BARRAMENTO TRIFÁSICO, PARA 18 DISJUNTORES DIN 100A - FORNECIMENTO E INSTALAÇÃO. AF_10/2020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</si>
  <si>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</si>
  <si>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30 DISJUNTORES DIN 150A - FORNECIMENTO E INSTALAÇÃO. AF_10/2020</t>
  </si>
  <si>
    <t>QUADRO DE DISTRIBUIÇÃO DE ENERGIA EM CHAPA DE AÇO GALVANIZADO, DE EMBUTIR, COM BARRAMENTO TRIFÁSICO, PARA 40 DISJUNTORES DIN 100A - FORNECIMENTO E INSTALAÇÃO. AF_10/2020</t>
  </si>
  <si>
    <t>QUADRO DE DISTRIBUIÇÃO DE ENERGIA EM CHAPA DE AÇO GALVANIZADO, DE EMBUTIR, COM BARRAMENTO TRIFÁSICO, PARA 30 DISJUNTORES DIN 225A - FORNECIMENTO E INSTALAÇÃO. AF_10/2020</t>
  </si>
  <si>
    <t>QUADRO DE DISTRIBUIÇÃO DE ENERGIA EM CHAPA DE AÇO GALVANIZADO, DE EMBUTIR, COM BARRAMENTO TRIFÁSICO, PARA 18 DISJUNTORES DIN 100A - FORNECIMENTO E INSTALAÇÃO. AF_10/2020</t>
  </si>
  <si>
    <t>CONTATOR TRIPOLAR I NOMINAL 12A - FORNECIMENTO E INSTALAÇÃO. AF_10/2020</t>
  </si>
  <si>
    <t>CONTATOR TRIPOLAR I NOMINAL 22A - FORNECIMENTO E INSTALAÇÃO. AF_10/2020</t>
  </si>
  <si>
    <t>CONTATOR TRIPOLAR I NOMINAL 38A - FORNECIMENTO E INSTALAÇÃO. AF_10/2020</t>
  </si>
  <si>
    <t>CONTATOR TRIPOLAR I NOMIMAL 95A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</si>
  <si>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</si>
  <si>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</si>
  <si>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20A - FORNECIMENTO E INSTALAÇÃO. AF_10/2020</t>
  </si>
  <si>
    <t>DISJUNTOR MONOPOLAR TIPO DIN, CORRENTE NOMINAL DE 25A - FORNECIMENTO E INSTALAÇÃO. AF_10/2020</t>
  </si>
  <si>
    <t>DISJUNTOR MONOPOLAR TIPO DIN, CORRENTE NOMINAL DE 32A - FORNECIMENTO E INSTALAÇÃO. AF_10/2020</t>
  </si>
  <si>
    <t>DISJUNTOR MONOPOLAR TIPO DIN, CORRENTE NOMINAL DE 40A - FORNECIMENTO E INSTALAÇÃO. AF_10/2020</t>
  </si>
  <si>
    <t>DISJUNTOR MONOPOLAR TIPO DIN, CORRENTE NOMINAL DE 50A - FORNECIMENTO E INSTALAÇÃO. AF_10/2020</t>
  </si>
  <si>
    <t>DISJUNTOR MONOPOLAR TIPO NEMA, CORRENTE NOMINAL DE 10 ATÉ 30A - FORNECIMENTO E INSTALAÇÃO. AF_10/2020</t>
  </si>
  <si>
    <t>DISJUNTOR MONOPOLAR TIPO NEMA, CORRENTE NOMINAL DE 35 ATÉ 50A - FORNECIMENTO E INSTALAÇÃO. AF_10/2020</t>
  </si>
  <si>
    <t>DISJUNTOR BIPOLAR TIPO DIN, CORRENTE NOMINAL DE 10A - FORNECIMENTO E INSTALAÇÃO. AF_10/2020</t>
  </si>
  <si>
    <t>DISJUNTOR BIPOLAR TIPO DIN, CORRENTE NOMINAL DE 16A - FORNECIMENTO E INSTALAÇÃO. AF_10/2020</t>
  </si>
  <si>
    <t>DISJUNTOR BIPOLAR TIPO DIN, CORRENTE NOMINAL DE 20A - FORNECIMENTO E INSTALAÇÃO. AF_10/2020</t>
  </si>
  <si>
    <t>DISJUNTOR BIPOLAR TIPO DIN, CORRENTE NOMINAL DE 25A - FORNECIMENTO E INSTALAÇÃO. AF_10/2020</t>
  </si>
  <si>
    <t>DISJUNTOR BIPOLAR TIPO DIN, CORRENTE NOMINAL DE 32A - FORNECIMENTO E INSTALAÇÃO. AF_10/2020</t>
  </si>
  <si>
    <t>DISJUNTOR BIPOLAR TIPO DIN, CORRENTE NOMINAL DE 40A - FORNECIMENTO E INSTALAÇÃO. AF_10/2020</t>
  </si>
  <si>
    <t>DISJUNTOR BIPOLAR TIPO DIN, CORRENTE NOMINAL DE 50A - FORNECIMENTO E INSTALAÇÃO. AF_10/2020</t>
  </si>
  <si>
    <t>DISJUNTOR BIPOLAR TIPO NEMA, CORRENTE NOMINAL DE 10 ATÉ 50A - FORNECIMENTO E INSTALAÇÃO. AF_10/2020</t>
  </si>
  <si>
    <t>DISJUNTOR TRIPOLAR TIPO DIN, CORRENTE NOMINAL DE 10A - FORNECIMENTO E INSTALAÇÃO. AF_10/2020</t>
  </si>
  <si>
    <t>DISJUNTOR TRIPOLAR TIPO DIN, CORRENTE NOMINAL DE 16A - FORNECIMENTO E INSTALAÇÃO. AF_10/2020</t>
  </si>
  <si>
    <t>DISJUNTOR TRIPOLAR TIPO DIN, CORRENTE NOMINAL DE 20A - FORNECIMENTO E INSTALAÇÃO. AF_10/2020</t>
  </si>
  <si>
    <t>DISJUNTOR TRIPOLAR TIPO DIN, CORRENTE NOMINAL DE 25A - FORNECIMENTO E INSTALAÇÃO. AF_10/2020</t>
  </si>
  <si>
    <t>DISJUNTOR TRIPOLAR TIPO DIN, CORRENTE NOMINAL DE 32A - FORNECIMENTO E INSTALAÇÃO. AF_10/2020</t>
  </si>
  <si>
    <t>DISJUNTOR TRIPOLAR TIPO DIN, CORRENTE NOMINAL DE 40A - FORNECIMENTO E INSTALAÇÃO. AF_10/2020</t>
  </si>
  <si>
    <t>DISJUNTOR TRIPOLAR TIPO DIN, CORRENTE NOMINAL DE 50A - FORNECIMENTO E INSTALAÇÃO. AF_10/2020</t>
  </si>
  <si>
    <t>DISJUNTOR TRIPOLAR TIPO NEMA, CORRENTE NOMINAL DE 10 ATÉ 50A - FORNECIMENTO E INSTALAÇÃO. AF_10/2020</t>
  </si>
  <si>
    <t>DISJUNTOR TRIPOLAR TIPO NEMA, CORRENTE NOMINAL DE 60 ATÉ 100A - FORNECIMENTO E INSTALAÇÃO. AF_10/2020</t>
  </si>
  <si>
    <t>ABRAÇADEIRA DE FIXAÇÃO DE BRAÇOS DE LUMINÁRIAS DE 2" - FORNECIMENTO E INSTALAÇÃO. AF_08/2020</t>
  </si>
  <si>
    <t>ABRAÇADEIRA DE FIXAÇÃO DE BRAÇOS DE LUMINÁRIAS DE 3" - FORNECIMENTO E INSTALAÇÃO. AF_08/2020</t>
  </si>
  <si>
    <t>ABRAÇADEIRA DE FIXAÇÃO DE BRAÇOS DE LUMINÁRIAS DE 4" - FORNECIMENTO E INSTALAÇÃO. AF_08/2020</t>
  </si>
  <si>
    <t>DISJUNTOR TERMOMAGNÉTICO TRIPOLAR , CORRENTE NOMINAL DE 125A - FORNECIMENTO E INSTALAÇÃO. AF_10/2020</t>
  </si>
  <si>
    <t>DISJUNTOR TERMOMAGNÉTICO TRIPOLAR , CORRENTE NOMINAL DE 200A - FORNECIMENTO E INSTALAÇÃO. AF_10/2020</t>
  </si>
  <si>
    <t>DISJUNTOR TERMOMAGNÉTICO TRIPOLAR , CORRENTE NOMINAL DE 250A - FORNECIMENTO E INSTALAÇÃO. AF_10/2020</t>
  </si>
  <si>
    <t>DISJUNTOR TERMOMAGNÉTICO TRIPOLAR , CORRENTE NOMINAL DE 400A - FORNECIMENTO E INSTALAÇÃO. AF_10/2020</t>
  </si>
  <si>
    <t>DISJUNTOR TERMOMAGNÉTICO TRIPOLAR , CORRENTE NOMINAL DE 600A - FORNECIMENTO E INSTALAÇÃO. AF_10/2020</t>
  </si>
  <si>
    <t>DISJUNTOR BAIXA TENSÃO TRIPOLAR A SECO  800A/600V - FORNECIMENTO E INSTALAÇÃO. AF_10/2020</t>
  </si>
  <si>
    <t>INTERRUPTOR SIMPLES (1 MÓDULO), 10A/250V, SEM SUPORTE E SEM PLACA - FORNECIMENTO E INSTALAÇÃO. AF_12/2015</t>
  </si>
  <si>
    <t>INTERRUPTOR SIMPLES (1 MÓDULO), 10A/250V, INCLUINDO SUPORTE E PLACA - FORNECIMENTO E INSTALAÇÃO. AF_12/2015</t>
  </si>
  <si>
    <t>INTERRUPTOR SIMPLES (1 MÓDULO) COM INTERRUPTOR PARALELO (1 MÓDULO), 10A/250V, SEM SUPORTE E SEM PLACA - FORNECIMENTO E INSTALAÇÃO. AF_12/2015</t>
  </si>
  <si>
    <t>INTERRUPTOR SIMPLES (1 MÓDULO) COM INTERRUPTOR PARALELO (1 MÓDULO), 10A/250V, INCLUINDO SUPORTE E PLACA - FORNECIMENTO E INSTALAÇÃO. AF_12/2015</t>
  </si>
  <si>
    <t>INTERRUPTOR SIMPLES (2 MÓDULOS), 10A/250V, SEM SUPORTE E SEM PLACA - FORNECIMENTO E INSTALAÇÃO. AF_12/2015</t>
  </si>
  <si>
    <t>INTERRUPTOR SIMPLES (2 MÓDULOS), 10A/250V, INCLUINDO SUPORTE E PLACA - FORNECIMENTO E INSTALAÇÃO. AF_12/2015</t>
  </si>
  <si>
    <t>INTERRUPTOR SIMPLES (1 MÓDULO) COM INTERRUPTOR PARALELO (2 MÓDULOS), 10A/250V, SEM SUPORTE E SEM PLACA - FORNECIMENTO E INSTALAÇÃO. AF_12/2015</t>
  </si>
  <si>
    <t>INTERRUPTOR SIMPLES (1 MÓDULO) COM INTERRUPTOR PARALELO (2 MÓDULOS), 10A/250V, INCLUINDO SUPORTE E PLACA - FORNECIMENTO E INSTALAÇÃO. AF_12/2015</t>
  </si>
  <si>
    <t>INTERRUPTOR SIMPLES (2 MÓDULOS) COM INTERRUPTOR PARALELO (1 MÓDULO), 10A/250V, SEM SUPORTE E SEM PLACA - FORNECIMENTO E INSTALAÇÃO. AF_12/2015</t>
  </si>
  <si>
    <t>INTERRUPTOR SIMPLES (2 MÓDULOS) COM INTERRUPTOR PARALELO (1 MÓDULO), 10A/250V, INCLUINDO SUPORTE E PLACA - FORNECIMENTO E INSTALAÇÃO. AF_12/2015</t>
  </si>
  <si>
    <t>INTERRUPTOR SIMPLES (3 MÓDULOS), 10A/250V, SEM SUPORTE E SEM PLACA - FORNECIMENTO E INSTALAÇÃO. AF_12/2015</t>
  </si>
  <si>
    <t>INTERRUPTOR SIMPLES (3 MÓDULOS), 10A/250V, INCLUINDO SUPORTE E PLACA - FORNECIMENTO E INSTALAÇÃO. AF_12/2015</t>
  </si>
  <si>
    <t>INTERRUPTOR SIMPLES (3 MÓDULOS) COM INTERRUPTOR PARALELO (1 MÓDULO), 10A/250V, SEM SUPORTE E SEM PLACA - FORNECIMENTO E INSTALAÇÃO. AF_12/2015</t>
  </si>
  <si>
    <t>INTERRUPTOR SIMPLES (3 MÓDULOS) COM INTERRUPTOR PARALELO (1 MÓDULO), 10A/250V, INCLUINDO SUPORTE E PLACA - FORNECIMENTO E INSTALAÇÃO. AF_12/2015</t>
  </si>
  <si>
    <t>INTERRUPTOR SIMPLES (2 MÓDULOS) COM INTERRUPTOR PARALELO (2 MÓDULOS), 10A/250V, SEM SUPORTE E SEM PLACA - FORNECIMENTO E INSTALAÇÃO. AF_12/2015</t>
  </si>
  <si>
    <t>INTERRUPTOR SIMPLES (2 MÓDULOS) COM INTERRUPTOR PARALELO (2 MÓDULOS), 10A/250V, INCLUINDO SUPORTE E PLACA - FORNECIMENTO E INSTALAÇÃO. AF_12/2015</t>
  </si>
  <si>
    <t>INTERRUPTOR SIMPLES (4 MÓDULOS), 10A/250V, SEM SUPORTE E SEM PLACA - FORNECIMENTO E INSTALAÇÃO. AF_12/2015</t>
  </si>
  <si>
    <t>INTERRUPTOR SIMPLES (4 MÓDULOS), 10A/250V, INCLUINDO SUPORTE E PLACA - FORNECIMENTO E INSTALAÇÃO. AF_12/2015</t>
  </si>
  <si>
    <t>INTERRUPTOR SIMPLES (6 MÓDULOS), 10A/250V, SEM SUPORTE E SEM PLACA - FORNECIMENTO E INSTALAÇÃO. AF_12/2015</t>
  </si>
  <si>
    <t>INTERRUPTOR SIMPLES (6 MÓDULOS), 10A/250V, INCLUINDO SUPORTE E PLACA - FORNECIMENTO E INSTALAÇÃO. AF_12/2015</t>
  </si>
  <si>
    <t>INTERRUPTOR SIMPLES (1 MÓDULO) COM 1 TOMADA DE EMBUTIR 2P+T 10 A,  SEM SUPORTE E SEM PLACA - FORNECIMENTO E INSTALAÇÃO. AF_12/2015</t>
  </si>
  <si>
    <t>INTERRUPTOR SIMPLES (1 MÓDULO) COM 1 TOMADA DE EMBUTIR 2P+T 10 A,  INCLUINDO SUPORTE E PLACA - FORNECIMENTO E INSTALAÇÃO. AF_12/2015</t>
  </si>
  <si>
    <t>INTERRUPTOR SIMPLES (1 MÓDULO) COM 2 TOMADAS DE EMBUTIR 2P+T 10 A,  SEM SUPORTE E SEM PLACA - FORNECIMENTO E INSTALAÇÃO. AF_12/2015</t>
  </si>
  <si>
    <t>INTERRUPTOR SIMPLES (1 MÓDULO) COM 2 TOMADAS DE EMBUTIR 2P+T 10 A,  INCLUINDO SUPORTE E PLACA - FORNECIMENTO E INSTALAÇÃO. AF_12/2015</t>
  </si>
  <si>
    <t>INTERRUPTOR SIMPLES (2 MÓDULOS) COM 1 TOMADA DE EMBUTIR 2P+T 10 A,  SEM SUPORTE E SEM PLACA - FORNECIMENTO E INSTALAÇÃO. AF_12/2015</t>
  </si>
  <si>
    <t>INTERRUPTOR SIMPLES (2 MÓDULOS) COM 1 TOMADA DE EMBUTIR 2P+T 10 A,  INCLUINDO SUPORTE E PLACA - FORNECIMENTO E INSTALAÇÃO. AF_12/2015</t>
  </si>
  <si>
    <t>INTERRUPTOR SIMPLES (1 MÓDULO), INTERRUPTOR PARALELO (1 MÓDULO) E 1 TOMADA DE EMBUTIR 2P+T 10 A,  SEM SUPORTE E SEM PLACA - FORNECIMENTO E INSTALAÇÃO. AF_12/2015</t>
  </si>
  <si>
    <t>INTERRUPTOR SIMPLES (1 MÓDULO), INTERRUPTOR PARALELO (1 MÓDULO) E 1 TOMADA DE EMBUTIR 2P+T 10 A,  INCLUINDO SUPORTE E PLACA - FORNECIMENTO E INSTALAÇÃO. AF_12/2015</t>
  </si>
  <si>
    <t>INTERRUPTOR PARALELO (1 MÓDULO), 10A/250V, SEM SUPORTE E SEM PLACA - FORNECIMENTO E INSTALAÇÃO. AF_12/2015</t>
  </si>
  <si>
    <t>INTERRUPTOR PARALELO (1 MÓDULO), 10A/250V, INCLUINDO SUPORTE E PLACA - FORNECIMENTO E INSTALAÇÃO. AF_12/2015</t>
  </si>
  <si>
    <t>INTERRUPTOR PARALELO (2 MÓDULOS), 10A/250V, SEM SUPORTE E SEM PLACA - FORNECIMENTO E INSTALAÇÃO. AF_12/2015</t>
  </si>
  <si>
    <t>INTERRUPTOR PARALELO (2 MÓDULOS), 10A/250V, INCLUINDO SUPORTE E PLACA - FORNECIMENTO E INSTALAÇÃO. AF_12/2015</t>
  </si>
  <si>
    <t>INTERRUPTOR PARALELO (3 MÓDULOS), 10A/250V, SEM SUPORTE E SEM PLACA - FORNECIMENTO E INSTALAÇÃO. AF_12/2015</t>
  </si>
  <si>
    <t>INTERRUPTOR PARALELO (3 MÓDULOS), 10A/250V, INCLUINDO SUPORTE E PLACA - FORNECIMENTO E INSTALAÇÃO. AF_12/2015</t>
  </si>
  <si>
    <t>INTERRUPTOR PARALELO (1 MÓDULO) COM 1 TOMADA DE EMBUTIR 2P+T 10 A,  SEM SUPORTE E SEM PLACA - FORNECIMENTO E INSTALAÇÃO. AF_12/2015</t>
  </si>
  <si>
    <t>INTERRUPTOR PARALELO (1 MÓDULO) COM 1 TOMADA DE EMBUTIR 2P+T 10 A,  INCLUINDO SUPORTE E PLACA - FORNECIMENTO E INSTALAÇÃO. AF_12/2015</t>
  </si>
  <si>
    <t>INTERRUPTOR PARALELO (1 MÓDULO) COM 2 TOMADAS DE EMBUTIR 2P+T 10 A,  SEM SUPORTE E SEM PLACA - FORNECIMENTO E INSTALAÇÃO. AF_12/2015</t>
  </si>
  <si>
    <t>INTERRUPTOR PARALELO (1 MÓDULO) COM 2 TOMADAS DE EMBUTIR 2P+T 10 A,  INCLUINDO SUPORTE E PLACA - FORNECIMENTO E INSTALAÇÃO. AF_12/2015</t>
  </si>
  <si>
    <t>INTERRUPTOR PARALELO (2 MÓDULOS) COM 1 TOMADA DE EMBUTIR 2P+T 10 A,  SEM SUPORTE E SEM PLACA - FORNECIMENTO E INSTALAÇÃO. AF_12/2015</t>
  </si>
  <si>
    <t>INTERRUPTOR PARALELO (2 MÓDULOS) COM 1 TOMADA DE EMBUTIR 2P+T 10 A,  INCLUINDO SUPORTE E PLACA - FORNECIMENTO E INSTALAÇÃO. AF_12/2015</t>
  </si>
  <si>
    <t>INTERRUPTOR INTERMEDIÁRIO (1 MÓDULO), 10A/250V, SEM SUPORTE E SEM PLACA - FORNECIMENTO E INSTALAÇÃO. AF_09/2017</t>
  </si>
  <si>
    <t>INTERRUPTOR INTERMEDIÁRIO (1 MÓDULO), 10A/250V, INCLUINDO SUPORTE E PLACA - FORNECIMENTO E INSTALAÇÃO. AF_09/2017</t>
  </si>
  <si>
    <t>INTERRUPTOR BIPOLAR (1 MÓDULO), 10A/250V, SEM SUPORTE E SEM PLACA - FORNECIMENTO E INSTALAÇÃO. AF_09/2017</t>
  </si>
  <si>
    <t>INTERRUPTOR BIPOLAR (1 MÓDULO), 10A/250V, INCLUINDO SUPORTE E PLACA - FORNECIMENTO E INSTALAÇÃO. AF_09/2017</t>
  </si>
  <si>
    <t>DIMMER ROTATIVO (1 MÓDULO), 220V/600W, SEM SUPORTE E SEM PLACA - FORNECIMENTO E INSTALAÇÃO. AF_09/2017</t>
  </si>
  <si>
    <t>DIMMER ROTATIVO (1 MÓDULO), 220V/600W, INCLUINDO SUPORTE E PLACA - FORNECIMENTO E INSTALAÇÃO. AF_09/2017</t>
  </si>
  <si>
    <t>INTERRUPTOR PULSADOR CAMPAINHA (1 MÓDULO), 10A/250V, SEM SUPORTE E SEM PLACA - FORNECIMENTO E INSTALAÇÃO. AF_09/2017</t>
  </si>
  <si>
    <t>INTERRUPTOR PULSADOR CAMPAINHA (1 MÓDULO), 10A/250V, INCLUINDO SUPORTE E PLACA - FORNECIMENTO E INSTALAÇÃO. AF_09/2017</t>
  </si>
  <si>
    <t>CAMPAINHA CIGARRA (1 MÓDULO), 10A/250V, SEM SUPORTE E SEM PLACA - FORNECIMENTO E INSTALAÇÃO. AF_09/2017</t>
  </si>
  <si>
    <t>CAMPAINHA CIGARRA (1 MÓDULO), 10A/250V, INCLUINDO SUPORTE E PLACA - FORNECIMENTO E INSTALAÇÃO. AF_09/2017</t>
  </si>
  <si>
    <t>INTERRUPTOR PULSADOR MINUTERIA (1 MÓDULO), 10A/250V, SEM SUPORTE E SEM PLACA - FORNECIMENTO E INSTALAÇÃO. AF_09/2017</t>
  </si>
  <si>
    <t>INTERRUPTOR PULSADOR MINUTERIA (1 MÓDULO), 10A/250V, INCLUINDO SUPORTE E PLACA - FORNECIMENTO E INSTALAÇÃO. AF_09/2017</t>
  </si>
  <si>
    <t>TOMADA ALTA DE EMBUTIR (1 MÓDULO), 2P+T 10 A, SEM SUPORTE E SEM PLACA - FORNECIMENTO E INSTALAÇÃO. AF_12/2015</t>
  </si>
  <si>
    <t>TOMADA ALTA DE EMBUTIR (1 MÓDULO), 2P+T 20 A, SEM SUPORTE E SEM PLACA - FORNECIMENTO E INSTALAÇÃO. AF_12/2015</t>
  </si>
  <si>
    <t>TOMADA ALTA DE EMBUTIR (1 MÓDULO), 2P+T 10 A, INCLUINDO SUPORTE E PLACA - FORNECIMENTO E INSTALAÇÃO. AF_12/2015</t>
  </si>
  <si>
    <t>TOMADA ALTA DE EMBUTIR (1 MÓDULO), 2P+T 20 A, INCLUINDO SUPORTE E PLACA - FORNECIMENTO E INSTALAÇÃO. AF_12/2015</t>
  </si>
  <si>
    <t>TOMADA MÉDIA DE EMBUTIR (1 MÓDULO), 2P+T 10 A, SEM SUPORTE E SEM PLACA - FORNECIMENTO E INSTALAÇÃO. AF_12/2015</t>
  </si>
  <si>
    <t>TOMADA MÉDIA DE EMBUTIR (1 MÓDULO), 2P+T 20 A, SEM SUPORTE E SEM PLACA - FORNECIMENTO E INSTALAÇÃO. AF_12/2015</t>
  </si>
  <si>
    <t>TOMADA MÉDIA DE EMBUTIR (1 MÓDULO), 2P+T 10 A, INCLUINDO SUPORTE E PLACA - FORNECIMENTO E INSTALAÇÃO. AF_12/2015</t>
  </si>
  <si>
    <t>TOMADA MÉDIA DE EMBUTIR (1 MÓDULO), 2P+T 20 A, INCLUINDO SUPORTE E PLACA - FORNECIMENTO E INSTALAÇÃO. AF_12/2015</t>
  </si>
  <si>
    <t>TOMADA BAIXA DE EMBUTIR (1 MÓDULO), 2P+T 10 A, SEM SUPORTE E SEM PLACA - FORNECIMENTO E INSTALAÇÃO. AF_12/2015</t>
  </si>
  <si>
    <t>TOMADA BAIXA DE EMBUTIR (1 MÓDULO), 2P+T 20 A, SEM SUPORTE E SEM PLACA - FORNECIMENTO E INSTALAÇÃO. AF_12/2015</t>
  </si>
  <si>
    <t>TOMADA BAIXA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</si>
  <si>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</si>
  <si>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MÉDIA DE EMBUTIR (2 MÓDULOS), 2P+T 10 A, SEM SUPORTE E SEM PLACA - FORNECIMENTO E INSTALAÇÃO. AF_12/2015</t>
  </si>
  <si>
    <t>TOMADA MÉDIA DE EMBUTIR (2 MÓDULOS), 2P+T 20 A, SEM SUPORTE E SEM PLACA - FORNECIMENTO E INSTALAÇÃO. AF_12/2015</t>
  </si>
  <si>
    <t>TOMADA MÉDIA DE EMBUTIR (2 MÓDULOS), 2P+T 10 A, INCLUINDO SUPORTE E PLACA - FORNECIMENTO E INSTALAÇÃO. AF_12/2015</t>
  </si>
  <si>
    <t>TOMADA MÉDIA DE EMBUTIR (2 MÓDULOS), 2P+T 20 A, INCLUINDO SUPORTE E PLACA - FORNECIMENTO E INSTALAÇÃO. AF_12/2015</t>
  </si>
  <si>
    <t>TOMADA BAIXA DE EMBUTIR (2 MÓDULOS), 2P+T 10 A, SEM SUPORTE E SEM PLACA - FORNECIMENTO E INSTALAÇÃO. AF_12/2015</t>
  </si>
  <si>
    <t>TOMADA BAIXA DE EMBUTIR (2 MÓDULOS), 2P+T 20 A, SEM SUPORTE E SEM PLACA - FORNECIMENTO E INSTALAÇÃO. AF_12/2015</t>
  </si>
  <si>
    <t>TOMADA BAIXA DE EMBUTIR (2 MÓDULOS), 2P+T 10 A, INCLUINDO SUPORTE E PLACA - FORNECIMENTO E INSTALAÇÃO. AF_12/2015</t>
  </si>
  <si>
    <t>TOMADA BAIXA DE EMBUTIR (2 MÓDULOS), 2P+T 20 A, INCLUINDO SUPORTE E PLACA - FORNECIMENTO E INSTALAÇÃO. AF_12/2015</t>
  </si>
  <si>
    <t>TOMADA MÉDIA DE EMBUTIR (3 MÓDULOS), 2P+T 10 A, SEM SUPORTE E SEM PLACA - FORNECIMENTO E INSTALAÇÃO. AF_12/2015</t>
  </si>
  <si>
    <t>TOMADA MÉDIA DE EMBUTIR (3 MÓDULOS), 2P+T 20 A, SEM SUPORTE E SEM PLACA - FORNECIMENTO E INSTALAÇÃO. AF_12/2015</t>
  </si>
  <si>
    <t>TOMADA MÉDIA DE EMBUTIR (3 MÓDULOS), 2P+T 10 A, INCLUINDO SUPORTE E PLACA - FORNECIMENTO E INSTALAÇÃO. AF_12/2015</t>
  </si>
  <si>
    <t>TOMADA MÉDIA DE EMBUTIR (3 MÓDULOS), 2P+T 20 A, INCLUINDO SUPORTE E PLACA - FORNECIMENTO E INSTALAÇÃO. AF_12/2015</t>
  </si>
  <si>
    <t>TOMADA BAIXA DE EMBUTIR (3 MÓDULOS), 2P+T 10 A, SEM SUPORTE E SEM PLACA - FORNECIMENTO E INSTALAÇÃO. AF_12/2015</t>
  </si>
  <si>
    <t>TOMADA BAIXA DE EMBUTIR (3 MÓDULOS), 2P+T 20 A, SEM SUPORTE E SEM PLACA - FORNECIMENTO E INSTALAÇÃO. AF_12/2015</t>
  </si>
  <si>
    <t>TOMADA BAIXA DE EMBUTIR (3 MÓDULOS), 2P+T 10 A, INCLUINDO SUPORTE E PLACA - FORNECIMENTO E INSTALAÇÃO. AF_12/2015</t>
  </si>
  <si>
    <t>TOMADA BAIXA DE EMBUTIR (3 MÓDULOS), 2P+T 20 A, INCLUINDO SUPORTE E PLACA - FORNECIMENTO E INSTALAÇÃO. AF_12/2015</t>
  </si>
  <si>
    <t>TOMADA BAIXA DE EMBUTIR (4 MÓDULOS), 2P+T 10 A, SEM SUPORTE E SEM PLACA - FORNECIMENTO E INSTALAÇÃO. AF_12/2015</t>
  </si>
  <si>
    <t>TOMADA BAIXA DE EMBUTIR (4 MÓDULOS), 2P+T 10 A, INCLUINDO SUPORTE E PLACA - FORNECIMENTO E INSTALAÇÃO. AF_12/2015</t>
  </si>
  <si>
    <t>TOMADA BAIXA DE EMBUTIR (6 MÓDULOS), 2P+T 10 A, SEM SUPORTE E SEM PLACA - FORNECIMENTO E INSTALAÇÃO. AF_12/2015</t>
  </si>
  <si>
    <t>TOMADA BAIXA DE EMBUTIR (6 MÓDULOS), 2P+T 10 A, INCLUINDO SUPORTE E PLACA - FORNECIMENTO E INSTALAÇÃO. AF_12/2015</t>
  </si>
  <si>
    <t>PONTO DE TOMADA RESIDENCIAL INCLUINDO TOMADA 10A/250V, CAIXA ELÉTRICA, ELETRODUTO, CABO, RASGO, QUEBRA E CHUMBAMENTO. AF_01/2016</t>
  </si>
  <si>
    <t>PONTO DE TOMADA RESIDENCIAL INCLUINDO TOMADA (2 MÓDULOS) 10A/250V, CAIXA ELÉTRICA, ELETRODUTO, CABO, RASGO, QUEBRA E CHUMBAMENTO. AF_01/2016</t>
  </si>
  <si>
    <t>PONTO DE TOMADA RESIDENCIAL INCLUINDO TOMADA 20A/250V, CAIXA ELÉTRICA, ELETRODUTO, CABO, RASGO, QUEBRA E CHUMBAMENTO. AF_01/2016</t>
  </si>
  <si>
    <t>PONTO DE UTILIZAÇÃO DE EQUIPAMENTOS ELÉTRICOS, RESIDENCIAL, INCLUINDO SUPORTE E PLACA, CAIXA ELÉTRICA, ELETRODUTO, CABO, RASGO, QUEBRA E CHUMBAMENTO. AF_01/2016</t>
  </si>
  <si>
    <t>PONTO DE ILUMINAÇÃO E TOMADA, RESIDENCIAL, INCLUINDO INTERRUPTOR SIMPLES E TOMADA 10A/250V, CAIXA ELÉTRICA, ELETRODUTO, CABO, RASGO, QUEBRA E CHUMBAMENTO (EXCLUINDO LUMINÁRIA E LÂMPADA). AF_01/2016</t>
  </si>
  <si>
    <t>PONTO DE ILUMINAÇÃO E TOMADA, RESIDENCIAL, INCLUINDO INTERRUPTOR PARALELO E TOMADA 10A/250V, CAIXA ELÉTRICA, ELETRODUTO, CABO, RASGO, QUEBRA E CHUMBAMENTO (EXCLUINDO LUMINÁRIA E LÂMPADA). AF_01/2016</t>
  </si>
  <si>
    <t>PONTO DE ILUMINAÇÃO E TOMADA, RESIDENCIAL, INCLUINDO INTERRUPTOR SIMPLES, INTERRUPTOR PARALELO E TOMADA 10A/250V, CAIXA ELÉTRICA, ELETRODUTO, CABO, RASGO, QUEBRA E CHUMBAMENTO (EXCLUINDO LUMINÁRIA E LÂMPADA). AF_01/2016</t>
  </si>
  <si>
    <t>PONTO DE ILUMINAÇÃO RESIDENCIAL INCLUINDO INTERRUPTOR SIMPLES, CAIXA ELÉTRICA, ELETRODUTO, CABO, RASGO, QUEBRA E CHUMBAMENTO (EXCLUINDO LUMINÁRIA E LÂMPADA). AF_01/2016</t>
  </si>
  <si>
    <t>PONTO DE ILUMINAÇÃO RESIDENCIAL INCLUINDO INTERRUPTOR SIMPLES (2 MÓDULOS), CAIXA ELÉTRICA, ELETRODUTO, CABO, RASGO, QUEBRA E CHUMBAMENTO (EXCLUINDO LUMINÁRIA E LÂMPADA). AF_01/2016</t>
  </si>
  <si>
    <t>PONTO DE ILUMINAÇÃO RESIDENCIAL INCLUINDO INTERRUPTOR PARALELO, CAIXA ELÉTRICA, ELETRODUTO, CABO, RASGO, QUEBRA E CHUMBAMENTO (EXCLUINDO LUMINÁRIA E LÂMPADA). AF_01/2016</t>
  </si>
  <si>
    <t>PONTO DE ILUMINAÇÃO RESIDENCIAL INCLUINDO INTERRUPTOR PARALELO (2 MÓDULOS), CAIXA ELÉTRICA, ELETRODUTO, CABO, RASGO, QUEBRA E CHUMBAMENTO (EXCLUINDO LUMINÁRIA E LÂMPADA). AF_01/2016</t>
  </si>
  <si>
    <t>PONTO DE ILUMINAÇÃO RESIDENCIAL INCLUINDO INTERRUPTOR SIMPLES CONJUGADO COM PARALELO, CAIXA ELÉTRICA, ELETRODUTO, CABO, RASGO, QUEBRA E CHUMBAMENTO (EXCLUINDO LUMINÁRIA E LÂMPADA). AF_01/2016</t>
  </si>
  <si>
    <t>SENSOR DE PRESENÇA COM FOTOCÉLULA, FIXAÇÃO EM PAREDE - FORNECIMENTO E INSTALAÇÃO. AF_02/2020</t>
  </si>
  <si>
    <t>SENSOR DE PRESENÇA SEM FOTOCÉLULA, FIXAÇÃO EM PAREDE - FORNECIMENTO E INSTALAÇÃO. AF_02/2020</t>
  </si>
  <si>
    <t>SENSOR DE PRESENÇA COM FOTOCÉLULA, FIXAÇÃO EM TETO - FORNECIMENTO E INSTALAÇÃO. AF_02/2020</t>
  </si>
  <si>
    <t>SENSOR DE PRESENÇA SEM FOTOCÉLULA, FIXAÇÃO EM TETO - FORNECIMENTO E INSTALAÇÃO. AF_02/2020</t>
  </si>
  <si>
    <t>LUMINÁRIA DE EMERGÊNCIA, COM 30 LÂMPADAS LED DE 2 W, SEM REATOR - FORNECIMENTO E INSTALAÇÃO. AF_02/2020</t>
  </si>
  <si>
    <t>LUMINÁRIA TIPO CALHA, DE SOBREPOR, COM 1 LÂMPADA TUBULAR FLUORESCENTE DE 18 W, COM REATOR DE PARTIDA RÁPIDA - FORNECIMENTO E INSTALAÇÃO. AF_02/2020</t>
  </si>
  <si>
    <t>LUMINÁRIA FECHADA PARA ILUMINAÇÃO PÚBLICA, COM REATOR DE PARTIDA RÁPIDA, COM LÂMPADA VAPOR DE MERCÚRIO 250 W - FORNECIMENTO E INSTALAÇÃO. AF_08/2020</t>
  </si>
  <si>
    <t>LUMINÁRIA FECHADA, PARA ILUMINAÇÃO PÚBLICA, PARA LÂMPADA DE VAPOR - FORNECIMENTO E INSTALAÇÃO (EXCLUSIVE LÂMPADA E REATOR). AF_08/2020</t>
  </si>
  <si>
    <t>LUMINÁRIA ABERTA PARA ILUMINAÇÃO PÚBLICA, PARA LÂMPADA VAPOR DE MERCÚRIO ATÉ 400 W E MISTA ATÉ 500 W, COM BRAÇO EM TUBO DE AÇO GALV 1", COMPRIMENTO DE 1,50 M, PARA POSTE DE CONCRETO - FORNECIMENTO E INSTALAÇÃO (EXCLUSIVE LÂMPADA E REATOR). AF_08/2020</t>
  </si>
  <si>
    <t>LUMINÁRIA TIPO CALHA, DE SOBREPOR, COM 1 LÂMPADA TUBULAR FLUORESCENTE DE 36 W, COM REATOR DE PARTIDA RÁPIDA - FORNECIMENTO E INSTALAÇÃO. AF_02/2020</t>
  </si>
  <si>
    <t>LUMINÁRIA TIPO CALHA, DE SOBREPOR, COM 2 LÂMPADAS TUBULARES FLUORESCENTES DE 18 W, COM REATOR DE PARTIDA RÁPIDA - FORNECIMENTO E INSTALAÇÃO. AF_02/2020</t>
  </si>
  <si>
    <t>LUMINÁRIA TIPO CALHA, DE SOBREPOR, COM 2 LÂMPADAS TUBULARES FLUORESCENTES DE 36 W, COM REATOR DE PARTIDA RÁPIDA - FORNECIMENTO E INSTALAÇÃO. AF_02/2020</t>
  </si>
  <si>
    <t>LUMINÁRIA TIPO CALHA, DE EMBUTIR, COM 2 LÂMPADAS FLUORESCENTES DE 14 W, COM REATOR DE PARTIDA RÁPIDA - FORNECIMENTO E INSTALAÇÃO. AF_02/2020</t>
  </si>
  <si>
    <t>LUMINÁRIA TIPO PLAFON EM PLÁSTICO, DE SOBREPOR, COM 1 LÂMPADA FLUORESCENTE DE 15 W, SEM REATOR - FORNECIMENTO E INSTALAÇÃO. AF_02/2020</t>
  </si>
  <si>
    <t>LUMINÁRIA TIPO PLAFON REDONDO COM VIDRO FOSCO, DE SOBREPOR, COM 1 LÂMPADA FLUORESCENTE DE 15 W, SEM REATOR - FORNECIMENTO E INSTALAÇÃO. AF_02/2020</t>
  </si>
  <si>
    <t>LUMINÁRIA TIPO PLAFON REDONDO COM VIDRO FOSCO, DE SOBREPOR, COM 2 LÂMPADAS FLUORESCENTES DE 15 W, SEM REATOR - FORNECIMENTO E INSTALAÇÃO. AF_02/2020</t>
  </si>
  <si>
    <t>LUMINÁRIA TIPO PLAFON, DE SOBREPOR, COM 1 LÂMPADA LED DE 12/13 W, SEM REATOR - FORNECIMENTO E INSTALAÇÃO. AF_02/2020</t>
  </si>
  <si>
    <t>LUMINÁRIA TIPO SPOT, DE SOBREPOR, COM 1 LÂMPADA FLUORESCENTE DE 15 W, SEM REATOR - FORNECIMENTO E INSTALAÇÃO. AF_02/2020</t>
  </si>
  <si>
    <t>LUMINÁRIA TIPO SPOT, DE SOBREPOR, COM 2 LÂMPADAS FLUORESCENTES DE 15 W, SEM REATOR - FORNECIMENTO E INSTALAÇÃO. AF_02/2020</t>
  </si>
  <si>
    <t>REFLETOR RETANGULAR FECHADO, COM LÂMPADA VAPOR METÁLICO 400 W - FORNECIMENTO E INSTALAÇÃO. AF_08/2020</t>
  </si>
  <si>
    <t>REFLETOR EM ALUMÍNIO, DE SUPORTE E ALÇA, COM 1 LÂMPADA VAPOR DE MERCÚRIO DE 125 W, COM REATOR ALTO FATOR DE POTÊNCIA - FORNECIMENTO E INSTALAÇÃO. AF_02/2020</t>
  </si>
  <si>
    <t>REFLETOR EM ALUMÍNIO, DE SUPORTE E ALÇA, COM LÂMPADA VAPOR DE MERCÚRIO DE 250 W, COM REATOR ALTO FATOR DE POTÊNCIA - FORNECIMENTO E INSTALAÇÃO. AF_02/2020</t>
  </si>
  <si>
    <t>LÂMPADA COMPACTA FLUORESCENTE DE 15 W, BASE E27 - FORNECIMENTO E INSTALAÇÃO. AF_02/2020</t>
  </si>
  <si>
    <t>LÂMPADA COMPACTA FLUORESCENTE DE 20 W, BASE E27 - FORNECIMENTO E INSTALAÇÃO. AF_02/2020</t>
  </si>
  <si>
    <t>LÂMPADA TUBULAR FLUORESCENTE T8 DE 16/18 W, BASE G13 - FORNECIMENTO E INSTALAÇÃO. AF_02/2020_P</t>
  </si>
  <si>
    <t>LÂMPADA TUBULAR FLUORESCENTE T8 DE 32/36 W, BASE G13 - FORNECIMENTO E INSTALAÇÃO. AF_02/2020_P</t>
  </si>
  <si>
    <t>LÂMPADA TUBULAR FLUORESCENTE T10 DE 20/40 W, BASE G13 - FORNECIMENTO E INSTALAÇÃO. AF_02/2020_P</t>
  </si>
  <si>
    <t>LÂMPADA TUBULAR FLUORESCENTE T5 DE 14 W, BASE G13 - FORNECIMENTO E INSTALAÇÃO. AF_02/2020_P</t>
  </si>
  <si>
    <t>LÂMPADA COMPACTA DE VAPOR MERCURIO 125 W, BASE E27 - FORNECIMENTO E INSTALAÇÃO. AF_02/2020</t>
  </si>
  <si>
    <t>LÂMPADA COMPACTA DE VAPOR METÁLICO OVOIDE 150 W, BASE E27 - FORNECIMENTO E INSTALAÇÃO. AF_02/2020</t>
  </si>
  <si>
    <t>LÂMPADA VAPOR DE SÓDIO 150 W - FORNECIMENTO E INSTALAÇÃO. AF_08/2020</t>
  </si>
  <si>
    <t>LÂMPADA VAPOR DE SÓDIO 250 W - FORNECIMENTO E INSTALAÇÃO. AF_08/2020</t>
  </si>
  <si>
    <t>LÂMPADA VAPOR DE SÓDIO 400 W - FORNECIMENTO E INSTALAÇÃO. AF_08/2020</t>
  </si>
  <si>
    <t>LÂMPADA VAPOR METÁLICO 400 W - FORNECIMENTO E INSTALAÇÃO. AF_08/2020</t>
  </si>
  <si>
    <t>LÂMPADA VAPOR METÁLICO 150 W - FORNECIMENTO E INSTALAÇÃO. AF_08/2020</t>
  </si>
  <si>
    <t>LÂMPADA VAPOR DE MERCÚRIO 125 W - FORNECIMENTO E INSTALAÇÃO. AF_08/2020</t>
  </si>
  <si>
    <t>LÂMPADA VAPOR DE MERCÚRIO 250 W - FORNECIMENTO E INSTALAÇÃO. AF_08/2020</t>
  </si>
  <si>
    <t>LÂMPADA VAPOR DE MERCÚRIO 400 W - FORNECIMENTO E INSTALAÇÃO. AF_08/2020</t>
  </si>
  <si>
    <t>LÂMPADA MISTA 160 W - FORNECIMENTO E INSTALAÇÃO. AF_08/2020</t>
  </si>
  <si>
    <t>LÂMPADA MISTA 250 W - FORNECIMENTO E INSTALAÇÃO. AF_08/2020</t>
  </si>
  <si>
    <t>LÂMPADA MISTA 500 W - FORNECIMENTO E INSTALAÇÃO. AF_08/2020</t>
  </si>
  <si>
    <t>LUMINÁRIA ESTANQUE COM PROTEÇÃO CONTRA ÁGUA, POEIRA OU IMPACTOS - FORNECIMENTO E INSTALAÇÃO. AF_08/2020</t>
  </si>
  <si>
    <t>LUMINÁRIA ARANDELA TIPO MEIA LUA, DE SOBREPOR, COM 1 LÂMPADA LED DE 6 W, SEM REATOR - FORNECIMENTO E INSTALAÇÃO. AF_02/2020</t>
  </si>
  <si>
    <t>LUMINÁRIA DE LED PARA ILUMINAÇÃO PÚBLICA, DE 33 W ATÉ 50 W - FORNECIMENTO E INSTALAÇÃO. AF_08/2020</t>
  </si>
  <si>
    <t>LUMINÁRIA DE LED PARA ILUMINAÇÃO PÚBLICA, DE 51 W ATÉ 67 W - FORNECIMENTO E INSTALAÇÃO. AF_08/2020</t>
  </si>
  <si>
    <t>LUMINÁRIA DE LED PARA ILUMINAÇÃO PÚBLICA, DE 68 W ATÉ 97 W - FORNECIMENTO E INSTALAÇÃO. AF_08/2020</t>
  </si>
  <si>
    <t>LUMINÁRIA DE LED PARA ILUMINAÇÃO PÚBLICA, DE 98 W ATÉ 137 W - FORNECIMENTO E INSTALAÇÃO. AF_08/2020</t>
  </si>
  <si>
    <t>LUMINÁRIA DE LED PARA ILUMINAÇÃO PÚBLICA, DE 138 W ATÉ 180 W - FORNECIMENTO E INSTALAÇÃO. AF_08/2020</t>
  </si>
  <si>
    <t>LUMINÁRIA DE LED PARA ILUMINAÇÃO PÚBLICA, DE 181 W ATÉ 239 W - FORNECIMENTO E INSTALAÇÃO. AF_08/2020</t>
  </si>
  <si>
    <t>LUMINÁRIA DE LED PARA ILUMINAÇÃO PÚBLICA, DE 240 W ATÉ 350 W - FORNECIMENTO E INSTALAÇÃO. AF_08/2020</t>
  </si>
  <si>
    <t>LUMINÁRIA ARANDELA TIPO MEIA LUA, DE SOBREPOR, COM 1 LÂMPADA FLUORESCENTE DE 15 W, SEM REATOR - FORNECIMENTO E INSTALAÇÃO. AF_02/2020</t>
  </si>
  <si>
    <t>LUMINÁRIA ARANDELA TIPO TARTARUGA, DE SOBREPOR, COM 1 LÂMPADA LED DE 6 W, SEM REATOR - FORNECIMENTO E INSTALAÇÃO. AF_02/2020</t>
  </si>
  <si>
    <t>LUMINÁRIA ARANDELA TIPO TARTARUGA, COM GRADE, DE SOBREPOR, COM 1 LÂMPADA FLUORESCENTE DE 15 W, SEM REATOR - FORNECIMENTO E INSTALAÇÃO. AF_02/2020</t>
  </si>
  <si>
    <t>LÂMPADA TUBULAR LED DE 9/10 W, BASE G13 - FORNECIMENTO E INSTALAÇÃO. AF_02/2020_P</t>
  </si>
  <si>
    <t>LÂMPADA TUBULAR LED DE 18/20 W, BASE G13 - FORNECIMENTO E INSTALAÇÃO. AF_02/2020_P</t>
  </si>
  <si>
    <t>LUMINÁRIA TIPO CALHA, DE SOBREPOR, COM 1 LÂMPADA TUBULAR FLUORESCENTE DE 20 W, COM REATOR DE PARTIDA CONVENCIONAL - FORNECIMENTO E INSTALAÇÃO. AF_02/2020</t>
  </si>
  <si>
    <t>LUMINÁRIA DUPLA TIPO CALHA, DE SOBREPOR, COM 4 LÂMPADAS TUBULARES FLUORESCENTES DE 18 W,COM REATORES DE PARTIDA RÁPIDA - FORNECIMENTO E INSTALAÇÃO. AF_02/2020</t>
  </si>
  <si>
    <t>LUMINÁRIA DUPLA TIPO CALHA, DE SOBREPOR, COM 4 LÂMPADAS TUBULARES FLUORESCENTES DE 36 W, COM REATORES DE PARTIDA RÁPIDA -FORNECIMENTO E INSTALAÇÃO. AF_02/2020</t>
  </si>
  <si>
    <t>LÂMPADA FLUORESCENTE ESPIRAL BRANCA 45 W, BASE E27 - FORNECIMENTO E INSTALAÇÃO. AF_02/2020</t>
  </si>
  <si>
    <t>LÂMPADA FLUORESCENTE ESPIRAL BRANCA 65 W, BASE E27 - FORNECIMENTO E INSTALAÇÃO. AF_02/2020</t>
  </si>
  <si>
    <t>LÂMPADA COMPACTA DE LED 6 W, BASE E27 - FORNECIMENTO E INSTALAÇÃO. AF_02/2020</t>
  </si>
  <si>
    <t>LÂMPADA COMPACTA DE LED 10 W, BASE E27 - FORNECIMENTO E INSTALAÇÃO. AF_02/2020</t>
  </si>
  <si>
    <t>APARELHO SINALIZADOR DE SAÍDA DE GARAGEM, COM CÉLULA FOTOELÉTRICA - FORNECIMENTO E INSTALAÇÃO. AF_07/2020</t>
  </si>
  <si>
    <t>INSTALAÇÃO DE SINALIZADOR NOTURNO LED. AF_11/2017</t>
  </si>
  <si>
    <t>ARMAÇÃO SECUNDÁRIA, COM 1 ESTRIBO E 1 ISOLADOR - FORNECIMENTO E INSTALAÇÃO. AF_07/2020</t>
  </si>
  <si>
    <t>ARMAÇÃO SECUNDÁRIA, COM 2 ESTRIBOS E 2 ISOLADORES - FORNECIMENTO E INSTALAÇÃO. AF_07/2020</t>
  </si>
  <si>
    <t>ARMAÇÃO SECUNDÁRIA, COM 3 ESTRIBOS E 3 ISOLADORES - FORNECIMENTO E INSTALAÇÃO. AF_07/2020</t>
  </si>
  <si>
    <t>ARMAÇÃO SECUNDÁRIA, COM 4 ESTRIBOS E 4 ISOLADORES - FORNECIMENTO E INSTALAÇÃO. AF_07/2020</t>
  </si>
  <si>
    <t>ARMAÇÃO SECUNDÁRIA, COM 1 ESTRIBO, SEM ISOLADOR - FORNECIMENTO E INSTALAÇÃO. AF_07/2020</t>
  </si>
  <si>
    <t>ARMAÇÃO SECUNDÁRIA, COM 2 ESTRIBOS, SEM ISOLADOR - FORNECIMENTO E INSTALAÇÃO. AF_07/2020</t>
  </si>
  <si>
    <t>ARMAÇÃO SECUNDÁRIA, COM 3 ESTRIBOS, SEM ISOLADOR - FORNECIMENTO E INSTALAÇÃO. AF_07/2020</t>
  </si>
  <si>
    <t>ARMAÇÃO SECUNDÁRIA, COM 4 ESTRIBOS, SEM ISOLADOR - FORNECIMENTO E INSTALAÇÃO. AF_07/2020</t>
  </si>
  <si>
    <t>ISOLADOR, TIPO PINO, PARA TENSÃO 15 KV - FORNECIMENTO E INSTALAÇÃO. AF_07/2020</t>
  </si>
  <si>
    <t>ISOLADOR, TIPO DISCO, PARA TENSÃO 15 KV - FORNECIMENTO E INSTALAÇÃO. AF_07/2020</t>
  </si>
  <si>
    <t>ISOLADOR, TIPO ROLDANA, PARA BAIXA TENSÃO - FORNECIMENTO E INSTALAÇÃO. AF_07/2020</t>
  </si>
  <si>
    <t>GRAMPO PARALELO METÁLICO, PARA REDES AÉREAS DE DISTRIBUIÇÃO DE ENERGIA ELÉTRICA DE BAIXA TENSÃO - FORNECIMENTO E INSTALAÇÃO. AF_07/2020</t>
  </si>
  <si>
    <t>ALÇA PREFORMADA DE DISTRIBUIÇÃO, EM  AÇO GALVANIZADO, AWG 1 - FORNECIMENTO E INSTALAÇÃO. AF_07/2020</t>
  </si>
  <si>
    <t>ALÇA PREFORMADA DE DISTRIBUIÇÃO, EM  AÇO GALVANIZADO, AWG 2 - FORNECIMENTO E INSTALAÇÃO. AF_07/2020</t>
  </si>
  <si>
    <t>ALÇA PREFORMADA DE DISTRIBUIÇÃO, EM  AÇO GALVANIZADO, AWG 4 - FORNECIMENTO E INSTALAÇÃO. AF_07/2020</t>
  </si>
  <si>
    <t>ALÇA PREFORMADA DE DISTRIBUIÇÃO, EM  AÇO GALVANIZADO, AWG 6 - FORNECIMENTO E INSTALAÇÃO. AF_07/2020</t>
  </si>
  <si>
    <t>REATOR PARA LÂMPADA VAPOR DE MERCÚRIO 400 W, USO EXTERNO - FORNECIMENTO E INSTALAÇÃO. AF_08/2020</t>
  </si>
  <si>
    <t>REATOR PARA LÂMPADA VAPOR DE SÓDIO 250 W, USO EXTERNO - FORNECIMENTO E INSTALAÇÃO. AF_08/2020</t>
  </si>
  <si>
    <t>REATOR PARA LÂMPADA VAPOR DE MERCÚRIO 125 W, USO EXTERNO - FORNECIMENTO E INSTALAÇÃO. AF_08/2020</t>
  </si>
  <si>
    <t>REATOR PARA LÂMPADA VAPOR DE MERCÚRIO 250 W, USO EXTERNO - FORNECIMENTO E INSTALAÇÃO. AF_08/2020</t>
  </si>
  <si>
    <t>REATOR DE PARTIDA RÁPIDA PARA LÂMPADA FLUORESCENTE 2X40W - FORNECIMENTO E INSTALAÇÃO. AF_02/2020</t>
  </si>
  <si>
    <t>REATOR DE PARTIDA RÁPIDA PARA LÂMPADA FLUORESCENTE 1X20W - FORNECIMENTO E INSTALAÇÃO. AF_02/2020</t>
  </si>
  <si>
    <t>REATOR DE PARTIDA RÁPIDA PARA LÂMPADA FLUORESCENTE 1X40W - FORNECIMENTO E INSTALAÇÃO. AF_02/2020</t>
  </si>
  <si>
    <t>SUBSTITUIÇÃO DE LUMINÁRIA DE VAPOR DE MERCÚRIO/VAPOR DE SÓDIO POR LUMINÁRIA DE LED PARA ILUMINAÇÃO PÚBLICA (NÃO INCLUI FORNECIMENTO). AF_08/2020</t>
  </si>
  <si>
    <t>SUBSTITUIÇÃO DE LÂMPADA PARA ILUMINAÇÃO PÚBLICA (NÃO INCLUI FORNECIMENTO). AF_08/2020</t>
  </si>
  <si>
    <t>SUBSTITUIÇÃO DE REATOR PARA ILUMINAÇÃO PÚBLICA (NÃO INCLUI FORNECIMENTO). AF_08/2020</t>
  </si>
  <si>
    <t>IGNITOR PARA PARTIDA LÂMPADA VAPOR SÓDIO / VAPOR METÁLICO ATÉ 400 W - FORNECIMENTO E INSTALAÇÃO. AF_08/2020</t>
  </si>
  <si>
    <t>RELÉ FOTOELÉTRICO PARA COMANDO DE ILUMINAÇÃO EXTERNA 1000 W - FORNECIMENTO E INSTALAÇÃO. AF_08/2020</t>
  </si>
  <si>
    <t>SUBSTITUIÇÃO DE RELÉ FOTOELÉTRICO PARA COMANDO DE ILUMINAÇÃO EXTERNA 1000 W - FORNECIMENTO E INSTALAÇÃO. AF_08/2020</t>
  </si>
  <si>
    <t>BRAÇO PARA ILUMINAÇÃO PÚBLICA, EM TUBO DE AÇO GALVANIZADO, COMPRIMENTO DE 1,50 M, PARA FIXAÇÃO EM POSTE DE CONCRETO - FORNECIMENTO E INSTALAÇÃO. AF_08/2020</t>
  </si>
  <si>
    <t>BRAÇO PARA ILUMINAÇÃO PÚBLICA, EM TUBO DE AÇO GALVANIZADO, COMPRIMENTO DE 1,50 M, PARA FIXAÇÃO EM POSTE METÁLICO - FORNECIMENTO E INSTALAÇÃO. AF_08/2020</t>
  </si>
  <si>
    <t>HASTE DE ATERRAMENTO 5/8  PARA SPDA - FORNECIMENTO E INSTALAÇÃO. AF_12/2017</t>
  </si>
  <si>
    <t>HASTE DE ATERRAMENTO 3/4  PARA SPDA - FORNECIMENTO E INSTALAÇÃO. AF_12/2017</t>
  </si>
  <si>
    <t>BASE METÁLICA PARA MASTRO 1 ½  PARA SPDA - FORNECIMENTO E INSTALAÇÃO. AF_12/2017</t>
  </si>
  <si>
    <t>MASTRO 1 ½  PARA SPDA - FORNECIMENTO E INSTALAÇÃO. AF_12/2017</t>
  </si>
  <si>
    <t>CORDOALHA DE COBRE NU 16 MM², NÃO ENTERRADA, COM ISOLADOR - FORNECIMENTO E INSTALAÇÃO. AF_12/2017</t>
  </si>
  <si>
    <t>CORDOALHA DE COBRE NU 25 MM², NÃO ENTERRADA, COM ISOLADOR - FORNECIMENTO E INSTALAÇÃO. AF_12/2017</t>
  </si>
  <si>
    <t>CORDOALHA DE COBRE NU 35 MM², NÃO ENTERRADA, COM ISOLADOR - FORNECIMENTO E INSTALAÇÃO. AF_12/2017</t>
  </si>
  <si>
    <t>CORDOALHA DE COBRE NU 50 MM², NÃO ENTERRADA, COM ISOLADOR - FORNECIMENTO E INSTALAÇÃO. AF_12/2017</t>
  </si>
  <si>
    <t>CORDOALHA DE COBRE NU 70 MM², NÃO ENTERRADA, COM ISOLADOR - FORNECIMENTO E INSTALAÇÃO. AF_12/2017</t>
  </si>
  <si>
    <t>CORDOALHA DE COBRE NU 95 MM², NÃO ENTERRADA, COM ISOLADOR - FORNECIMENTO E INSTALAÇÃO. AF_12/2017</t>
  </si>
  <si>
    <t>CORDOALHA DE COBRE NU 50 MM², ENTERRADA, SEM ISOLADOR - FORNECIMENTO E INSTALAÇÃO. AF_12/2017</t>
  </si>
  <si>
    <t>CORDOALHA DE COBRE NU 70 MM², ENTERRADA, SEM ISOLADOR - FORNECIMENTO E INSTALAÇÃO. AF_12/2017</t>
  </si>
  <si>
    <t>CORDOALHA DE COBRE NU 95 MM², ENTERRADA, SEM ISOLADOR - FORNECIMENTO E INSTALAÇÃO. AF_12/2017</t>
  </si>
  <si>
    <t>CAPTOR TIPO FRANKLIN PARA SPDA - FORNECIMENTO E INSTALAÇÃO. AF_12/2017</t>
  </si>
  <si>
    <t>SUPORTE ISOLADOR PARA CORDOALHA DE COBRE - FORNECIMENTO E INSTALAÇÃO. AF_12/2017</t>
  </si>
  <si>
    <t>QUADRO DE DISTRIBUIÇÃO PARA TELEFONE N.2, 20X20X12CM EM CHAPA METALICA, DE EMBUTIR, SEM ACESSORIOS, PADRÃO TELEBRAS, FORNECIMENTO E INSTALAÇÃO. AF_11/2019</t>
  </si>
  <si>
    <t>QUADRO DE DISTRIBUICAO PARA TELEFONE N.3, 40X40X12CM EM CHAPA METALICA, DE EMBUTIR, SEM ACESSORIOS, PADRAO TELEBRAS, FORNECIMENTO E INSTALAÇÃO. AF_11/2019</t>
  </si>
  <si>
    <t>QUADRO DE DISTRIBUICAO PARA TELEFONE N.4, 60X60X12CM EM CHAPA METALICA, DE EMBUTIR, SEM ACESSORIOS, PADRAO TELEBRAS, FORNECIMENTO E INSTALAÇÃO. AF_11/2019</t>
  </si>
  <si>
    <t>QUADRO DE DISTRIBUIÇÃO PARA TELEFONE N.5, 80X80X12CM EM CHAPA METALICA, SEM ACESSORIOS, PADRAO TELEBRAS, FORNECIMENTO E INSTALAÇÃO. AF_11/2019</t>
  </si>
  <si>
    <t>CAIXA DE PASSAGEM PARA TELEFONE 15X15X10CM (SOBREPOR), FORNECIMENTO E INSTALACAO. AF_11/2019</t>
  </si>
  <si>
    <t>CAIXA DE PASSAGEM PARA TELEFONE 80X80X15CM (SOBREPOR) FORNECIMENTO E INSTALACAO. AF_11/2019</t>
  </si>
  <si>
    <t>CABO ELETRÔNICO CATEGORIA 5E, INSTALADO EM EDIFICAÇÃO RESIDENCIAL - FORNECIMENTO E INSTALAÇÃO. AF_11/2019</t>
  </si>
  <si>
    <t>CABO ELETRÔNICO CATEGORIA 5E, INSTALADO EM EDIFICAÇÃO INSTITUCIONAL - FORNECIMENTO E INSTALAÇÃO. AF_11/2019</t>
  </si>
  <si>
    <t>CABO ELETRÔNICO CATEGORIA 6, INSTALADO EM EDIFICAÇÃO RESIDENCIAL - FORNECIMENTO E INSTALAÇÃO. AF_11/2019</t>
  </si>
  <si>
    <t>CABO ELETRÔNICO CATEGORIA 6, INSTALADO EM EDIFICAÇÃO INSTITUCIONAL - FORNECIMENTO E INSTALAÇÃO. AF_11/2019</t>
  </si>
  <si>
    <t>PATCH PANEL 24 PORTAS, CATEGORIA 5E - FORNECIMENTO E INSTALAÇÃO. AF_11/2019</t>
  </si>
  <si>
    <t>PATCH PANEL 24 PORTAS, CATEGORIA 6 - FORNECIMENTO E INSTALAÇÃO. AF_11/2019</t>
  </si>
  <si>
    <t>PATCH PANEL 48 PORTAS, CATEGORIA 6 - FORNECIMENTO E INSTALAÇÃO. AF_11/2019</t>
  </si>
  <si>
    <t>TOMADA DE REDE RJ45 - FORNECIMENTO E INSTALAÇÃO. AF_11/2019</t>
  </si>
  <si>
    <t>TOMADA PARA TELEFONE RJ11 - FORNECIMENTO E INSTALAÇÃO. AF_11/2019</t>
  </si>
  <si>
    <t>PATCH PANEL 48 PORTAS, CATEGORIA 5E - FORNECIMENTO E INSTALAÇÃO. AF_11/2019</t>
  </si>
  <si>
    <t>CABO TELEFÔNICO CTP-APL-50 10 PARES INSTALADO EM ENTRADA DE EDIFICAÇÃO - FORNECIMENTO E INSTALAÇÃO. AF_11/2019</t>
  </si>
  <si>
    <t>CABO TELEFÔNICO CTP-APL-50 20 PARES INSTALADO EM ENTRADA DE EDIFICAÇÃO - FORNECIMENTO E INSTALAÇÃO. AF_11/2019</t>
  </si>
  <si>
    <t>CABO TELEFÔNICO CTP-APL-50 30 PARES INSTALADO EM ENTRADA DE EDIFICAÇÃO - FORNECIMENTO E INSTALAÇÃO. AF_11/2019</t>
  </si>
  <si>
    <t>CABO TELEFÔNICO CI-50 10 PARES INSTALADO EM ENTRADA DE EDIFICAÇÃO - FORNECIMENTO E INSTALAÇÃO. AF_11/2019</t>
  </si>
  <si>
    <t>CABO TELEFÔNICO CI-50 20 PARES INSTALADO EM ENTRADA DE EDIFICAÇÃO - FORNECIMENTO E INSTALAÇÃO. AF_11/2019</t>
  </si>
  <si>
    <t>CABO TELEFÔNICO CI-50 30 PARES INSTALADO EM ENTRADA DE EDIFICAÇÃO - FORNECIMENTO E INSTALAÇÃO. AF_11/2019</t>
  </si>
  <si>
    <t>CABO TELEFÔNICO CI-50 50 PARES INSTALADO EM ENTRADA DE EDIFICAÇÃO - FORNECIMENTO E INSTALAÇÃO. AF_11/2019</t>
  </si>
  <si>
    <t>CABO TELEFÔNICO CI-50 75 PARES INSTALADO EM ENTRADA DE EDIFICAÇÃO - FORNECIMENTO E INSTALAÇÃO. AF_11/2019</t>
  </si>
  <si>
    <t>CABO TELEFÔNICO CI-50 200 PARES INSTALADO EM ENTRADA DE EDIFICAÇÃO - FORNECIMENTO E INSTALAÇÃO. AF_11/2019</t>
  </si>
  <si>
    <t>CABO TELEFÔNICO CI-50 10 PARES INSTALADO EM PRUMADA - FORNECIMENTO E INSTALAÇÃO. AF_11/2019</t>
  </si>
  <si>
    <t>CABO TELEFÔNICO CI-50 20 PARES INSTALADO EM PRUMADA - FORNECIMENTO E INSTALAÇÃO. AF_11/2019</t>
  </si>
  <si>
    <t>CABO TELEFÔNICO CI-50 30 PARES INSTALADO EM PRUMADA - FORNECIMENTO E INSTALAÇÃO. AF_11/2019</t>
  </si>
  <si>
    <t>CABO TELEFÔNICO CI-50 50 PARES INSTALADO EM PRUMADA - FORNECIMENTO E INSTALAÇÃO. AF_11/2019</t>
  </si>
  <si>
    <t>CABO TELEFÔNICO CI-50 10 PARES INSTALADO EM DISTRIBUIÇÃO DE EDIFICAÇÃO RESIDENCIAL - FORNECIMENTO E INSTALAÇÃO. AF_11/2019</t>
  </si>
  <si>
    <t>CABO TELEFÔNICO CI-50 10 PARES INSTALADO EM DISTRIBUIÇÃO DE EDIFICAÇÃO INSTITUCIONAL - FORNECIMENTO E INSTALAÇÃO. AF_11/2019</t>
  </si>
  <si>
    <t>CABO TELEFÔNICO CCI-50 1 PAR, INSTALADO EM ENTRADA DE EDIFICAÇÃO - FORNECIMENTO E INSTALAÇÃO. AF_11/2019</t>
  </si>
  <si>
    <t>CABO TELEFÔNICO CCI-50 2 PARES, SEM BLINDAGEM, INSTALADO EM ENTRADA DE EDIFICAÇÃO - FORNECIMENTO E INSTALAÇÃO. AF_11/2019</t>
  </si>
  <si>
    <t>CABO TELEFÔNICO CCI-50 3 PARES, SEM BLINDAGEM, INSTALADO EM ENTRADA DE EDIFICAÇÃO - FORNECIMENTO E INSTALAÇÃO. AF_11/2019</t>
  </si>
  <si>
    <t>CABO TELEFÔNICO CCI-50 4 PARES, SEM BLINDAGEM, INSTALADO EM ENTRADA DE EDIFICAÇÃO - FORNECIMENTO E INSTALAÇÃO. AF_11/2019</t>
  </si>
  <si>
    <t>CABO TELEFÔNICO CCI-50 5 PARES, SEM BLINDAGEM, INSTALADO EM ENTRADA DE EDIFICAÇÃO - FORNECIMENTO E INSTALAÇÃO. AF_11/2019</t>
  </si>
  <si>
    <t>CABO TELEFÔNICO CCI-50 6 PARES, SEM BLINDAGEM, INSTALADO EM ENTRADA DE EDIFICAÇÃO - FORNECIMENTO E INSTALAÇÃO. AF_11/2019</t>
  </si>
  <si>
    <t>CABO TELEFÔNICO CCI-50 4 PARES, SEM BLINDAGEM, INSTALADO EM PRUMADA - FORNECIMENTO E INSTALAÇÃO. AF_11/2019</t>
  </si>
  <si>
    <t>CABO TELEFÔNICO CCI-50 5 PARES, SEM BLINDAGEM, INSTALADO EM PRUMADA - FORNECIMENTO E INSTALAÇÃO. AF_11/2019</t>
  </si>
  <si>
    <t>CABO TELEFÔNICO CCI-50 6 PARES, SEM BLINDAGEM, INSTALADO EM PRUMADA - FORNECIMENTO E INSTALAÇÃO. AF_11/2019</t>
  </si>
  <si>
    <t>CABO TELEFÔNICO CCI-50 1 PAR, SEM BLINDAGEM, INSTALADO EM DISTRIBUIÇÃO DE EDIFICAÇÃO RESIDENCIAL - FORNECIMENTO E INSTALAÇÃO. AF_11/2019</t>
  </si>
  <si>
    <t>CABO TELEFÔNICO CCI-50 2 PARES, SEM BLINDAGEM, INSTALADO EM DISTRIBUIÇÃO DE EDIFICAÇÃO RESIDENCIAL - FORNECIMENTO E INSTALAÇÃO. AF_11/2019</t>
  </si>
  <si>
    <t>CABO TELEFÔNICO CCI-50 3 PARES, SEM BLINDAGEM, INSTALADO EM DISTRIBUIÇÃO DE EDIFICAÇÃO RESIDENCIAL - FORNECIMENTO E INSTALAÇÃO. AF_11/2019</t>
  </si>
  <si>
    <t>CABO TELEFÔNICO CCI-50 4 PARES, SEM BLINDAGEM, INSTALADO EM DISTRIBUIÇÃO DE EDIFICAÇÃO RESIDENCIAL - FORNECIMENTO E INSTALAÇÃO. AF_11/2019</t>
  </si>
  <si>
    <t>CABO TELEFÔNICO CCI-50 5 PARES, SEM BLINDAGEM, INSTALADO EM DISTRIBUIÇÃO DE EDIFICAÇÃO RESIDENCIAL - FORNECIMENTO E INSTALAÇÃO. AF_11/2019</t>
  </si>
  <si>
    <t>CABO TELEFÔNICO CCI-50 6 PARES, SEM BLINDAGEM, INSTALADO EM DISTRIBUIÇÃO DE EDIFICAÇÃO RESIDENCIAL - FORNECIMENTO E INSTALAÇÃO. AF_11/2019</t>
  </si>
  <si>
    <t>CABO TELEFÔNICO CCI-50 1 PAR, SEM BLINDAGEM, INSTALADO EM DISTRIBUIÇÃO DE EDIFICAÇÃO INSTITUCIONAL - FORNECIMENTO E INSTALAÇÃO. AF_11/2019</t>
  </si>
  <si>
    <t>CABO TELEFÔNICO CCI-50 2 PARES, SEM BLINDAGEM, INSTALADO EM DISTRIBUIÇÃO DE EDIFICAÇÃO INSTITUCIONAL - FORNECIMENTO E INSTALAÇÃO. AF_11/2019</t>
  </si>
  <si>
    <t>CABO TELEFÔNICO CCI-50 3 PARES, SEM BLINDAGEM, INSTALADO EM DISTRIBUIÇÃO DE EDIFICAÇÃO INSTITUCIONAL - FORNECIMENTO E INSTALAÇÃO. AF_11/2019</t>
  </si>
  <si>
    <t>CABO TELEFÔNICO CCI-50 4 PARES, SEM BLINDAGEM, INSTALADO EM DISTRIBUIÇÃO DE EDIFICAÇÃO INSTITUCIONAL - FORNECIMENTO E INSTALAÇÃO. AF_11/2019</t>
  </si>
  <si>
    <t>CABO TELEFÔNICO CCI-50 5 PARES, SEM BLINDAGEM, INSTALADO EM DISTRIBUIÇÃO DE EDIFICAÇÃO INSTITUCIONAL - FORNECIMENTO E INSTALAÇÃO. AF_11/2019</t>
  </si>
  <si>
    <t>CABO TELEFÔNICO CCI-50 6 PARES, SEM BLINDAGEM, INSTALADO EM DISTRIBUIÇÃO DE EDIFICAÇÃO INSTITUCIONAL - FORNECIMENTO E INSTALAÇÃO. AF_11/2019</t>
  </si>
  <si>
    <t>PINTURA ANTICORROSIVA DE DUTO METÁLICO. AF_04/2018</t>
  </si>
  <si>
    <t>TUBO EM COBRE FLEXÍVEL, DN 1/4, COM ISOLAMENTO, INSTALADO EM RAMAL DE ALIMENTAÇÃO DE AR CONDICIONADO COM CONDENSADORA INDIVIDUAL   FORNECIMENTO E INSTALAÇÃO. AF_12/2015</t>
  </si>
  <si>
    <t>TUBO EM COBRE FLEXÍVEL, DN 3/8", COM ISOLAMENTO, INSTALADO EM RAMAL DE ALIMENTAÇÃO DE AR CONDICIONADO COM CONDENSADORA INDIVIDUAL  FORNECIMENTO E INSTALAÇÃO. AF_12/2015</t>
  </si>
  <si>
    <t>TUBO EM COBRE FLEXÍVEL, DN 1/2", COM ISOLAMENTO, INSTALADO EM RAMAL DE ALIMENTAÇÃO DE AR CONDICIONADO COM CONDENSADORA INDIVIDUAL  FORNECIMENTO E INSTALAÇÃO. AF_12/2015</t>
  </si>
  <si>
    <t>TUBO EM COBRE FLEXÍVEL, DN 5/8", COM ISOLAMENTO, INSTALADO EM RAMAL DE ALIMENTAÇÃO DE AR CONDICIONADO COM CONDENSADORA INDIVIDUAL  FORNECIMENTO E INSTALAÇÃO. AF_12/2015</t>
  </si>
  <si>
    <t>TUBO EM COBRE FLEXÍVEL, DN 1/4", COM ISOLAMENTO, INSTALADO EM RAMAL DE ALIMENTAÇÃO DE AR CONDICIONADO COM CONDENSADORA CENTRAL  FORNECIMENTO E INSTALAÇÃO. AF_12/2015</t>
  </si>
  <si>
    <t>TUBO EM COBRE FLEXÍVEL, DN 3/8", COM ISOLAMENTO, INSTALADO EM RAMAL DE ALIMENTAÇÃO DE AR CONDICIONADO COM CONDENSADORA CENTRAL  FORNECIMENTO E INSTALAÇÃO. AF_12/2015</t>
  </si>
  <si>
    <t>TUBO EM COBRE FLEXÍVEL, DN 1/2", COM ISOLAMENTO, INSTALADO EM RAMAL DE ALIMENTAÇÃO DE AR CONDICIONADO COM CONDENSADORA CENTRAL  FORNECIMENTO E INSTALAÇÃO. AF_12/2015</t>
  </si>
  <si>
    <t>TUBO EM COBRE FLEXÍVEL, DN 5/8, COM ISOLAMENTO, INSTALADO EM RAMAL DE ALIMENTAÇÃO DE AR CONDICIONADO COM CONDENSADORA CENTRAL   FORNECIMENTO E INSTALAÇÃO. AF_12/2015</t>
  </si>
  <si>
    <t>Petit - Pavet - (PEDRA PORTUGUESA) - sem colchão</t>
  </si>
  <si>
    <t>PINI 02/2021</t>
  </si>
  <si>
    <t>Reaterro e apiloamento mecânico</t>
  </si>
  <si>
    <t>m4</t>
  </si>
  <si>
    <t>Imprimação com Emulsão RR-1C- exclusive emulsão</t>
  </si>
  <si>
    <r>
      <rPr>
        <b/>
        <sz val="12"/>
        <rFont val="Arial"/>
        <family val="2"/>
      </rPr>
      <t xml:space="preserve">CBUQ - PASSEIO </t>
    </r>
    <r>
      <rPr>
        <sz val="10"/>
        <rFont val="Arial"/>
        <family val="2"/>
      </rPr>
      <t>(Quantidade maior que 10000 toneladas)</t>
    </r>
  </si>
  <si>
    <t>Sobre os preços coletados no Site da ANP foram incluídos os impostos, PIS/COFINS (3,65%) e ICMS (18,00%), totalizando 21,65%.</t>
  </si>
  <si>
    <t>Grupo de serviço: LIGANTES BETUMINOSOS</t>
  </si>
  <si>
    <t>Fornecimento de asfalto diluído CM-30</t>
  </si>
  <si>
    <t>t</t>
  </si>
  <si>
    <t>Fornecimento de CAP-30/45</t>
  </si>
  <si>
    <t>Fornecimento de CAP-50/70</t>
  </si>
  <si>
    <t>Fornecimento de CAP-50/70 com polímero elastomérico (55/75)</t>
  </si>
  <si>
    <t>Fornecimento de CAP-50/70 com polímero elastomérico (60/85)</t>
  </si>
  <si>
    <t>Fornecimento de CAP-50/70 com polímero elastomérico (65/90)</t>
  </si>
  <si>
    <t>Fornecimento de emulsão asfáltica EAI p/imprimação</t>
  </si>
  <si>
    <t>Fornecimento de emulsão asfáltica RC-1C-E com polímero</t>
  </si>
  <si>
    <t>Fornecimento de emulsão asfáltica RL-1C</t>
  </si>
  <si>
    <t>Fornecimento de emulsão asfáltica RM-1C</t>
  </si>
  <si>
    <t>Fornecimento de emulsão asfáltica RM-2C</t>
  </si>
  <si>
    <t>Fornecimento de emulsão asfáltica RR-1C</t>
  </si>
  <si>
    <t>Fornecimento de emulsão asfáltica RR-1C-E com polímero</t>
  </si>
  <si>
    <t>Fornecimento de emulsão asfáltica RR-2C</t>
  </si>
  <si>
    <t>Fornecimento de emulsão asfáltica RR-2C-E com polímero</t>
  </si>
  <si>
    <r>
      <rPr>
        <b/>
        <sz val="9"/>
        <rFont val="Arial"/>
        <family val="2"/>
      </rPr>
      <t>Código</t>
    </r>
  </si>
  <si>
    <r>
      <rPr>
        <b/>
        <sz val="9"/>
        <rFont val="Arial"/>
        <family val="2"/>
      </rPr>
      <t>Descrição do Serviço</t>
    </r>
  </si>
  <si>
    <r>
      <rPr>
        <b/>
        <sz val="9"/>
        <rFont val="Arial"/>
        <family val="2"/>
      </rPr>
      <t>Unidade</t>
    </r>
  </si>
  <si>
    <t>DER janeiro 2021</t>
  </si>
  <si>
    <t>Custo 
Unitário
(+21,65%)</t>
  </si>
  <si>
    <t>Quantidade 
Edital (50%)</t>
  </si>
  <si>
    <t>GRANDES ITENS</t>
  </si>
  <si>
    <t>Projeto:</t>
  </si>
  <si>
    <t>Grandes 
Ítens  (%)</t>
  </si>
  <si>
    <t>Experiência:</t>
  </si>
  <si>
    <t>Origem</t>
  </si>
  <si>
    <t>PAM</t>
  </si>
  <si>
    <t>SFM</t>
  </si>
  <si>
    <t>Local da Obra:</t>
  </si>
  <si>
    <t>DER janeiro 2021 (Ligantes maio/2021)</t>
  </si>
  <si>
    <t>74209/1</t>
  </si>
  <si>
    <t>PLACA DE OBRA 4,00 X 2,00 M, EM CHAPA DE ACO GALVANIZADO, INCLUSIVE ARMAÇÃO EM MADEIRA E PONTALETES</t>
  </si>
  <si>
    <t>composição</t>
  </si>
  <si>
    <t>PLACA DE OBRA TIPO BANNER, 4,00 X 2,00 M, EM QUADRO DE METALON 20 X 20 MM E LONA 360 G, COM IMPRESSÃO DIGITAL, FIXADA EM ESTRUTURA DE MADEIRA.</t>
  </si>
  <si>
    <t>73916/2</t>
  </si>
  <si>
    <t>PLACA ESMALTADA PARA IDENTIFICAÇÃO NR DE RUA, DIMENSÕES 45X25CM</t>
  </si>
  <si>
    <t>Orçacivil</t>
  </si>
  <si>
    <t>Plantio de Arbusto ou Cerca Viva</t>
  </si>
  <si>
    <t>Custo 
Unitário
Greca 
Asfáltos</t>
  </si>
  <si>
    <t>menor valor
Entre:
ANP-Greca-CBB</t>
  </si>
  <si>
    <t>Custo 
Unitário
DER
jan/2021</t>
  </si>
  <si>
    <t>Custo 
Unitário
SEM 
IMPOSTO</t>
  </si>
  <si>
    <t>Custo 
Unitário
CBB 
Asfáltos</t>
  </si>
  <si>
    <t>Custo 
Unitário
Paranacidade
Maio 2021
2ª  PUBLICAÇÃO</t>
  </si>
  <si>
    <t>Custo 
Unitário
Paranacidade
Maio 2021
1ª  PUBLICAÇÃO</t>
  </si>
  <si>
    <t>Custo 
Unitário
Paranacidade
xxx 2021
2ª  PUBLICAÇÃO</t>
  </si>
  <si>
    <t>n</t>
  </si>
  <si>
    <t>ANP1</t>
  </si>
  <si>
    <t>ANP2</t>
  </si>
  <si>
    <t>Preços de distribuição de produtos asfálticos</t>
  </si>
  <si>
    <t>Preços de produtores e importadores de derivados de petróleo</t>
  </si>
  <si>
    <t xml:space="preserve">    </t>
  </si>
  <si>
    <t>PARANÁ</t>
  </si>
  <si>
    <t>REGIÃO SUL</t>
  </si>
  <si>
    <t>ANP3</t>
  </si>
  <si>
    <t>produtores sul</t>
  </si>
  <si>
    <t>ANP 3 (Preços Produtores)
4 A 10 MAIO / 2021</t>
  </si>
  <si>
    <t>ANP 2 e 3 (Preços Distribuidores)
MAIO 2021</t>
  </si>
  <si>
    <t>Fornecimento de asfalto modificado por borracha AB8</t>
  </si>
  <si>
    <t>média
der jan</t>
  </si>
  <si>
    <t>ANP2
brasil</t>
  </si>
  <si>
    <t>534300D</t>
  </si>
  <si>
    <t>534300E</t>
  </si>
  <si>
    <r>
      <t>Pré-Misturado a Frio (Semi-Denso) - DER - (</t>
    </r>
    <r>
      <rPr>
        <b/>
        <sz val="10"/>
        <rFont val="Arial"/>
        <family val="2"/>
      </rPr>
      <t>REPERFILAMENTO1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</si>
  <si>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CAPA1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</si>
  <si>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REPERFILAMENTO2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</si>
  <si>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CAPA2</t>
    </r>
    <r>
      <rPr>
        <sz val="10"/>
        <rFont val="Arial"/>
        <family val="2"/>
      </rPr>
      <t>)</t>
    </r>
  </si>
  <si>
    <t>831000A</t>
  </si>
  <si>
    <t>831000B</t>
  </si>
  <si>
    <t>830000A</t>
  </si>
  <si>
    <t>830000B</t>
  </si>
  <si>
    <t>606600A</t>
  </si>
  <si>
    <t>606600B</t>
  </si>
  <si>
    <t>606600C</t>
  </si>
  <si>
    <t>606600D</t>
  </si>
  <si>
    <t>606700A</t>
  </si>
  <si>
    <t>606700B</t>
  </si>
  <si>
    <t>606700C</t>
  </si>
  <si>
    <t>606700D</t>
  </si>
  <si>
    <t>PAI-17A</t>
  </si>
  <si>
    <t>PAI-17B</t>
  </si>
  <si>
    <t>600310A</t>
  </si>
  <si>
    <t>600310B</t>
  </si>
  <si>
    <t>600310C</t>
  </si>
  <si>
    <t>800900A</t>
  </si>
  <si>
    <t>800900B</t>
  </si>
  <si>
    <t>801100A</t>
  </si>
  <si>
    <t>801100B</t>
  </si>
  <si>
    <t>600510A</t>
  </si>
  <si>
    <t>600510B</t>
  </si>
  <si>
    <t>841000A</t>
  </si>
  <si>
    <t>841000B</t>
  </si>
  <si>
    <t>840000A</t>
  </si>
  <si>
    <t>840000B</t>
  </si>
  <si>
    <t>511130A</t>
  </si>
  <si>
    <t>511130B</t>
  </si>
  <si>
    <t>520100A</t>
  </si>
  <si>
    <t>520100B</t>
  </si>
  <si>
    <t>520100C</t>
  </si>
  <si>
    <t>520100D</t>
  </si>
  <si>
    <t>520100E</t>
  </si>
  <si>
    <t>520200A</t>
  </si>
  <si>
    <t>520200B</t>
  </si>
  <si>
    <t>411000A</t>
  </si>
  <si>
    <t>411000B</t>
  </si>
  <si>
    <t>400500A</t>
  </si>
  <si>
    <t>532500A</t>
  </si>
  <si>
    <t>532500B</t>
  </si>
  <si>
    <t>532500C</t>
  </si>
  <si>
    <t>532500D</t>
  </si>
  <si>
    <t>532600A</t>
  </si>
  <si>
    <t>532600B</t>
  </si>
  <si>
    <t>532600C</t>
  </si>
  <si>
    <t>533500A</t>
  </si>
  <si>
    <t>533500B</t>
  </si>
  <si>
    <t>533100A</t>
  </si>
  <si>
    <t>533100B</t>
  </si>
  <si>
    <t>533100C</t>
  </si>
  <si>
    <t>533100D</t>
  </si>
  <si>
    <t>511000A</t>
  </si>
  <si>
    <t>511000B</t>
  </si>
  <si>
    <t>520100F</t>
  </si>
  <si>
    <t>520100G</t>
  </si>
  <si>
    <t>520100H</t>
  </si>
  <si>
    <t>400500B</t>
  </si>
  <si>
    <t>400500C</t>
  </si>
  <si>
    <t>511100A</t>
  </si>
  <si>
    <t>511100B</t>
  </si>
  <si>
    <t>511300A</t>
  </si>
  <si>
    <t>511300B</t>
  </si>
  <si>
    <t>530200A</t>
  </si>
  <si>
    <t>560100D</t>
  </si>
  <si>
    <t>589420D</t>
  </si>
  <si>
    <t>535200A</t>
  </si>
  <si>
    <t>535200B</t>
  </si>
  <si>
    <t>535200C</t>
  </si>
  <si>
    <t>521450A</t>
  </si>
  <si>
    <t>521450B</t>
  </si>
  <si>
    <t>521450C</t>
  </si>
  <si>
    <t>521450D</t>
  </si>
  <si>
    <t>521450E</t>
  </si>
  <si>
    <t>521450F</t>
  </si>
  <si>
    <t>521450G</t>
  </si>
  <si>
    <t>521450H</t>
  </si>
  <si>
    <t>535000A</t>
  </si>
  <si>
    <t>521450I</t>
  </si>
  <si>
    <t>863000A</t>
  </si>
  <si>
    <t>863000B</t>
  </si>
  <si>
    <t>534906A</t>
  </si>
  <si>
    <t>534906B</t>
  </si>
  <si>
    <t>101090A</t>
  </si>
  <si>
    <t>863000C</t>
  </si>
  <si>
    <t>863000D</t>
  </si>
  <si>
    <t>534906G</t>
  </si>
  <si>
    <t>534906H</t>
  </si>
  <si>
    <t>534906I</t>
  </si>
  <si>
    <t>534906J</t>
  </si>
  <si>
    <t>534906K</t>
  </si>
  <si>
    <t>534906L</t>
  </si>
  <si>
    <t>534908G</t>
  </si>
  <si>
    <t>534908H</t>
  </si>
  <si>
    <t>101090B</t>
  </si>
  <si>
    <t>562100A</t>
  </si>
  <si>
    <t>562100B</t>
  </si>
  <si>
    <t>562200A</t>
  </si>
  <si>
    <t>562200B</t>
  </si>
  <si>
    <t>570300A</t>
  </si>
  <si>
    <t>570310B</t>
  </si>
  <si>
    <t>CBUQ - REMENDO (NECÂNICO)</t>
  </si>
  <si>
    <t>CBUQ - BINDER (Quantidade menor que 10000 toneladas)</t>
  </si>
  <si>
    <t>CBUQ - BINDER (Quantidade maior que 10000 toneladas)</t>
  </si>
  <si>
    <t>570000A</t>
  </si>
  <si>
    <t>CBUQ - Reperfilamento (Quantidade menor que 10000 toneladas)</t>
  </si>
  <si>
    <t>570000B</t>
  </si>
  <si>
    <t>CBUQ - CAPA Trraço 1 (Quantidade menor que 10000 toneladas)</t>
  </si>
  <si>
    <t>570000C</t>
  </si>
  <si>
    <t>CBUQ - CAPA Trraço 2 (Quantidade menor que 10000 toneladas)</t>
  </si>
  <si>
    <t>570000D</t>
  </si>
  <si>
    <t>CBUQ - CAPA Trraço 3 (Quantidade menor que 10000 toneladas)</t>
  </si>
  <si>
    <t>570400A</t>
  </si>
  <si>
    <t>CBUQ - CAPA Trraço 1 (Quantidade maior que 10000 toneladas)</t>
  </si>
  <si>
    <t>570400B</t>
  </si>
  <si>
    <t>CBUQ - CAPA Trraço 2 (Quantidade maior que 10000 toneladas)</t>
  </si>
  <si>
    <t>570400C</t>
  </si>
  <si>
    <t>CBUQ - CAPA Trraço 3 (Quantidade maior que 10000 toneladas)</t>
  </si>
  <si>
    <t>PAV-003A</t>
  </si>
  <si>
    <t>PAV-005A</t>
  </si>
  <si>
    <t>PAV-003B</t>
  </si>
  <si>
    <t>PAV-005B</t>
  </si>
  <si>
    <t>589520A</t>
  </si>
  <si>
    <t>589520B</t>
  </si>
  <si>
    <t>589520C</t>
  </si>
  <si>
    <t>589520D</t>
  </si>
  <si>
    <t>589520E</t>
  </si>
  <si>
    <t>589520F</t>
  </si>
  <si>
    <t>589520G</t>
  </si>
  <si>
    <t>589520H</t>
  </si>
  <si>
    <t>589520I</t>
  </si>
  <si>
    <t>589170A</t>
  </si>
  <si>
    <t>589170B</t>
  </si>
  <si>
    <t>589170C</t>
  </si>
  <si>
    <t>589170D</t>
  </si>
  <si>
    <t>Fornecimento de emulsão RR-2C - TSD com Capa Selante Tipo - I-2</t>
  </si>
  <si>
    <t>589520J</t>
  </si>
  <si>
    <t>Fornecimento de Emulsão RM-2C - Pré-Misturado a Frio (Denso) - DER</t>
  </si>
  <si>
    <t>534000C</t>
  </si>
  <si>
    <t>534300F</t>
  </si>
  <si>
    <t>534300G</t>
  </si>
  <si>
    <t>534300H</t>
  </si>
  <si>
    <t>589190A</t>
  </si>
  <si>
    <t>589190B</t>
  </si>
  <si>
    <t>810250D</t>
  </si>
  <si>
    <t>810250E</t>
  </si>
  <si>
    <t>810250F</t>
  </si>
  <si>
    <t>810250G</t>
  </si>
  <si>
    <t>COMPOSIÇÃO1</t>
  </si>
  <si>
    <t>97624A</t>
  </si>
  <si>
    <t>97624B</t>
  </si>
  <si>
    <t>97623A</t>
  </si>
  <si>
    <t xml:space="preserve">DEMOLIÇÃO DE ALVENARIA DE TIJOLO  COM REAPROVEITAMENTO. </t>
  </si>
  <si>
    <t>DEMOLIÇÃO DE ALVENARIA DE TIJOLO SEM APROVEITAMENTO</t>
  </si>
  <si>
    <t>606500A</t>
  </si>
  <si>
    <t>97623B</t>
  </si>
  <si>
    <t>606500B</t>
  </si>
  <si>
    <t>97623C</t>
  </si>
  <si>
    <t>97624C</t>
  </si>
  <si>
    <t>606500C</t>
  </si>
  <si>
    <t>603900B</t>
  </si>
  <si>
    <t>603900A</t>
  </si>
  <si>
    <t>Colchão de Areia para fundação de Aterro( Rio / Jazida )</t>
  </si>
  <si>
    <t>Colchão de Areia para assentamento de calçadas</t>
  </si>
  <si>
    <t>Colchão de Argila/saibro/matr. jazida para assentamento de calçadas</t>
  </si>
  <si>
    <t>Colchão de pó de pedra para assentamento de calçadas</t>
  </si>
  <si>
    <t>532500E</t>
  </si>
  <si>
    <t>603900C</t>
  </si>
  <si>
    <t>400500D</t>
  </si>
  <si>
    <t>532500F</t>
  </si>
  <si>
    <t>603900D</t>
  </si>
  <si>
    <t>603900E</t>
  </si>
  <si>
    <t>603900F</t>
  </si>
  <si>
    <t>603900G</t>
  </si>
  <si>
    <t>532500G</t>
  </si>
  <si>
    <t>589000A</t>
  </si>
  <si>
    <t>589000B</t>
  </si>
  <si>
    <t>589000C</t>
  </si>
  <si>
    <t>589000D</t>
  </si>
  <si>
    <t>589000E</t>
  </si>
  <si>
    <t>589000F</t>
  </si>
  <si>
    <t>589000G</t>
  </si>
  <si>
    <t>589000H</t>
  </si>
  <si>
    <t>589000I</t>
  </si>
  <si>
    <t>589000J</t>
  </si>
  <si>
    <t>589000K</t>
  </si>
  <si>
    <t>589000L</t>
  </si>
  <si>
    <t>589000M</t>
  </si>
  <si>
    <t>589000N</t>
  </si>
  <si>
    <t>589000O</t>
  </si>
  <si>
    <t>589000P</t>
  </si>
  <si>
    <t>589000Q</t>
  </si>
  <si>
    <t>589000R</t>
  </si>
  <si>
    <t>100576A</t>
  </si>
  <si>
    <t>100576B</t>
  </si>
  <si>
    <t>530200B</t>
  </si>
  <si>
    <t>530200C</t>
  </si>
  <si>
    <t>530200D</t>
  </si>
  <si>
    <t>560400B</t>
  </si>
  <si>
    <t>589100B</t>
  </si>
  <si>
    <t>561100B</t>
  </si>
  <si>
    <t>535000B</t>
  </si>
  <si>
    <t>583100A</t>
  </si>
  <si>
    <t>583100B</t>
  </si>
  <si>
    <t>583100C</t>
  </si>
  <si>
    <t>584200A</t>
  </si>
  <si>
    <t>584200B</t>
  </si>
  <si>
    <t>584200C</t>
  </si>
  <si>
    <t>563100A</t>
  </si>
  <si>
    <t>563100B</t>
  </si>
  <si>
    <t>534000D</t>
  </si>
  <si>
    <t>534000E</t>
  </si>
  <si>
    <t>534000F</t>
  </si>
  <si>
    <t>589320F</t>
  </si>
  <si>
    <t>589320G</t>
  </si>
  <si>
    <t>589320H</t>
  </si>
  <si>
    <t>589320I</t>
  </si>
  <si>
    <t>589320J</t>
  </si>
  <si>
    <t>589320K</t>
  </si>
  <si>
    <t>589320L</t>
  </si>
  <si>
    <t>589320M</t>
  </si>
  <si>
    <t>589320N</t>
  </si>
  <si>
    <t>589320O</t>
  </si>
  <si>
    <t>589320P</t>
  </si>
  <si>
    <t>534300A</t>
  </si>
  <si>
    <t>534300B</t>
  </si>
  <si>
    <t>534300C</t>
  </si>
  <si>
    <t>534300I</t>
  </si>
  <si>
    <t>534300J</t>
  </si>
  <si>
    <t>570300B</t>
  </si>
  <si>
    <t>570310A</t>
  </si>
  <si>
    <t>570000E</t>
  </si>
  <si>
    <t>601100A</t>
  </si>
  <si>
    <t>601100B</t>
  </si>
  <si>
    <t>602100A</t>
  </si>
  <si>
    <t>602100B</t>
  </si>
  <si>
    <t>602100C</t>
  </si>
  <si>
    <t>603000A</t>
  </si>
  <si>
    <t>603000B</t>
  </si>
  <si>
    <t>603000C</t>
  </si>
  <si>
    <t>603300A</t>
  </si>
  <si>
    <t>603300B</t>
  </si>
  <si>
    <t>603300C</t>
  </si>
  <si>
    <t>605000F</t>
  </si>
  <si>
    <t>605000G</t>
  </si>
  <si>
    <t>605000H</t>
  </si>
  <si>
    <t>605000I</t>
  </si>
  <si>
    <t>605000J</t>
  </si>
  <si>
    <t>605000K</t>
  </si>
  <si>
    <t>605000L</t>
  </si>
  <si>
    <t>605000M</t>
  </si>
  <si>
    <t>605000N</t>
  </si>
  <si>
    <t>605000O</t>
  </si>
  <si>
    <t>570400D</t>
  </si>
  <si>
    <t>531000B</t>
  </si>
  <si>
    <t>531000A</t>
  </si>
  <si>
    <t>823000A</t>
  </si>
  <si>
    <t>823000B</t>
  </si>
  <si>
    <t>820000I</t>
  </si>
  <si>
    <t>820000J</t>
  </si>
  <si>
    <t>606000A</t>
  </si>
  <si>
    <t>606000B</t>
  </si>
  <si>
    <t>605200A</t>
  </si>
  <si>
    <t>605200B</t>
  </si>
  <si>
    <t>605300A</t>
  </si>
  <si>
    <t>605300B</t>
  </si>
  <si>
    <t>605400A</t>
  </si>
  <si>
    <t>605400B</t>
  </si>
  <si>
    <t>603700A</t>
  </si>
  <si>
    <t>603800A</t>
  </si>
  <si>
    <t>603700B</t>
  </si>
  <si>
    <t>603800B</t>
  </si>
  <si>
    <t>600000A</t>
  </si>
  <si>
    <t>600000B</t>
  </si>
  <si>
    <t>633000A</t>
  </si>
  <si>
    <t>633000B</t>
  </si>
  <si>
    <t>633100A</t>
  </si>
  <si>
    <t>633200A</t>
  </si>
  <si>
    <t>633100B</t>
  </si>
  <si>
    <t>633200B</t>
  </si>
  <si>
    <t>601200A</t>
  </si>
  <si>
    <t>601200B</t>
  </si>
  <si>
    <t>606200A</t>
  </si>
  <si>
    <t>620000B</t>
  </si>
  <si>
    <t>620000C</t>
  </si>
  <si>
    <t>620000A</t>
  </si>
  <si>
    <t>620100A</t>
  </si>
  <si>
    <t>620100B</t>
  </si>
  <si>
    <t>620100C</t>
  </si>
  <si>
    <t>620100D</t>
  </si>
  <si>
    <t>620200A</t>
  </si>
  <si>
    <t>620200B</t>
  </si>
  <si>
    <t>620200C</t>
  </si>
  <si>
    <t>610400A</t>
  </si>
  <si>
    <t>610400B</t>
  </si>
  <si>
    <t>610400C</t>
  </si>
  <si>
    <t>610400D</t>
  </si>
  <si>
    <t>610600A</t>
  </si>
  <si>
    <t>610600B</t>
  </si>
  <si>
    <t>610600C</t>
  </si>
  <si>
    <t>610600D</t>
  </si>
  <si>
    <t>610600E</t>
  </si>
  <si>
    <t>610600F</t>
  </si>
  <si>
    <t>610800A</t>
  </si>
  <si>
    <t>610800B</t>
  </si>
  <si>
    <t>610800C</t>
  </si>
  <si>
    <t>610800D</t>
  </si>
  <si>
    <t>610800E</t>
  </si>
  <si>
    <t>610700A</t>
  </si>
  <si>
    <t>610700B</t>
  </si>
  <si>
    <t>610900A</t>
  </si>
  <si>
    <t>610900B</t>
  </si>
  <si>
    <t>611000A</t>
  </si>
  <si>
    <t>611000B</t>
  </si>
  <si>
    <t>611000C</t>
  </si>
  <si>
    <t>611000D</t>
  </si>
  <si>
    <t>611200A</t>
  </si>
  <si>
    <t>611200B</t>
  </si>
  <si>
    <t>611400A</t>
  </si>
  <si>
    <t>611400B</t>
  </si>
  <si>
    <t>611400C</t>
  </si>
  <si>
    <t>611400D</t>
  </si>
  <si>
    <t>611600A</t>
  </si>
  <si>
    <t>611600B</t>
  </si>
  <si>
    <t>611100A</t>
  </si>
  <si>
    <t>611100B</t>
  </si>
  <si>
    <t>611500A</t>
  </si>
  <si>
    <t>611500B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</si>
  <si>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</si>
  <si>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</si>
  <si>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</si>
  <si>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</si>
  <si>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BDI - ACÓRDÃO Nº 2622/2013 – TCU
PAVIMENTAÇÃO</t>
  </si>
  <si>
    <t>taxa EAI</t>
  </si>
  <si>
    <t>taxa CM-30</t>
  </si>
  <si>
    <t>PIÊN</t>
  </si>
  <si>
    <t>CURITIBA</t>
  </si>
  <si>
    <t>PAI-023</t>
  </si>
  <si>
    <t>PM Curitiba</t>
  </si>
  <si>
    <t>Arrancamento de bloco sextavado de concreto</t>
  </si>
  <si>
    <t>PAI-025</t>
  </si>
  <si>
    <t>Arrancamento de Pedra Irregular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</si>
  <si>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</si>
  <si>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</si>
  <si>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</si>
  <si>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</si>
  <si>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</si>
  <si>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</si>
  <si>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</si>
  <si>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t>742500</t>
  </si>
  <si>
    <t>Concreto Fck = 25 MPa, preparo em betoneira e lanç.</t>
  </si>
  <si>
    <t>Aço CA-50 fornec. dobr. Colocação</t>
  </si>
  <si>
    <t>Grelha ferro p/ cxa. coletora sarjeta</t>
  </si>
  <si>
    <t>603010</t>
  </si>
  <si>
    <t>Assentamento de tubo 0,40m sem berço</t>
  </si>
  <si>
    <t>603020</t>
  </si>
  <si>
    <t>Assentamento de tubo 0,60m sem berço</t>
  </si>
  <si>
    <t>ab/2021</t>
  </si>
  <si>
    <t>ud</t>
  </si>
  <si>
    <t>PAVIMENTAÇÃO DE ESTRADAS VICINAIS</t>
  </si>
  <si>
    <t>Pavimentação em Concreto Betuminoso Usinado à Quente - CBUQ</t>
  </si>
  <si>
    <t>58</t>
  </si>
  <si>
    <t>ESTRADA MUNICIPAL KO-002 - TRECHO 1</t>
  </si>
  <si>
    <t>PAI-026</t>
  </si>
  <si>
    <t>Arrancamento de Bloco de Concreto Tipo Paver</t>
  </si>
  <si>
    <t>PAV-051</t>
  </si>
  <si>
    <t>Junta Longitudinal, Inclusive corte, Cordão de prolipropileno e selante</t>
  </si>
  <si>
    <t>PAVIMENTAÇÃO VIA URBANA</t>
  </si>
  <si>
    <t>Resp. Técnico: Adailton Rogério de Oliveira</t>
  </si>
  <si>
    <t>Engenheiro Civil - CREA PR 68.917/D</t>
  </si>
  <si>
    <t>Prefeito:  Maicon Grosskopf</t>
  </si>
  <si>
    <t>data: 23-08-2021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</si>
</sst>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0.000"/>
    <numFmt numFmtId="167" formatCode="0.0000"/>
    <numFmt numFmtId="168" formatCode="#,##0.00\ &quot;/m2&quot;_);[Red]\(#,##0.00\ &quot;/m2&quot;\)"/>
    <numFmt numFmtId="169" formatCode="0.0%"/>
    <numFmt numFmtId="170" formatCode="#,##0.000000"/>
    <numFmt numFmtId="171" formatCode="&quot;R$&quot;\ #,##0.00"/>
    <numFmt numFmtId="172" formatCode="#,##0.00\ &quot;R$/lote&quot;_);[Red]\(#,##0.00\ &quot;R$/lote&quot;\)"/>
    <numFmt numFmtId="173" formatCode="#,##0.00\ &quot;m2&quot;_);[Red]\(#,##0.00\ &quot;m2&quot;\)"/>
    <numFmt numFmtId="174" formatCode="#,##0.00\ &quot;R$/m2&quot;_);[Red]\(#,##0.00\ &quot;R$/m2&quot;\)"/>
    <numFmt numFmtId="175" formatCode="#,##0.00\ &quot;m2&quot;"/>
    <numFmt numFmtId="176" formatCode="d/m/yy;@"/>
    <numFmt numFmtId="177" formatCode="#,##0_ ;[Red]\-#,##0\ "/>
    <numFmt numFmtId="178" formatCode="0.000%"/>
    <numFmt numFmtId="179" formatCode="#,##0.000"/>
    <numFmt numFmtId="180" formatCode="0.00000"/>
    <numFmt numFmtId="181" formatCode="#,##0.00000000"/>
    <numFmt numFmtId="182" formatCode="#,##0.00_ ;[Red]\-#,##0.00\ "/>
  </numFmts>
  <fonts count="6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8"/>
      <color indexed="81"/>
      <name val="Segoe UI"/>
      <family val="2"/>
    </font>
    <font>
      <b/>
      <sz val="8"/>
      <color indexed="81"/>
      <name val="Segoe UI"/>
      <family val="2"/>
    </font>
    <font>
      <sz val="10"/>
      <name val="MS Sans Serif"/>
    </font>
    <font>
      <b/>
      <sz val="16"/>
      <name val="Arial"/>
      <family val="2"/>
    </font>
    <font>
      <sz val="8"/>
      <name val="MS Sans Serif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3" tint="0.39997558519241921"/>
      <name val="Arial"/>
      <family val="2"/>
    </font>
    <font>
      <b/>
      <sz val="10"/>
      <name val="MS Sans Serif"/>
    </font>
    <font>
      <b/>
      <sz val="8"/>
      <name val="MS Sans Serif"/>
    </font>
    <font>
      <sz val="10"/>
      <name val="Algerian"/>
      <family val="5"/>
    </font>
    <font>
      <b/>
      <sz val="20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b/>
      <sz val="1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22"/>
      <name val="Arial"/>
      <family val="2"/>
    </font>
    <font>
      <b/>
      <sz val="14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indexed="81"/>
      <name val="Segoe UI"/>
      <family val="2"/>
    </font>
    <font>
      <sz val="12"/>
      <color theme="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name val="Arial"/>
      <family val="2"/>
    </font>
    <font>
      <u/>
      <sz val="8"/>
      <color theme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</fills>
  <borders count="19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ashDotDot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 style="medium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 style="medium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ashDotDot">
        <color auto="1"/>
      </bottom>
      <diagonal/>
    </border>
    <border>
      <left/>
      <right/>
      <top style="hair">
        <color indexed="64"/>
      </top>
      <bottom style="dashDotDot">
        <color auto="1"/>
      </bottom>
      <diagonal/>
    </border>
    <border>
      <left/>
      <right style="hair">
        <color indexed="64"/>
      </right>
      <top style="hair">
        <color indexed="64"/>
      </top>
      <bottom style="dashDotDot">
        <color auto="1"/>
      </bottom>
      <diagonal/>
    </border>
    <border>
      <left style="hair">
        <color indexed="64"/>
      </left>
      <right style="medium">
        <color indexed="64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7" fillId="0" borderId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0" fontId="63" fillId="0" borderId="0" applyNumberFormat="0" applyFill="0" applyBorder="0" applyAlignment="0" applyProtection="0"/>
  </cellStyleXfs>
  <cellXfs count="1241">
    <xf numFmtId="0" fontId="0" fillId="0" borderId="0" xfId="0"/>
    <xf numFmtId="167" fontId="10" fillId="0" borderId="6" xfId="1" applyNumberFormat="1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 applyAlignment="1">
      <alignment horizontal="left"/>
    </xf>
    <xf numFmtId="0" fontId="10" fillId="0" borderId="0" xfId="0" applyFont="1" applyFill="1" applyAlignment="1"/>
    <xf numFmtId="1" fontId="10" fillId="0" borderId="6" xfId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/>
    <xf numFmtId="0" fontId="8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/>
    </xf>
    <xf numFmtId="2" fontId="8" fillId="0" borderId="6" xfId="1" applyNumberFormat="1" applyFont="1" applyFill="1" applyBorder="1" applyAlignment="1">
      <alignment horizontal="center" wrapText="1"/>
    </xf>
    <xf numFmtId="0" fontId="8" fillId="0" borderId="29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textRotation="180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2" fontId="10" fillId="0" borderId="2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1" applyFont="1" applyFill="1"/>
    <xf numFmtId="0" fontId="10" fillId="0" borderId="0" xfId="1" applyFont="1" applyFill="1" applyAlignment="1"/>
    <xf numFmtId="0" fontId="5" fillId="0" borderId="0" xfId="1" applyFill="1"/>
    <xf numFmtId="0" fontId="5" fillId="0" borderId="0" xfId="1" applyFill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2" fontId="8" fillId="0" borderId="0" xfId="1" applyNumberFormat="1" applyFont="1" applyFill="1" applyBorder="1" applyAlignment="1">
      <alignment horizontal="center" wrapText="1"/>
    </xf>
    <xf numFmtId="0" fontId="10" fillId="2" borderId="0" xfId="0" applyFont="1" applyFill="1" applyAlignment="1"/>
    <xf numFmtId="0" fontId="3" fillId="2" borderId="9" xfId="0" applyFont="1" applyFill="1" applyBorder="1" applyAlignment="1">
      <alignment horizontal="left"/>
    </xf>
    <xf numFmtId="1" fontId="10" fillId="2" borderId="7" xfId="1" applyNumberFormat="1" applyFont="1" applyFill="1" applyBorder="1" applyAlignment="1">
      <alignment horizontal="center"/>
    </xf>
    <xf numFmtId="0" fontId="7" fillId="0" borderId="45" xfId="0" applyFont="1" applyFill="1" applyBorder="1" applyAlignment="1" applyProtection="1">
      <alignment horizontal="center" vertical="center" textRotation="90" wrapText="1"/>
    </xf>
    <xf numFmtId="0" fontId="5" fillId="0" borderId="0" xfId="0" applyFont="1"/>
    <xf numFmtId="49" fontId="17" fillId="0" borderId="11" xfId="0" applyNumberFormat="1" applyFont="1" applyFill="1" applyBorder="1" applyAlignment="1" applyProtection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 applyProtection="1">
      <alignment horizontal="centerContinuous" vertical="center"/>
    </xf>
    <xf numFmtId="0" fontId="5" fillId="0" borderId="17" xfId="0" applyFont="1" applyFill="1" applyBorder="1" applyAlignment="1" applyProtection="1">
      <alignment horizontal="centerContinuous" vertical="center"/>
    </xf>
    <xf numFmtId="2" fontId="7" fillId="0" borderId="3" xfId="1" applyNumberFormat="1" applyFont="1" applyFill="1" applyBorder="1" applyAlignment="1">
      <alignment horizontal="centerContinuous" vertical="center"/>
    </xf>
    <xf numFmtId="0" fontId="5" fillId="0" borderId="28" xfId="1" applyFont="1" applyFill="1" applyBorder="1" applyAlignment="1">
      <alignment horizontal="centerContinuous" vertical="center"/>
    </xf>
    <xf numFmtId="0" fontId="7" fillId="0" borderId="28" xfId="1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28" xfId="0" applyFont="1" applyFill="1" applyBorder="1" applyAlignment="1">
      <alignment horizontal="centerContinuous" vertical="center"/>
    </xf>
    <xf numFmtId="0" fontId="7" fillId="0" borderId="10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/>
    </xf>
    <xf numFmtId="0" fontId="5" fillId="0" borderId="0" xfId="0" applyFont="1" applyFill="1"/>
    <xf numFmtId="2" fontId="7" fillId="0" borderId="38" xfId="1" applyNumberFormat="1" applyFont="1" applyFill="1" applyBorder="1" applyAlignment="1">
      <alignment horizontal="center" vertical="center"/>
    </xf>
    <xf numFmtId="2" fontId="7" fillId="0" borderId="5" xfId="1" applyNumberFormat="1" applyFont="1" applyFill="1" applyBorder="1" applyAlignment="1">
      <alignment horizontal="center" vertical="center"/>
    </xf>
    <xf numFmtId="2" fontId="7" fillId="0" borderId="43" xfId="1" applyNumberFormat="1" applyFont="1" applyFill="1" applyBorder="1" applyAlignment="1">
      <alignment horizontal="center" vertical="center"/>
    </xf>
    <xf numFmtId="2" fontId="5" fillId="0" borderId="52" xfId="1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165" fontId="7" fillId="0" borderId="5" xfId="1" applyNumberFormat="1" applyFont="1" applyFill="1" applyBorder="1" applyAlignment="1">
      <alignment horizontal="center" vertical="center" wrapText="1"/>
    </xf>
    <xf numFmtId="165" fontId="7" fillId="0" borderId="30" xfId="1" applyNumberFormat="1" applyFont="1" applyFill="1" applyBorder="1" applyAlignment="1">
      <alignment horizontal="center" vertical="center"/>
    </xf>
    <xf numFmtId="165" fontId="7" fillId="0" borderId="43" xfId="1" applyNumberFormat="1" applyFont="1" applyFill="1" applyBorder="1" applyAlignment="1">
      <alignment horizontal="center" vertical="center" wrapText="1"/>
    </xf>
    <xf numFmtId="2" fontId="7" fillId="0" borderId="38" xfId="0" applyNumberFormat="1" applyFont="1" applyFill="1" applyBorder="1" applyAlignment="1">
      <alignment horizontal="center" vertical="center"/>
    </xf>
    <xf numFmtId="165" fontId="7" fillId="0" borderId="30" xfId="1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4" fontId="7" fillId="0" borderId="29" xfId="1" applyNumberFormat="1" applyFont="1" applyFill="1" applyBorder="1" applyAlignment="1">
      <alignment vertical="center"/>
    </xf>
    <xf numFmtId="2" fontId="5" fillId="0" borderId="28" xfId="1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168" fontId="7" fillId="0" borderId="30" xfId="0" applyNumberFormat="1" applyFont="1" applyFill="1" applyBorder="1" applyAlignment="1" applyProtection="1">
      <alignment horizontal="right" vertical="center"/>
    </xf>
    <xf numFmtId="168" fontId="7" fillId="0" borderId="43" xfId="0" applyNumberFormat="1" applyFont="1" applyFill="1" applyBorder="1" applyAlignment="1" applyProtection="1">
      <alignment horizontal="right" vertical="center"/>
    </xf>
    <xf numFmtId="0" fontId="5" fillId="0" borderId="17" xfId="0" applyFont="1" applyFill="1" applyBorder="1" applyAlignment="1">
      <alignment horizontal="centerContinuous" vertical="center"/>
    </xf>
    <xf numFmtId="4" fontId="7" fillId="0" borderId="39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167" fontId="5" fillId="0" borderId="28" xfId="1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4" fontId="7" fillId="0" borderId="17" xfId="1" applyNumberFormat="1" applyFont="1" applyFill="1" applyBorder="1" applyAlignment="1">
      <alignment vertical="center"/>
    </xf>
    <xf numFmtId="4" fontId="7" fillId="0" borderId="3" xfId="1" applyNumberFormat="1" applyFont="1" applyFill="1" applyBorder="1" applyAlignment="1">
      <alignment vertical="center"/>
    </xf>
    <xf numFmtId="0" fontId="5" fillId="0" borderId="0" xfId="5" applyFont="1"/>
    <xf numFmtId="10" fontId="7" fillId="0" borderId="39" xfId="6" applyNumberFormat="1" applyFont="1" applyFill="1" applyBorder="1" applyAlignment="1">
      <alignment vertical="center"/>
    </xf>
    <xf numFmtId="4" fontId="7" fillId="4" borderId="39" xfId="1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left"/>
    </xf>
    <xf numFmtId="1" fontId="10" fillId="2" borderId="6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166" fontId="8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27" fillId="0" borderId="0" xfId="7"/>
    <xf numFmtId="4" fontId="7" fillId="0" borderId="11" xfId="0" applyNumberFormat="1" applyFont="1" applyFill="1" applyBorder="1" applyAlignment="1">
      <alignment vertical="center"/>
    </xf>
    <xf numFmtId="4" fontId="7" fillId="0" borderId="28" xfId="0" applyNumberFormat="1" applyFont="1" applyFill="1" applyBorder="1" applyAlignment="1">
      <alignment vertical="center"/>
    </xf>
    <xf numFmtId="4" fontId="7" fillId="0" borderId="28" xfId="1" applyNumberFormat="1" applyFont="1" applyFill="1" applyBorder="1" applyAlignment="1">
      <alignment vertical="center"/>
    </xf>
    <xf numFmtId="4" fontId="5" fillId="5" borderId="31" xfId="0" applyNumberFormat="1" applyFont="1" applyFill="1" applyBorder="1" applyAlignment="1" applyProtection="1">
      <alignment vertical="center"/>
      <protection locked="0"/>
    </xf>
    <xf numFmtId="4" fontId="5" fillId="0" borderId="6" xfId="1" applyNumberFormat="1" applyFont="1" applyFill="1" applyBorder="1" applyAlignment="1">
      <alignment vertical="center"/>
    </xf>
    <xf numFmtId="4" fontId="5" fillId="0" borderId="4" xfId="1" applyNumberFormat="1" applyFont="1" applyFill="1" applyBorder="1" applyAlignment="1">
      <alignment vertical="center"/>
    </xf>
    <xf numFmtId="4" fontId="5" fillId="0" borderId="34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2" fontId="8" fillId="0" borderId="8" xfId="1" applyNumberFormat="1" applyFont="1" applyFill="1" applyBorder="1" applyAlignment="1">
      <alignment horizontal="center"/>
    </xf>
    <xf numFmtId="0" fontId="37" fillId="0" borderId="12" xfId="14" applyFont="1" applyBorder="1" applyAlignment="1">
      <alignment horizontal="centerContinuous"/>
    </xf>
    <xf numFmtId="0" fontId="5" fillId="0" borderId="10" xfId="14" applyBorder="1" applyAlignment="1">
      <alignment horizontal="centerContinuous"/>
    </xf>
    <xf numFmtId="0" fontId="5" fillId="0" borderId="13" xfId="14" applyBorder="1" applyAlignment="1">
      <alignment horizontal="centerContinuous"/>
    </xf>
    <xf numFmtId="0" fontId="5" fillId="0" borderId="0" xfId="14" applyProtection="1">
      <protection locked="0"/>
    </xf>
    <xf numFmtId="0" fontId="28" fillId="0" borderId="14" xfId="14" applyFont="1" applyBorder="1" applyAlignment="1">
      <alignment horizontal="left"/>
    </xf>
    <xf numFmtId="0" fontId="31" fillId="0" borderId="3" xfId="14" applyFont="1" applyBorder="1" applyAlignment="1">
      <alignment horizontal="centerContinuous"/>
    </xf>
    <xf numFmtId="0" fontId="31" fillId="0" borderId="39" xfId="14" applyFont="1" applyBorder="1" applyAlignment="1">
      <alignment horizontal="centerContinuous"/>
    </xf>
    <xf numFmtId="0" fontId="5" fillId="0" borderId="0" xfId="14" applyAlignment="1">
      <alignment horizontal="center"/>
    </xf>
    <xf numFmtId="0" fontId="5" fillId="0" borderId="15" xfId="14" applyBorder="1" applyAlignment="1">
      <alignment horizontal="center"/>
    </xf>
    <xf numFmtId="0" fontId="37" fillId="0" borderId="16" xfId="14" applyFont="1" applyBorder="1" applyAlignment="1">
      <alignment horizontal="centerContinuous"/>
    </xf>
    <xf numFmtId="0" fontId="5" fillId="0" borderId="11" xfId="14" applyBorder="1" applyAlignment="1">
      <alignment horizontal="centerContinuous"/>
    </xf>
    <xf numFmtId="0" fontId="5" fillId="0" borderId="17" xfId="14" applyBorder="1" applyAlignment="1">
      <alignment horizontal="centerContinuous"/>
    </xf>
    <xf numFmtId="0" fontId="31" fillId="0" borderId="14" xfId="14" applyFont="1" applyBorder="1" applyAlignment="1">
      <alignment horizontal="centerContinuous"/>
    </xf>
    <xf numFmtId="0" fontId="5" fillId="0" borderId="0" xfId="14" applyAlignment="1">
      <alignment horizontal="centerContinuous"/>
    </xf>
    <xf numFmtId="0" fontId="5" fillId="0" borderId="15" xfId="14" applyBorder="1" applyAlignment="1">
      <alignment horizontal="centerContinuous"/>
    </xf>
    <xf numFmtId="0" fontId="31" fillId="0" borderId="89" xfId="14" applyFont="1" applyBorder="1"/>
    <xf numFmtId="3" fontId="31" fillId="12" borderId="90" xfId="16" applyNumberFormat="1" applyFont="1" applyFill="1" applyBorder="1" applyAlignment="1" applyProtection="1">
      <alignment horizontal="center"/>
      <protection locked="0"/>
    </xf>
    <xf numFmtId="0" fontId="5" fillId="0" borderId="10" xfId="14" applyBorder="1"/>
    <xf numFmtId="0" fontId="31" fillId="0" borderId="91" xfId="14" applyFont="1" applyBorder="1"/>
    <xf numFmtId="3" fontId="31" fillId="12" borderId="92" xfId="16" applyNumberFormat="1" applyFont="1" applyFill="1" applyBorder="1" applyAlignment="1" applyProtection="1">
      <alignment horizontal="center"/>
      <protection locked="0"/>
    </xf>
    <xf numFmtId="0" fontId="38" fillId="0" borderId="0" xfId="14" quotePrefix="1" applyFont="1" applyAlignment="1">
      <alignment horizontal="left"/>
    </xf>
    <xf numFmtId="0" fontId="31" fillId="0" borderId="89" xfId="14" quotePrefix="1" applyFont="1" applyBorder="1" applyAlignment="1">
      <alignment horizontal="center"/>
    </xf>
    <xf numFmtId="0" fontId="31" fillId="0" borderId="0" xfId="14" quotePrefix="1" applyFont="1" applyAlignment="1">
      <alignment horizontal="left"/>
    </xf>
    <xf numFmtId="0" fontId="31" fillId="0" borderId="93" xfId="14" applyFont="1" applyBorder="1" applyAlignment="1">
      <alignment horizontal="center"/>
    </xf>
    <xf numFmtId="0" fontId="5" fillId="0" borderId="11" xfId="14" applyBorder="1"/>
    <xf numFmtId="3" fontId="32" fillId="0" borderId="28" xfId="16" applyNumberFormat="1" applyFont="1" applyBorder="1" applyAlignment="1">
      <alignment horizontal="left" indent="8"/>
    </xf>
    <xf numFmtId="0" fontId="32" fillId="0" borderId="28" xfId="14" applyFont="1" applyBorder="1"/>
    <xf numFmtId="1" fontId="32" fillId="0" borderId="39" xfId="14" applyNumberFormat="1" applyFont="1" applyBorder="1" applyAlignment="1">
      <alignment horizontal="center"/>
    </xf>
    <xf numFmtId="0" fontId="5" fillId="0" borderId="12" xfId="14" applyBorder="1"/>
    <xf numFmtId="0" fontId="5" fillId="0" borderId="13" xfId="14" applyBorder="1"/>
    <xf numFmtId="0" fontId="31" fillId="0" borderId="16" xfId="14" applyFont="1" applyBorder="1" applyAlignment="1">
      <alignment horizontal="centerContinuous"/>
    </xf>
    <xf numFmtId="0" fontId="31" fillId="0" borderId="95" xfId="14" applyFont="1" applyBorder="1"/>
    <xf numFmtId="0" fontId="5" fillId="0" borderId="89" xfId="14" applyBorder="1"/>
    <xf numFmtId="0" fontId="38" fillId="0" borderId="96" xfId="14" quotePrefix="1" applyFont="1" applyBorder="1" applyAlignment="1">
      <alignment horizontal="center"/>
    </xf>
    <xf numFmtId="0" fontId="38" fillId="0" borderId="0" xfId="14" quotePrefix="1" applyFont="1" applyAlignment="1">
      <alignment horizontal="left" indent="2"/>
    </xf>
    <xf numFmtId="0" fontId="31" fillId="0" borderId="96" xfId="14" applyFont="1" applyBorder="1" applyAlignment="1">
      <alignment horizontal="center"/>
    </xf>
    <xf numFmtId="0" fontId="31" fillId="0" borderId="0" xfId="14" quotePrefix="1" applyFont="1" applyAlignment="1">
      <alignment horizontal="left" indent="2"/>
    </xf>
    <xf numFmtId="0" fontId="31" fillId="0" borderId="93" xfId="14" applyFont="1" applyBorder="1"/>
    <xf numFmtId="3" fontId="32" fillId="0" borderId="11" xfId="16" applyNumberFormat="1" applyFont="1" applyBorder="1" applyAlignment="1">
      <alignment horizontal="left" indent="8"/>
    </xf>
    <xf numFmtId="0" fontId="32" fillId="0" borderId="11" xfId="14" applyFont="1" applyBorder="1"/>
    <xf numFmtId="1" fontId="32" fillId="0" borderId="17" xfId="14" applyNumberFormat="1" applyFont="1" applyBorder="1" applyAlignment="1">
      <alignment horizontal="center"/>
    </xf>
    <xf numFmtId="20" fontId="5" fillId="0" borderId="0" xfId="14" applyNumberFormat="1" applyProtection="1">
      <protection locked="0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7" fontId="10" fillId="2" borderId="6" xfId="1" applyNumberFormat="1" applyFont="1" applyFill="1" applyBorder="1" applyAlignment="1">
      <alignment horizontal="center"/>
    </xf>
    <xf numFmtId="0" fontId="0" fillId="2" borderId="0" xfId="0" applyFill="1"/>
    <xf numFmtId="0" fontId="39" fillId="14" borderId="12" xfId="18" applyFont="1" applyFill="1" applyBorder="1" applyAlignment="1">
      <alignment horizontal="right"/>
    </xf>
    <xf numFmtId="0" fontId="39" fillId="14" borderId="10" xfId="18" applyFont="1" applyFill="1" applyBorder="1"/>
    <xf numFmtId="0" fontId="2" fillId="14" borderId="13" xfId="18" applyFill="1" applyBorder="1"/>
    <xf numFmtId="0" fontId="2" fillId="0" borderId="0" xfId="18"/>
    <xf numFmtId="0" fontId="2" fillId="14" borderId="14" xfId="18" applyFill="1" applyBorder="1"/>
    <xf numFmtId="0" fontId="39" fillId="14" borderId="0" xfId="18" applyFont="1" applyFill="1"/>
    <xf numFmtId="0" fontId="2" fillId="14" borderId="0" xfId="18" applyFill="1"/>
    <xf numFmtId="0" fontId="2" fillId="14" borderId="15" xfId="18" applyFill="1" applyBorder="1"/>
    <xf numFmtId="0" fontId="41" fillId="14" borderId="41" xfId="18" applyFont="1" applyFill="1" applyBorder="1" applyAlignment="1">
      <alignment horizontal="center"/>
    </xf>
    <xf numFmtId="0" fontId="41" fillId="14" borderId="7" xfId="18" applyFont="1" applyFill="1" applyBorder="1" applyAlignment="1">
      <alignment horizontal="centerContinuous"/>
    </xf>
    <xf numFmtId="0" fontId="41" fillId="14" borderId="45" xfId="18" applyFont="1" applyFill="1" applyBorder="1" applyAlignment="1">
      <alignment horizontal="centerContinuous"/>
    </xf>
    <xf numFmtId="0" fontId="41" fillId="14" borderId="31" xfId="18" applyFont="1" applyFill="1" applyBorder="1" applyAlignment="1">
      <alignment horizontal="center"/>
    </xf>
    <xf numFmtId="0" fontId="41" fillId="14" borderId="6" xfId="18" applyFont="1" applyFill="1" applyBorder="1" applyAlignment="1">
      <alignment horizontal="center"/>
    </xf>
    <xf numFmtId="0" fontId="39" fillId="14" borderId="0" xfId="18" applyFont="1" applyFill="1" applyAlignment="1">
      <alignment horizontal="right"/>
    </xf>
    <xf numFmtId="0" fontId="39" fillId="14" borderId="0" xfId="18" applyFont="1" applyFill="1" applyAlignment="1">
      <alignment horizontal="left"/>
    </xf>
    <xf numFmtId="0" fontId="41" fillId="14" borderId="0" xfId="18" applyFont="1" applyFill="1"/>
    <xf numFmtId="0" fontId="39" fillId="14" borderId="14" xfId="18" applyFont="1" applyFill="1" applyBorder="1" applyAlignment="1">
      <alignment horizontal="right"/>
    </xf>
    <xf numFmtId="0" fontId="2" fillId="14" borderId="16" xfId="18" applyFill="1" applyBorder="1"/>
    <xf numFmtId="0" fontId="41" fillId="14" borderId="25" xfId="18" applyFont="1" applyFill="1" applyBorder="1" applyAlignment="1">
      <alignment horizontal="center"/>
    </xf>
    <xf numFmtId="0" fontId="2" fillId="14" borderId="11" xfId="18" applyFill="1" applyBorder="1"/>
    <xf numFmtId="0" fontId="2" fillId="14" borderId="17" xfId="18" applyFill="1" applyBorder="1"/>
    <xf numFmtId="0" fontId="5" fillId="0" borderId="0" xfId="14"/>
    <xf numFmtId="0" fontId="37" fillId="3" borderId="10" xfId="14" applyFont="1" applyFill="1" applyBorder="1" applyAlignment="1">
      <alignment vertical="center"/>
    </xf>
    <xf numFmtId="0" fontId="4" fillId="0" borderId="0" xfId="14" applyFont="1"/>
    <xf numFmtId="0" fontId="7" fillId="15" borderId="10" xfId="14" applyFont="1" applyFill="1" applyBorder="1" applyAlignment="1" applyProtection="1">
      <alignment horizontal="centerContinuous" vertical="center"/>
      <protection locked="0"/>
    </xf>
    <xf numFmtId="0" fontId="7" fillId="15" borderId="13" xfId="14" applyFont="1" applyFill="1" applyBorder="1" applyAlignment="1" applyProtection="1">
      <alignment horizontal="centerContinuous" vertical="center"/>
      <protection locked="0"/>
    </xf>
    <xf numFmtId="0" fontId="7" fillId="3" borderId="10" xfId="14" applyFont="1" applyFill="1" applyBorder="1" applyAlignment="1">
      <alignment horizontal="centerContinuous" vertical="center"/>
    </xf>
    <xf numFmtId="0" fontId="5" fillId="15" borderId="16" xfId="14" applyFill="1" applyBorder="1" applyAlignment="1" applyProtection="1">
      <alignment horizontal="centerContinuous" vertical="center" wrapText="1"/>
      <protection locked="0"/>
    </xf>
    <xf numFmtId="0" fontId="5" fillId="15" borderId="11" xfId="14" applyFill="1" applyBorder="1" applyAlignment="1" applyProtection="1">
      <alignment horizontal="centerContinuous" vertical="center" wrapText="1"/>
      <protection locked="0"/>
    </xf>
    <xf numFmtId="0" fontId="5" fillId="15" borderId="11" xfId="14" applyFill="1" applyBorder="1" applyAlignment="1" applyProtection="1">
      <alignment horizontal="left" vertical="center"/>
      <protection locked="0"/>
    </xf>
    <xf numFmtId="0" fontId="5" fillId="15" borderId="17" xfId="14" applyFill="1" applyBorder="1" applyAlignment="1" applyProtection="1">
      <alignment horizontal="centerContinuous" vertical="center"/>
      <protection locked="0"/>
    </xf>
    <xf numFmtId="0" fontId="5" fillId="3" borderId="16" xfId="14" applyFill="1" applyBorder="1" applyAlignment="1">
      <alignment horizontal="centerContinuous" vertical="center"/>
    </xf>
    <xf numFmtId="14" fontId="5" fillId="3" borderId="11" xfId="14" applyNumberFormat="1" applyFill="1" applyBorder="1" applyAlignment="1">
      <alignment horizontal="center" vertical="center"/>
    </xf>
    <xf numFmtId="0" fontId="5" fillId="3" borderId="11" xfId="14" applyFill="1" applyBorder="1" applyAlignment="1">
      <alignment horizontal="centerContinuous" vertical="center" wrapText="1"/>
    </xf>
    <xf numFmtId="0" fontId="5" fillId="3" borderId="11" xfId="14" applyFill="1" applyBorder="1" applyAlignment="1">
      <alignment vertical="center"/>
    </xf>
    <xf numFmtId="17" fontId="5" fillId="3" borderId="17" xfId="14" applyNumberFormat="1" applyFill="1" applyBorder="1" applyAlignment="1">
      <alignment horizontal="center" vertical="center"/>
    </xf>
    <xf numFmtId="17" fontId="5" fillId="15" borderId="11" xfId="14" applyNumberFormat="1" applyFill="1" applyBorder="1" applyAlignment="1" applyProtection="1">
      <alignment horizontal="center" vertical="center"/>
      <protection locked="0"/>
    </xf>
    <xf numFmtId="14" fontId="7" fillId="15" borderId="11" xfId="14" applyNumberFormat="1" applyFont="1" applyFill="1" applyBorder="1" applyAlignment="1" applyProtection="1">
      <alignment horizontal="center" vertical="center"/>
      <protection locked="0"/>
    </xf>
    <xf numFmtId="17" fontId="5" fillId="15" borderId="17" xfId="14" applyNumberFormat="1" applyFill="1" applyBorder="1" applyAlignment="1" applyProtection="1">
      <alignment horizontal="center" vertical="center"/>
      <protection locked="0"/>
    </xf>
    <xf numFmtId="0" fontId="51" fillId="0" borderId="0" xfId="5" applyFont="1" applyAlignment="1">
      <alignment vertical="center"/>
    </xf>
    <xf numFmtId="0" fontId="27" fillId="0" borderId="0" xfId="7" applyProtection="1">
      <protection locked="0"/>
    </xf>
    <xf numFmtId="0" fontId="29" fillId="0" borderId="0" xfId="7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10" fillId="7" borderId="162" xfId="0" applyFont="1" applyFill="1" applyBorder="1" applyProtection="1">
      <protection locked="0"/>
    </xf>
    <xf numFmtId="0" fontId="10" fillId="7" borderId="163" xfId="0" applyFont="1" applyFill="1" applyBorder="1" applyProtection="1">
      <protection locked="0"/>
    </xf>
    <xf numFmtId="0" fontId="10" fillId="7" borderId="164" xfId="0" applyFont="1" applyFill="1" applyBorder="1" applyProtection="1">
      <protection locked="0"/>
    </xf>
    <xf numFmtId="0" fontId="10" fillId="7" borderId="165" xfId="0" applyFont="1" applyFill="1" applyBorder="1" applyProtection="1">
      <protection locked="0"/>
    </xf>
    <xf numFmtId="0" fontId="10" fillId="7" borderId="11" xfId="0" applyFont="1" applyFill="1" applyBorder="1" applyProtection="1">
      <protection locked="0"/>
    </xf>
    <xf numFmtId="0" fontId="10" fillId="7" borderId="17" xfId="0" applyFont="1" applyFill="1" applyBorder="1" applyProtection="1">
      <protection locked="0"/>
    </xf>
    <xf numFmtId="0" fontId="8" fillId="7" borderId="167" xfId="0" applyFont="1" applyFill="1" applyBorder="1" applyAlignment="1" applyProtection="1">
      <alignment horizontal="left" indent="3"/>
      <protection locked="0"/>
    </xf>
    <xf numFmtId="0" fontId="0" fillId="7" borderId="167" xfId="0" applyFill="1" applyBorder="1" applyProtection="1">
      <protection locked="0"/>
    </xf>
    <xf numFmtId="0" fontId="0" fillId="7" borderId="166" xfId="0" applyFill="1" applyBorder="1" applyProtection="1">
      <protection locked="0"/>
    </xf>
    <xf numFmtId="0" fontId="8" fillId="7" borderId="11" xfId="0" applyFont="1" applyFill="1" applyBorder="1" applyAlignment="1" applyProtection="1">
      <alignment horizontal="left" indent="3"/>
      <protection locked="0"/>
    </xf>
    <xf numFmtId="0" fontId="0" fillId="7" borderId="11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179" fontId="10" fillId="7" borderId="174" xfId="3" applyNumberFormat="1" applyFont="1" applyFill="1" applyBorder="1" applyAlignment="1" applyProtection="1">
      <alignment horizontal="left"/>
      <protection locked="0"/>
    </xf>
    <xf numFmtId="10" fontId="10" fillId="7" borderId="174" xfId="4" applyNumberFormat="1" applyFont="1" applyFill="1" applyBorder="1" applyAlignment="1" applyProtection="1">
      <alignment horizontal="left"/>
      <protection locked="0"/>
    </xf>
    <xf numFmtId="0" fontId="8" fillId="7" borderId="168" xfId="0" applyFont="1" applyFill="1" applyBorder="1" applyAlignment="1" applyProtection="1">
      <alignment horizontal="left" indent="2"/>
      <protection locked="0"/>
    </xf>
    <xf numFmtId="10" fontId="10" fillId="7" borderId="173" xfId="4" applyNumberFormat="1" applyFont="1" applyFill="1" applyBorder="1" applyAlignment="1" applyProtection="1">
      <alignment horizontal="center"/>
      <protection locked="0"/>
    </xf>
    <xf numFmtId="0" fontId="8" fillId="7" borderId="170" xfId="0" applyFont="1" applyFill="1" applyBorder="1" applyAlignment="1" applyProtection="1">
      <alignment horizontal="left" indent="2"/>
      <protection locked="0"/>
    </xf>
    <xf numFmtId="10" fontId="10" fillId="7" borderId="174" xfId="4" applyNumberFormat="1" applyFont="1" applyFill="1" applyBorder="1" applyAlignment="1" applyProtection="1">
      <alignment horizontal="center"/>
      <protection locked="0"/>
    </xf>
    <xf numFmtId="0" fontId="8" fillId="7" borderId="171" xfId="0" applyFont="1" applyFill="1" applyBorder="1" applyAlignment="1" applyProtection="1">
      <alignment horizontal="left" indent="2"/>
      <protection locked="0"/>
    </xf>
    <xf numFmtId="10" fontId="10" fillId="7" borderId="175" xfId="4" applyNumberFormat="1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left" indent="1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8" fillId="7" borderId="7" xfId="0" applyFont="1" applyFill="1" applyBorder="1" applyAlignment="1" applyProtection="1">
      <alignment horizontal="left" indent="2"/>
      <protection locked="0"/>
    </xf>
    <xf numFmtId="10" fontId="10" fillId="7" borderId="172" xfId="4" applyNumberFormat="1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178" fontId="0" fillId="0" borderId="13" xfId="4" applyNumberFormat="1" applyFont="1" applyFill="1" applyBorder="1" applyProtection="1">
      <protection locked="0"/>
    </xf>
    <xf numFmtId="167" fontId="0" fillId="0" borderId="13" xfId="0" applyNumberFormat="1" applyFill="1" applyBorder="1" applyProtection="1">
      <protection locked="0"/>
    </xf>
    <xf numFmtId="0" fontId="3" fillId="0" borderId="14" xfId="0" applyFont="1" applyFill="1" applyBorder="1" applyAlignment="1" applyProtection="1">
      <alignment horizontal="right" indent="1"/>
      <protection locked="0"/>
    </xf>
    <xf numFmtId="178" fontId="0" fillId="0" borderId="15" xfId="4" applyNumberFormat="1" applyFont="1" applyFill="1" applyBorder="1" applyProtection="1">
      <protection locked="0"/>
    </xf>
    <xf numFmtId="167" fontId="3" fillId="0" borderId="46" xfId="3" applyNumberFormat="1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horizontal="right"/>
      <protection locked="0"/>
    </xf>
    <xf numFmtId="178" fontId="0" fillId="0" borderId="17" xfId="4" applyNumberFormat="1" applyFont="1" applyFill="1" applyBorder="1" applyProtection="1">
      <protection locked="0"/>
    </xf>
    <xf numFmtId="167" fontId="3" fillId="0" borderId="17" xfId="0" applyNumberFormat="1" applyFont="1" applyFill="1" applyBorder="1" applyAlignment="1" applyProtection="1">
      <alignment horizontal="center"/>
      <protection locked="0"/>
    </xf>
    <xf numFmtId="0" fontId="3" fillId="0" borderId="78" xfId="0" applyFont="1" applyFill="1" applyBorder="1" applyAlignment="1" applyProtection="1">
      <alignment horizontal="right"/>
      <protection locked="0"/>
    </xf>
    <xf numFmtId="178" fontId="0" fillId="0" borderId="53" xfId="4" applyNumberFormat="1" applyFont="1" applyFill="1" applyBorder="1" applyProtection="1">
      <protection locked="0"/>
    </xf>
    <xf numFmtId="167" fontId="3" fillId="0" borderId="53" xfId="3" applyNumberFormat="1" applyFont="1" applyFill="1" applyBorder="1" applyAlignment="1" applyProtection="1">
      <alignment horizontal="center"/>
      <protection locked="0"/>
    </xf>
    <xf numFmtId="0" fontId="3" fillId="0" borderId="67" xfId="0" applyFont="1" applyFill="1" applyBorder="1" applyAlignment="1" applyProtection="1">
      <alignment horizontal="right"/>
      <protection locked="0"/>
    </xf>
    <xf numFmtId="178" fontId="0" fillId="0" borderId="55" xfId="4" applyNumberFormat="1" applyFont="1" applyFill="1" applyBorder="1" applyProtection="1">
      <protection locked="0"/>
    </xf>
    <xf numFmtId="167" fontId="3" fillId="0" borderId="55" xfId="3" applyNumberFormat="1" applyFont="1" applyFill="1" applyBorder="1" applyAlignment="1" applyProtection="1">
      <alignment horizontal="center"/>
      <protection locked="0"/>
    </xf>
    <xf numFmtId="0" fontId="0" fillId="0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3" fillId="0" borderId="57" xfId="0" applyFont="1" applyFill="1" applyBorder="1" applyAlignment="1" applyProtection="1">
      <alignment horizontal="right"/>
      <protection locked="0"/>
    </xf>
    <xf numFmtId="178" fontId="3" fillId="0" borderId="79" xfId="4" applyNumberFormat="1" applyFont="1" applyFill="1" applyBorder="1" applyProtection="1">
      <protection locked="0"/>
    </xf>
    <xf numFmtId="167" fontId="3" fillId="0" borderId="79" xfId="3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0" borderId="82" xfId="0" applyFont="1" applyFill="1" applyBorder="1" applyAlignment="1" applyProtection="1">
      <alignment horizontal="right"/>
      <protection locked="0"/>
    </xf>
    <xf numFmtId="0" fontId="8" fillId="0" borderId="83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8" fillId="0" borderId="12" xfId="0" applyFont="1" applyBorder="1" applyProtection="1"/>
    <xf numFmtId="0" fontId="8" fillId="0" borderId="14" xfId="0" applyFont="1" applyBorder="1" applyProtection="1"/>
    <xf numFmtId="0" fontId="8" fillId="0" borderId="16" xfId="0" applyFont="1" applyBorder="1" applyProtection="1"/>
    <xf numFmtId="0" fontId="10" fillId="7" borderId="11" xfId="0" applyFont="1" applyFill="1" applyBorder="1" applyProtection="1"/>
    <xf numFmtId="0" fontId="10" fillId="7" borderId="17" xfId="0" applyFont="1" applyFill="1" applyBorder="1" applyProtection="1"/>
    <xf numFmtId="0" fontId="28" fillId="0" borderId="12" xfId="0" applyFont="1" applyFill="1" applyBorder="1" applyAlignment="1" applyProtection="1">
      <alignment horizontal="right"/>
    </xf>
    <xf numFmtId="0" fontId="8" fillId="0" borderId="65" xfId="0" applyFont="1" applyFill="1" applyBorder="1" applyAlignment="1" applyProtection="1">
      <alignment horizontal="right"/>
    </xf>
    <xf numFmtId="0" fontId="0" fillId="0" borderId="16" xfId="0" applyBorder="1" applyProtection="1"/>
    <xf numFmtId="0" fontId="8" fillId="0" borderId="58" xfId="0" applyFont="1" applyFill="1" applyBorder="1" applyAlignment="1" applyProtection="1">
      <alignment horizontal="right"/>
    </xf>
    <xf numFmtId="0" fontId="3" fillId="0" borderId="0" xfId="0" applyFont="1" applyFill="1" applyBorder="1" applyProtection="1"/>
    <xf numFmtId="0" fontId="0" fillId="0" borderId="0" xfId="0" applyFill="1" applyBorder="1" applyProtection="1"/>
    <xf numFmtId="0" fontId="28" fillId="0" borderId="12" xfId="0" applyFont="1" applyFill="1" applyBorder="1" applyAlignment="1" applyProtection="1">
      <alignment horizontal="centerContinuous"/>
    </xf>
    <xf numFmtId="0" fontId="0" fillId="0" borderId="10" xfId="0" applyBorder="1" applyAlignment="1" applyProtection="1">
      <alignment horizontal="centerContinuous"/>
    </xf>
    <xf numFmtId="0" fontId="0" fillId="0" borderId="19" xfId="0" applyBorder="1" applyAlignment="1" applyProtection="1">
      <alignment horizontal="centerContinuous"/>
    </xf>
    <xf numFmtId="0" fontId="0" fillId="0" borderId="10" xfId="0" applyBorder="1" applyProtection="1"/>
    <xf numFmtId="0" fontId="28" fillId="0" borderId="180" xfId="0" applyFont="1" applyFill="1" applyBorder="1" applyAlignment="1" applyProtection="1">
      <alignment horizontal="centerContinuous"/>
    </xf>
    <xf numFmtId="0" fontId="0" fillId="0" borderId="13" xfId="0" applyBorder="1" applyAlignment="1" applyProtection="1">
      <alignment horizontal="centerContinuous"/>
    </xf>
    <xf numFmtId="0" fontId="8" fillId="0" borderId="181" xfId="0" applyFont="1" applyBorder="1" applyAlignment="1" applyProtection="1">
      <alignment horizontal="left" indent="5"/>
    </xf>
    <xf numFmtId="0" fontId="0" fillId="0" borderId="169" xfId="0" applyBorder="1" applyAlignment="1" applyProtection="1">
      <alignment horizontal="left"/>
    </xf>
    <xf numFmtId="0" fontId="0" fillId="0" borderId="0" xfId="0" applyBorder="1" applyProtection="1"/>
    <xf numFmtId="0" fontId="0" fillId="0" borderId="176" xfId="0" applyBorder="1" applyProtection="1"/>
    <xf numFmtId="0" fontId="0" fillId="0" borderId="15" xfId="0" applyBorder="1" applyProtection="1"/>
    <xf numFmtId="0" fontId="8" fillId="0" borderId="14" xfId="0" applyFont="1" applyBorder="1" applyAlignment="1" applyProtection="1">
      <alignment horizontal="left" indent="5"/>
    </xf>
    <xf numFmtId="0" fontId="0" fillId="0" borderId="0" xfId="0" applyBorder="1" applyAlignment="1" applyProtection="1">
      <alignment horizontal="left"/>
    </xf>
    <xf numFmtId="0" fontId="28" fillId="0" borderId="130" xfId="0" applyFont="1" applyFill="1" applyBorder="1" applyAlignment="1" applyProtection="1">
      <alignment horizontal="centerContinuous"/>
    </xf>
    <xf numFmtId="0" fontId="0" fillId="0" borderId="53" xfId="0" applyBorder="1" applyAlignment="1" applyProtection="1">
      <alignment horizontal="centerContinuous"/>
    </xf>
    <xf numFmtId="0" fontId="8" fillId="0" borderId="179" xfId="0" applyFont="1" applyFill="1" applyBorder="1" applyAlignment="1" applyProtection="1">
      <alignment horizontal="centerContinuous"/>
    </xf>
    <xf numFmtId="0" fontId="0" fillId="0" borderId="9" xfId="0" applyBorder="1" applyAlignment="1" applyProtection="1">
      <alignment horizontal="centerContinuous"/>
    </xf>
    <xf numFmtId="0" fontId="0" fillId="0" borderId="44" xfId="0" applyBorder="1" applyAlignment="1" applyProtection="1">
      <alignment horizontal="centerContinuous"/>
    </xf>
    <xf numFmtId="0" fontId="10" fillId="0" borderId="118" xfId="0" applyFont="1" applyFill="1" applyBorder="1" applyAlignment="1" applyProtection="1">
      <alignment horizontal="center"/>
    </xf>
    <xf numFmtId="0" fontId="10" fillId="0" borderId="42" xfId="0" applyFont="1" applyFill="1" applyBorder="1" applyAlignment="1" applyProtection="1">
      <alignment horizontal="centerContinuous"/>
    </xf>
    <xf numFmtId="0" fontId="10" fillId="0" borderId="67" xfId="0" applyFont="1" applyFill="1" applyBorder="1" applyAlignment="1" applyProtection="1">
      <alignment horizontal="center"/>
    </xf>
    <xf numFmtId="0" fontId="10" fillId="0" borderId="7" xfId="0" applyFont="1" applyFill="1" applyBorder="1" applyAlignment="1" applyProtection="1">
      <alignment horizontal="centerContinuous"/>
    </xf>
    <xf numFmtId="0" fontId="10" fillId="0" borderId="45" xfId="0" applyFont="1" applyFill="1" applyBorder="1" applyAlignment="1" applyProtection="1">
      <alignment horizontal="centerContinuous"/>
    </xf>
    <xf numFmtId="0" fontId="0" fillId="0" borderId="130" xfId="0" applyBorder="1" applyProtection="1"/>
    <xf numFmtId="0" fontId="10" fillId="0" borderId="121" xfId="0" applyFont="1" applyFill="1" applyBorder="1" applyAlignment="1" applyProtection="1">
      <alignment horizontal="centerContinuous"/>
    </xf>
    <xf numFmtId="0" fontId="8" fillId="0" borderId="182" xfId="0" applyFont="1" applyFill="1" applyBorder="1" applyProtection="1"/>
    <xf numFmtId="0" fontId="0" fillId="0" borderId="41" xfId="0" applyBorder="1" applyProtection="1"/>
    <xf numFmtId="0" fontId="0" fillId="0" borderId="42" xfId="0" applyBorder="1" applyProtection="1"/>
    <xf numFmtId="0" fontId="8" fillId="0" borderId="178" xfId="0" applyFont="1" applyFill="1" applyBorder="1" applyProtection="1"/>
    <xf numFmtId="0" fontId="8" fillId="0" borderId="1" xfId="0" applyFont="1" applyFill="1" applyBorder="1" applyAlignment="1" applyProtection="1">
      <alignment horizontal="left" indent="2"/>
    </xf>
    <xf numFmtId="10" fontId="10" fillId="0" borderId="121" xfId="4" applyNumberFormat="1" applyFont="1" applyFill="1" applyBorder="1" applyAlignment="1" applyProtection="1">
      <alignment horizontal="center"/>
    </xf>
    <xf numFmtId="0" fontId="8" fillId="0" borderId="183" xfId="0" applyFont="1" applyFill="1" applyBorder="1" applyProtection="1"/>
    <xf numFmtId="0" fontId="0" fillId="0" borderId="31" xfId="0" applyBorder="1" applyProtection="1"/>
    <xf numFmtId="0" fontId="0" fillId="0" borderId="48" xfId="0" applyBorder="1" applyProtection="1"/>
    <xf numFmtId="0" fontId="8" fillId="0" borderId="32" xfId="0" applyFont="1" applyFill="1" applyBorder="1" applyProtection="1"/>
    <xf numFmtId="0" fontId="8" fillId="0" borderId="6" xfId="0" applyFont="1" applyFill="1" applyBorder="1" applyAlignment="1" applyProtection="1">
      <alignment horizontal="left" indent="2"/>
    </xf>
    <xf numFmtId="10" fontId="10" fillId="0" borderId="34" xfId="4" applyNumberFormat="1" applyFont="1" applyFill="1" applyBorder="1" applyAlignment="1" applyProtection="1">
      <alignment horizontal="center"/>
    </xf>
    <xf numFmtId="0" fontId="8" fillId="0" borderId="130" xfId="0" applyFont="1" applyFill="1" applyBorder="1" applyAlignment="1" applyProtection="1">
      <alignment horizontal="left" indent="2"/>
    </xf>
    <xf numFmtId="0" fontId="10" fillId="0" borderId="179" xfId="0" applyFont="1" applyBorder="1" applyProtection="1"/>
    <xf numFmtId="10" fontId="8" fillId="0" borderId="6" xfId="4" applyNumberFormat="1" applyFont="1" applyFill="1" applyBorder="1" applyAlignment="1" applyProtection="1">
      <alignment horizontal="center"/>
    </xf>
    <xf numFmtId="10" fontId="8" fillId="0" borderId="34" xfId="4" applyNumberFormat="1" applyFont="1" applyFill="1" applyBorder="1" applyAlignment="1" applyProtection="1">
      <alignment horizontal="center"/>
    </xf>
    <xf numFmtId="0" fontId="10" fillId="0" borderId="16" xfId="0" applyFont="1" applyBorder="1" applyProtection="1"/>
    <xf numFmtId="0" fontId="8" fillId="0" borderId="25" xfId="0" applyFont="1" applyFill="1" applyBorder="1" applyAlignment="1" applyProtection="1">
      <alignment horizontal="left" indent="2"/>
    </xf>
    <xf numFmtId="0" fontId="8" fillId="0" borderId="25" xfId="0" applyFont="1" applyFill="1" applyBorder="1" applyAlignment="1" applyProtection="1">
      <alignment horizontal="center"/>
    </xf>
    <xf numFmtId="0" fontId="0" fillId="0" borderId="11" xfId="0" applyBorder="1" applyProtection="1"/>
    <xf numFmtId="0" fontId="0" fillId="0" borderId="118" xfId="0" applyBorder="1" applyProtection="1"/>
    <xf numFmtId="0" fontId="0" fillId="0" borderId="9" xfId="0" applyBorder="1" applyProtection="1"/>
    <xf numFmtId="0" fontId="0" fillId="0" borderId="44" xfId="0" applyBorder="1" applyProtection="1"/>
    <xf numFmtId="0" fontId="0" fillId="0" borderId="177" xfId="0" applyBorder="1" applyProtection="1"/>
    <xf numFmtId="0" fontId="0" fillId="0" borderId="14" xfId="0" applyBorder="1" applyProtection="1"/>
    <xf numFmtId="0" fontId="8" fillId="0" borderId="176" xfId="0" applyFont="1" applyFill="1" applyBorder="1" applyAlignment="1" applyProtection="1">
      <alignment horizontal="left"/>
    </xf>
    <xf numFmtId="0" fontId="28" fillId="0" borderId="78" xfId="0" applyFont="1" applyFill="1" applyBorder="1" applyAlignment="1" applyProtection="1">
      <alignment horizontal="centerContinuous"/>
    </xf>
    <xf numFmtId="0" fontId="8" fillId="0" borderId="179" xfId="0" applyFont="1" applyFill="1" applyBorder="1" applyAlignment="1" applyProtection="1">
      <alignment horizontal="center"/>
    </xf>
    <xf numFmtId="0" fontId="8" fillId="0" borderId="42" xfId="0" applyFont="1" applyFill="1" applyBorder="1" applyAlignment="1" applyProtection="1">
      <alignment horizontal="centerContinuous"/>
    </xf>
    <xf numFmtId="0" fontId="3" fillId="0" borderId="78" xfId="0" applyFont="1" applyBorder="1" applyProtection="1"/>
    <xf numFmtId="0" fontId="8" fillId="0" borderId="121" xfId="0" applyFont="1" applyFill="1" applyBorder="1" applyAlignment="1" applyProtection="1">
      <alignment horizontal="centerContinuous"/>
    </xf>
    <xf numFmtId="0" fontId="0" fillId="0" borderId="40" xfId="0" applyBorder="1" applyProtection="1"/>
    <xf numFmtId="0" fontId="8" fillId="0" borderId="184" xfId="0" applyFont="1" applyFill="1" applyBorder="1" applyAlignment="1" applyProtection="1">
      <alignment horizontal="left" indent="2"/>
    </xf>
    <xf numFmtId="167" fontId="8" fillId="0" borderId="121" xfId="4" applyNumberFormat="1" applyFont="1" applyFill="1" applyBorder="1" applyAlignment="1" applyProtection="1">
      <alignment horizontal="center"/>
    </xf>
    <xf numFmtId="0" fontId="0" fillId="0" borderId="37" xfId="0" applyBorder="1" applyProtection="1"/>
    <xf numFmtId="0" fontId="8" fillId="0" borderId="7" xfId="0" applyFont="1" applyFill="1" applyBorder="1" applyAlignment="1" applyProtection="1">
      <alignment horizontal="left"/>
    </xf>
    <xf numFmtId="0" fontId="0" fillId="0" borderId="45" xfId="0" applyBorder="1" applyProtection="1"/>
    <xf numFmtId="0" fontId="8" fillId="0" borderId="67" xfId="0" applyFont="1" applyFill="1" applyBorder="1" applyAlignment="1" applyProtection="1">
      <alignment horizontal="left" indent="2"/>
    </xf>
    <xf numFmtId="167" fontId="8" fillId="0" borderId="34" xfId="4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center"/>
    </xf>
    <xf numFmtId="178" fontId="8" fillId="0" borderId="0" xfId="4" applyNumberFormat="1" applyFont="1" applyFill="1" applyBorder="1" applyAlignment="1" applyProtection="1">
      <alignment horizontal="center"/>
    </xf>
    <xf numFmtId="0" fontId="8" fillId="0" borderId="78" xfId="0" applyFont="1" applyFill="1" applyBorder="1" applyAlignment="1" applyProtection="1">
      <alignment horizontal="left" indent="2"/>
    </xf>
    <xf numFmtId="0" fontId="10" fillId="0" borderId="0" xfId="0" applyFont="1" applyFill="1" applyBorder="1" applyProtection="1"/>
    <xf numFmtId="0" fontId="8" fillId="0" borderId="32" xfId="0" applyFont="1" applyFill="1" applyBorder="1" applyAlignment="1" applyProtection="1">
      <alignment horizontal="left" indent="2"/>
    </xf>
    <xf numFmtId="0" fontId="8" fillId="0" borderId="27" xfId="0" applyFont="1" applyFill="1" applyBorder="1" applyAlignment="1" applyProtection="1">
      <alignment horizontal="left" indent="2"/>
    </xf>
    <xf numFmtId="0" fontId="8" fillId="0" borderId="86" xfId="0" applyFont="1" applyFill="1" applyBorder="1" applyAlignment="1" applyProtection="1">
      <alignment horizontal="center"/>
    </xf>
    <xf numFmtId="0" fontId="52" fillId="0" borderId="0" xfId="0" applyFont="1" applyProtection="1"/>
    <xf numFmtId="0" fontId="49" fillId="2" borderId="0" xfId="0" applyFont="1" applyFill="1" applyProtection="1"/>
    <xf numFmtId="0" fontId="0" fillId="2" borderId="0" xfId="0" applyFill="1" applyProtection="1"/>
    <xf numFmtId="0" fontId="5" fillId="0" borderId="23" xfId="1" applyFill="1" applyBorder="1" applyAlignment="1">
      <alignment vertical="center" wrapText="1"/>
    </xf>
    <xf numFmtId="0" fontId="27" fillId="0" borderId="0" xfId="7" applyAlignment="1">
      <alignment vertical="center"/>
    </xf>
    <xf numFmtId="0" fontId="27" fillId="0" borderId="0" xfId="7" applyAlignment="1" applyProtection="1">
      <alignment vertical="center"/>
      <protection locked="0"/>
    </xf>
    <xf numFmtId="2" fontId="32" fillId="0" borderId="67" xfId="7" applyNumberFormat="1" applyFont="1" applyBorder="1" applyAlignment="1">
      <alignment horizontal="right" vertical="center"/>
    </xf>
    <xf numFmtId="2" fontId="32" fillId="0" borderId="55" xfId="7" applyNumberFormat="1" applyFont="1" applyBorder="1" applyAlignment="1">
      <alignment horizontal="center" vertical="center"/>
    </xf>
    <xf numFmtId="0" fontId="34" fillId="0" borderId="0" xfId="7" applyFont="1" applyAlignment="1">
      <alignment vertical="center"/>
    </xf>
    <xf numFmtId="2" fontId="32" fillId="0" borderId="179" xfId="7" applyNumberFormat="1" applyFont="1" applyBorder="1" applyAlignment="1">
      <alignment horizontal="right" vertical="center"/>
    </xf>
    <xf numFmtId="2" fontId="32" fillId="0" borderId="56" xfId="7" applyNumberFormat="1" applyFont="1" applyBorder="1" applyAlignment="1">
      <alignment horizontal="center" vertical="center"/>
    </xf>
    <xf numFmtId="0" fontId="31" fillId="0" borderId="3" xfId="7" applyFont="1" applyBorder="1" applyAlignment="1">
      <alignment horizontal="right" vertical="center"/>
    </xf>
    <xf numFmtId="2" fontId="31" fillId="0" borderId="39" xfId="7" applyNumberFormat="1" applyFont="1" applyBorder="1" applyAlignment="1">
      <alignment horizontal="center" vertical="center"/>
    </xf>
    <xf numFmtId="2" fontId="27" fillId="0" borderId="0" xfId="7" applyNumberFormat="1" applyAlignment="1" applyProtection="1">
      <alignment vertical="center"/>
      <protection locked="0"/>
    </xf>
    <xf numFmtId="0" fontId="31" fillId="0" borderId="78" xfId="7" applyFont="1" applyBorder="1" applyAlignment="1">
      <alignment vertical="center"/>
    </xf>
    <xf numFmtId="2" fontId="32" fillId="0" borderId="81" xfId="7" applyNumberFormat="1" applyFont="1" applyBorder="1" applyAlignment="1">
      <alignment horizontal="center" vertical="center"/>
    </xf>
    <xf numFmtId="2" fontId="32" fillId="0" borderId="53" xfId="7" applyNumberFormat="1" applyFont="1" applyBorder="1" applyAlignment="1">
      <alignment horizontal="center" vertical="center"/>
    </xf>
    <xf numFmtId="0" fontId="27" fillId="0" borderId="0" xfId="7" quotePrefix="1" applyAlignment="1" applyProtection="1">
      <alignment vertical="center"/>
      <protection locked="0"/>
    </xf>
    <xf numFmtId="2" fontId="32" fillId="7" borderId="37" xfId="7" applyNumberFormat="1" applyFont="1" applyFill="1" applyBorder="1" applyAlignment="1" applyProtection="1">
      <alignment horizontal="center" vertical="center"/>
      <protection locked="0"/>
    </xf>
    <xf numFmtId="2" fontId="32" fillId="7" borderId="53" xfId="7" applyNumberFormat="1" applyFont="1" applyFill="1" applyBorder="1" applyAlignment="1" applyProtection="1">
      <alignment horizontal="center" vertical="center"/>
      <protection locked="0"/>
    </xf>
    <xf numFmtId="164" fontId="27" fillId="0" borderId="0" xfId="3" applyFont="1" applyFill="1" applyAlignment="1" applyProtection="1">
      <alignment vertical="center"/>
    </xf>
    <xf numFmtId="0" fontId="31" fillId="0" borderId="67" xfId="7" applyFont="1" applyBorder="1" applyAlignment="1">
      <alignment vertical="center"/>
    </xf>
    <xf numFmtId="2" fontId="32" fillId="7" borderId="32" xfId="7" applyNumberFormat="1" applyFont="1" applyFill="1" applyBorder="1" applyAlignment="1" applyProtection="1">
      <alignment horizontal="center" vertical="center"/>
      <protection locked="0"/>
    </xf>
    <xf numFmtId="2" fontId="32" fillId="7" borderId="55" xfId="7" applyNumberFormat="1" applyFont="1" applyFill="1" applyBorder="1" applyAlignment="1" applyProtection="1">
      <alignment horizontal="center" vertical="center"/>
      <protection locked="0"/>
    </xf>
    <xf numFmtId="0" fontId="31" fillId="0" borderId="57" xfId="7" applyFont="1" applyBorder="1" applyAlignment="1">
      <alignment vertical="center"/>
    </xf>
    <xf numFmtId="2" fontId="32" fillId="7" borderId="27" xfId="7" applyNumberFormat="1" applyFont="1" applyFill="1" applyBorder="1" applyAlignment="1" applyProtection="1">
      <alignment horizontal="center" vertical="center"/>
      <protection locked="0"/>
    </xf>
    <xf numFmtId="2" fontId="32" fillId="7" borderId="79" xfId="7" applyNumberFormat="1" applyFont="1" applyFill="1" applyBorder="1" applyAlignment="1" applyProtection="1">
      <alignment horizontal="center" vertical="center"/>
      <protection locked="0"/>
    </xf>
    <xf numFmtId="0" fontId="31" fillId="0" borderId="29" xfId="7" applyFont="1" applyBorder="1" applyAlignment="1">
      <alignment vertical="center"/>
    </xf>
    <xf numFmtId="2" fontId="31" fillId="0" borderId="38" xfId="7" applyNumberFormat="1" applyFont="1" applyBorder="1" applyAlignment="1">
      <alignment horizontal="center" vertical="center"/>
    </xf>
    <xf numFmtId="0" fontId="50" fillId="0" borderId="0" xfId="5" quotePrefix="1" applyFont="1" applyAlignment="1">
      <alignment vertical="center"/>
    </xf>
    <xf numFmtId="0" fontId="53" fillId="0" borderId="2" xfId="7" applyFont="1" applyBorder="1" applyAlignment="1">
      <alignment vertical="center"/>
    </xf>
    <xf numFmtId="10" fontId="53" fillId="0" borderId="3" xfId="7" applyNumberFormat="1" applyFont="1" applyBorder="1" applyAlignment="1">
      <alignment horizontal="centerContinuous" vertical="center"/>
    </xf>
    <xf numFmtId="9" fontId="53" fillId="0" borderId="39" xfId="7" applyNumberFormat="1" applyFont="1" applyBorder="1" applyAlignment="1">
      <alignment horizontal="centerContinuous" vertical="center"/>
    </xf>
    <xf numFmtId="169" fontId="27" fillId="0" borderId="0" xfId="7" applyNumberFormat="1" applyAlignment="1">
      <alignment vertical="center"/>
    </xf>
    <xf numFmtId="0" fontId="55" fillId="0" borderId="0" xfId="7" applyFont="1" applyAlignment="1" applyProtection="1">
      <alignment vertical="center"/>
      <protection locked="0"/>
    </xf>
    <xf numFmtId="0" fontId="55" fillId="0" borderId="0" xfId="7" applyFont="1" applyProtection="1">
      <protection locked="0"/>
    </xf>
    <xf numFmtId="0" fontId="32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56" fillId="0" borderId="0" xfId="7" applyFont="1" applyAlignment="1">
      <alignment horizontal="center" vertical="center"/>
    </xf>
    <xf numFmtId="0" fontId="3" fillId="0" borderId="0" xfId="7" applyFont="1" applyAlignment="1">
      <alignment vertical="center"/>
    </xf>
    <xf numFmtId="164" fontId="57" fillId="7" borderId="29" xfId="3" applyFont="1" applyFill="1" applyBorder="1" applyAlignment="1" applyProtection="1">
      <alignment horizontal="right" vertical="center"/>
      <protection locked="0"/>
    </xf>
    <xf numFmtId="2" fontId="33" fillId="0" borderId="0" xfId="7" applyNumberFormat="1" applyFont="1" applyAlignment="1">
      <alignment horizontal="left" vertical="center"/>
    </xf>
    <xf numFmtId="2" fontId="33" fillId="0" borderId="6" xfId="7" quotePrefix="1" applyNumberFormat="1" applyFont="1" applyBorder="1" applyAlignment="1">
      <alignment horizontal="right" vertical="center"/>
    </xf>
    <xf numFmtId="2" fontId="33" fillId="0" borderId="6" xfId="7" applyNumberFormat="1" applyFont="1" applyBorder="1" applyAlignment="1">
      <alignment horizontal="right" vertical="center"/>
    </xf>
    <xf numFmtId="0" fontId="35" fillId="0" borderId="0" xfId="7" applyFont="1" applyAlignment="1">
      <alignment vertical="center"/>
    </xf>
    <xf numFmtId="0" fontId="29" fillId="0" borderId="0" xfId="7" applyFont="1" applyAlignment="1">
      <alignment vertical="center"/>
    </xf>
    <xf numFmtId="0" fontId="7" fillId="0" borderId="29" xfId="7" applyFont="1" applyBorder="1" applyAlignment="1">
      <alignment horizontal="center" vertical="center"/>
    </xf>
    <xf numFmtId="0" fontId="7" fillId="0" borderId="38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0" fontId="7" fillId="0" borderId="30" xfId="7" applyFont="1" applyBorder="1" applyAlignment="1">
      <alignment horizontal="center" vertical="center"/>
    </xf>
    <xf numFmtId="0" fontId="5" fillId="0" borderId="33" xfId="7" applyFont="1" applyBorder="1" applyAlignment="1">
      <alignment vertical="center" wrapText="1"/>
    </xf>
    <xf numFmtId="10" fontId="5" fillId="0" borderId="47" xfId="7" applyNumberFormat="1" applyFont="1" applyBorder="1" applyAlignment="1">
      <alignment horizontal="center" vertical="center"/>
    </xf>
    <xf numFmtId="10" fontId="5" fillId="0" borderId="31" xfId="7" applyNumberFormat="1" applyFont="1" applyBorder="1" applyAlignment="1">
      <alignment horizontal="center" vertical="center"/>
    </xf>
    <xf numFmtId="10" fontId="5" fillId="0" borderId="48" xfId="7" applyNumberFormat="1" applyFont="1" applyBorder="1" applyAlignment="1">
      <alignment horizontal="center" vertical="center"/>
    </xf>
    <xf numFmtId="0" fontId="5" fillId="0" borderId="46" xfId="7" applyFont="1" applyBorder="1" applyAlignment="1">
      <alignment vertical="center" wrapText="1"/>
    </xf>
    <xf numFmtId="10" fontId="5" fillId="0" borderId="45" xfId="7" applyNumberFormat="1" applyFont="1" applyBorder="1" applyAlignment="1">
      <alignment horizontal="center" vertical="center"/>
    </xf>
    <xf numFmtId="10" fontId="5" fillId="0" borderId="6" xfId="7" applyNumberFormat="1" applyFont="1" applyBorder="1" applyAlignment="1">
      <alignment horizontal="center" vertical="center"/>
    </xf>
    <xf numFmtId="10" fontId="5" fillId="0" borderId="34" xfId="7" applyNumberFormat="1" applyFont="1" applyBorder="1" applyAlignment="1">
      <alignment horizontal="center" vertical="center"/>
    </xf>
    <xf numFmtId="0" fontId="5" fillId="0" borderId="8" xfId="7" applyFont="1" applyBorder="1" applyAlignment="1">
      <alignment vertical="center" wrapText="1"/>
    </xf>
    <xf numFmtId="10" fontId="5" fillId="0" borderId="85" xfId="7" applyNumberFormat="1" applyFont="1" applyBorder="1" applyAlignment="1">
      <alignment horizontal="center" vertical="center"/>
    </xf>
    <xf numFmtId="10" fontId="5" fillId="0" borderId="25" xfId="7" applyNumberFormat="1" applyFont="1" applyBorder="1" applyAlignment="1">
      <alignment horizontal="center" vertical="center"/>
    </xf>
    <xf numFmtId="10" fontId="5" fillId="0" borderId="86" xfId="7" applyNumberFormat="1" applyFont="1" applyBorder="1" applyAlignment="1">
      <alignment horizontal="center" vertical="center"/>
    </xf>
    <xf numFmtId="0" fontId="29" fillId="0" borderId="0" xfId="7" applyFont="1" applyAlignment="1">
      <alignment vertical="center" wrapText="1"/>
    </xf>
    <xf numFmtId="10" fontId="5" fillId="0" borderId="88" xfId="7" applyNumberFormat="1" applyFont="1" applyBorder="1" applyAlignment="1">
      <alignment horizontal="center" vertical="center"/>
    </xf>
    <xf numFmtId="10" fontId="5" fillId="0" borderId="24" xfId="7" applyNumberFormat="1" applyFont="1" applyBorder="1" applyAlignment="1">
      <alignment horizontal="center" vertical="center"/>
    </xf>
    <xf numFmtId="10" fontId="5" fillId="0" borderId="52" xfId="7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88" xfId="7" applyFont="1" applyBorder="1" applyAlignment="1">
      <alignment horizontal="center" vertical="center"/>
    </xf>
    <xf numFmtId="0" fontId="7" fillId="0" borderId="24" xfId="7" applyFont="1" applyBorder="1" applyAlignment="1">
      <alignment horizontal="center" vertical="center"/>
    </xf>
    <xf numFmtId="0" fontId="7" fillId="0" borderId="52" xfId="7" applyFont="1" applyBorder="1" applyAlignment="1">
      <alignment horizontal="center" vertical="center"/>
    </xf>
    <xf numFmtId="10" fontId="29" fillId="0" borderId="0" xfId="7" applyNumberFormat="1" applyFont="1" applyAlignment="1">
      <alignment vertical="center"/>
    </xf>
    <xf numFmtId="10" fontId="27" fillId="0" borderId="0" xfId="7" applyNumberFormat="1" applyAlignment="1">
      <alignment vertical="center"/>
    </xf>
    <xf numFmtId="0" fontId="7" fillId="0" borderId="29" xfId="7" applyFont="1" applyBorder="1" applyAlignment="1">
      <alignment vertical="center" wrapText="1"/>
    </xf>
    <xf numFmtId="0" fontId="29" fillId="0" borderId="0" xfId="7" applyFont="1" applyAlignment="1" applyProtection="1">
      <alignment vertical="center"/>
      <protection locked="0"/>
    </xf>
    <xf numFmtId="0" fontId="10" fillId="11" borderId="0" xfId="0" applyFont="1" applyFill="1"/>
    <xf numFmtId="2" fontId="10" fillId="11" borderId="0" xfId="0" applyNumberFormat="1" applyFont="1" applyFill="1" applyAlignment="1">
      <alignment horizontal="center"/>
    </xf>
    <xf numFmtId="0" fontId="59" fillId="0" borderId="0" xfId="0" applyFont="1"/>
    <xf numFmtId="43" fontId="0" fillId="0" borderId="0" xfId="0" applyNumberFormat="1"/>
    <xf numFmtId="0" fontId="62" fillId="0" borderId="6" xfId="0" applyFont="1" applyBorder="1" applyAlignment="1">
      <alignment horizontal="left" vertical="top"/>
    </xf>
    <xf numFmtId="0" fontId="62" fillId="0" borderId="6" xfId="0" applyFont="1" applyBorder="1" applyAlignment="1">
      <alignment horizontal="center" vertical="top"/>
    </xf>
    <xf numFmtId="0" fontId="6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wrapText="1"/>
    </xf>
    <xf numFmtId="4" fontId="61" fillId="0" borderId="6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wrapText="1"/>
    </xf>
    <xf numFmtId="180" fontId="0" fillId="0" borderId="0" xfId="0" applyNumberFormat="1"/>
    <xf numFmtId="49" fontId="24" fillId="0" borderId="3" xfId="5" applyNumberFormat="1" applyFont="1" applyBorder="1" applyAlignment="1">
      <alignment horizontal="centerContinuous" vertical="center"/>
    </xf>
    <xf numFmtId="49" fontId="19" fillId="0" borderId="28" xfId="5" applyNumberFormat="1" applyFont="1" applyBorder="1" applyAlignment="1">
      <alignment horizontal="centerContinuous" vertical="center"/>
    </xf>
    <xf numFmtId="0" fontId="5" fillId="0" borderId="28" xfId="5" applyFont="1" applyBorder="1" applyAlignment="1">
      <alignment horizontal="centerContinuous" vertical="center"/>
    </xf>
    <xf numFmtId="0" fontId="5" fillId="0" borderId="39" xfId="5" applyFont="1" applyBorder="1" applyAlignment="1">
      <alignment horizontal="centerContinuous" vertical="center"/>
    </xf>
    <xf numFmtId="0" fontId="5" fillId="0" borderId="0" xfId="5" applyFont="1" applyAlignment="1">
      <alignment vertical="center"/>
    </xf>
    <xf numFmtId="49" fontId="7" fillId="3" borderId="51" xfId="5" applyNumberFormat="1" applyFont="1" applyFill="1" applyBorder="1" applyAlignment="1">
      <alignment horizontal="left" vertical="center"/>
    </xf>
    <xf numFmtId="49" fontId="7" fillId="5" borderId="59" xfId="5" applyNumberFormat="1" applyFont="1" applyFill="1" applyBorder="1" applyAlignment="1" applyProtection="1">
      <alignment horizontal="left" vertical="center"/>
      <protection locked="0"/>
    </xf>
    <xf numFmtId="49" fontId="7" fillId="5" borderId="20" xfId="5" applyNumberFormat="1" applyFont="1" applyFill="1" applyBorder="1" applyAlignment="1" applyProtection="1">
      <alignment horizontal="left" vertical="center"/>
      <protection locked="0"/>
    </xf>
    <xf numFmtId="49" fontId="7" fillId="5" borderId="69" xfId="5" applyNumberFormat="1" applyFont="1" applyFill="1" applyBorder="1" applyAlignment="1" applyProtection="1">
      <alignment horizontal="left" vertical="center"/>
      <protection locked="0"/>
    </xf>
    <xf numFmtId="0" fontId="7" fillId="0" borderId="33" xfId="5" applyFont="1" applyBorder="1" applyAlignment="1">
      <alignment horizontal="left" vertical="center"/>
    </xf>
    <xf numFmtId="49" fontId="7" fillId="5" borderId="54" xfId="5" applyNumberFormat="1" applyFont="1" applyFill="1" applyBorder="1" applyAlignment="1" applyProtection="1">
      <alignment horizontal="center" vertical="center"/>
      <protection locked="0"/>
    </xf>
    <xf numFmtId="49" fontId="7" fillId="3" borderId="57" xfId="5" applyNumberFormat="1" applyFont="1" applyFill="1" applyBorder="1" applyAlignment="1">
      <alignment horizontal="left" vertical="center"/>
    </xf>
    <xf numFmtId="49" fontId="7" fillId="5" borderId="60" xfId="5" applyNumberFormat="1" applyFont="1" applyFill="1" applyBorder="1" applyAlignment="1" applyProtection="1">
      <alignment horizontal="left" vertical="center"/>
      <protection locked="0"/>
    </xf>
    <xf numFmtId="49" fontId="7" fillId="5" borderId="11" xfId="5" applyNumberFormat="1" applyFont="1" applyFill="1" applyBorder="1" applyAlignment="1" applyProtection="1">
      <alignment horizontal="left" vertical="center"/>
      <protection locked="0"/>
    </xf>
    <xf numFmtId="0" fontId="7" fillId="0" borderId="26" xfId="5" applyFont="1" applyBorder="1" applyAlignment="1">
      <alignment horizontal="left" vertical="center"/>
    </xf>
    <xf numFmtId="49" fontId="7" fillId="5" borderId="26" xfId="5" applyNumberFormat="1" applyFont="1" applyFill="1" applyBorder="1" applyAlignment="1" applyProtection="1">
      <alignment horizontal="center" vertical="center"/>
      <protection locked="0"/>
    </xf>
    <xf numFmtId="0" fontId="5" fillId="0" borderId="3" xfId="5" applyFont="1" applyBorder="1" applyAlignment="1">
      <alignment horizontal="left" vertical="center"/>
    </xf>
    <xf numFmtId="0" fontId="5" fillId="0" borderId="28" xfId="5" applyFont="1" applyBorder="1" applyAlignment="1">
      <alignment horizontal="left" vertical="center"/>
    </xf>
    <xf numFmtId="0" fontId="5" fillId="0" borderId="28" xfId="1" applyBorder="1" applyAlignment="1">
      <alignment vertical="center"/>
    </xf>
    <xf numFmtId="165" fontId="7" fillId="0" borderId="39" xfId="1" applyNumberFormat="1" applyFont="1" applyBorder="1" applyAlignment="1">
      <alignment horizontal="center" vertical="center"/>
    </xf>
    <xf numFmtId="165" fontId="7" fillId="0" borderId="30" xfId="1" applyNumberFormat="1" applyFont="1" applyBorder="1" applyAlignment="1">
      <alignment horizontal="center" vertical="center" wrapText="1"/>
    </xf>
    <xf numFmtId="0" fontId="7" fillId="0" borderId="39" xfId="5" applyFont="1" applyBorder="1" applyAlignment="1">
      <alignment horizontal="center" vertical="center" wrapText="1"/>
    </xf>
    <xf numFmtId="49" fontId="7" fillId="0" borderId="49" xfId="5" applyNumberFormat="1" applyFont="1" applyBorder="1" applyAlignment="1">
      <alignment horizontal="center" vertical="center"/>
    </xf>
    <xf numFmtId="0" fontId="15" fillId="0" borderId="10" xfId="5" applyFont="1" applyBorder="1" applyAlignment="1">
      <alignment vertical="center"/>
    </xf>
    <xf numFmtId="0" fontId="5" fillId="0" borderId="10" xfId="5" applyFont="1" applyBorder="1" applyAlignment="1">
      <alignment vertical="center"/>
    </xf>
    <xf numFmtId="4" fontId="7" fillId="0" borderId="13" xfId="1" applyNumberFormat="1" applyFont="1" applyBorder="1" applyAlignment="1">
      <alignment vertical="center"/>
    </xf>
    <xf numFmtId="10" fontId="5" fillId="0" borderId="39" xfId="6" applyNumberFormat="1" applyFont="1" applyFill="1" applyBorder="1" applyAlignment="1">
      <alignment vertical="center"/>
    </xf>
    <xf numFmtId="49" fontId="7" fillId="0" borderId="2" xfId="5" applyNumberFormat="1" applyFont="1" applyBorder="1" applyAlignment="1">
      <alignment horizontal="center" vertical="center"/>
    </xf>
    <xf numFmtId="0" fontId="15" fillId="0" borderId="28" xfId="5" applyFont="1" applyBorder="1" applyAlignment="1">
      <alignment vertical="center"/>
    </xf>
    <xf numFmtId="0" fontId="5" fillId="0" borderId="28" xfId="5" applyFont="1" applyBorder="1" applyAlignment="1">
      <alignment vertical="center"/>
    </xf>
    <xf numFmtId="4" fontId="7" fillId="0" borderId="39" xfId="1" applyNumberFormat="1" applyFont="1" applyBorder="1" applyAlignment="1">
      <alignment vertical="center"/>
    </xf>
    <xf numFmtId="0" fontId="15" fillId="0" borderId="0" xfId="5" applyFont="1" applyAlignment="1">
      <alignment vertical="center"/>
    </xf>
    <xf numFmtId="0" fontId="15" fillId="0" borderId="11" xfId="5" applyFont="1" applyBorder="1" applyAlignment="1">
      <alignment vertical="center"/>
    </xf>
    <xf numFmtId="0" fontId="5" fillId="0" borderId="11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16" fillId="0" borderId="3" xfId="5" applyFont="1" applyBorder="1" applyAlignment="1">
      <alignment horizontal="left" vertical="center"/>
    </xf>
    <xf numFmtId="0" fontId="16" fillId="0" borderId="28" xfId="5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70" xfId="5" applyFont="1" applyBorder="1" applyAlignment="1">
      <alignment horizontal="left" vertical="center"/>
    </xf>
    <xf numFmtId="0" fontId="5" fillId="0" borderId="71" xfId="5" applyFont="1" applyBorder="1" applyAlignment="1">
      <alignment horizontal="left" vertical="center"/>
    </xf>
    <xf numFmtId="0" fontId="5" fillId="0" borderId="186" xfId="5" applyFont="1" applyBorder="1" applyAlignment="1">
      <alignment vertical="center"/>
    </xf>
    <xf numFmtId="0" fontId="7" fillId="0" borderId="72" xfId="1" applyFont="1" applyBorder="1" applyAlignment="1">
      <alignment horizontal="center" vertical="center" wrapText="1"/>
    </xf>
    <xf numFmtId="4" fontId="7" fillId="0" borderId="187" xfId="1" applyNumberFormat="1" applyFont="1" applyBorder="1" applyAlignment="1">
      <alignment horizontal="center" vertical="center" wrapText="1"/>
    </xf>
    <xf numFmtId="164" fontId="7" fillId="2" borderId="73" xfId="3" applyFont="1" applyFill="1" applyBorder="1" applyAlignment="1">
      <alignment horizontal="center" vertical="center"/>
    </xf>
    <xf numFmtId="0" fontId="7" fillId="4" borderId="73" xfId="1" applyFont="1" applyFill="1" applyBorder="1" applyAlignment="1">
      <alignment horizontal="center" vertical="center"/>
    </xf>
    <xf numFmtId="4" fontId="7" fillId="7" borderId="191" xfId="3" applyNumberFormat="1" applyFont="1" applyFill="1" applyBorder="1" applyAlignment="1">
      <alignment horizontal="center" vertical="center"/>
    </xf>
    <xf numFmtId="0" fontId="5" fillId="0" borderId="16" xfId="5" applyFont="1" applyBorder="1" applyAlignment="1">
      <alignment horizontal="left" vertical="center"/>
    </xf>
    <xf numFmtId="0" fontId="5" fillId="0" borderId="11" xfId="5" applyFont="1" applyBorder="1" applyAlignment="1">
      <alignment horizontal="left" vertical="center"/>
    </xf>
    <xf numFmtId="0" fontId="5" fillId="0" borderId="17" xfId="5" applyFont="1" applyBorder="1" applyAlignment="1">
      <alignment vertical="center"/>
    </xf>
    <xf numFmtId="0" fontId="5" fillId="0" borderId="0" xfId="5" applyFont="1" applyAlignment="1">
      <alignment horizontal="left" vertical="center"/>
    </xf>
    <xf numFmtId="39" fontId="17" fillId="10" borderId="10" xfId="3" applyNumberFormat="1" applyFont="1" applyFill="1" applyBorder="1" applyAlignment="1" applyProtection="1">
      <alignment horizontal="centerContinuous" vertical="center"/>
    </xf>
    <xf numFmtId="39" fontId="17" fillId="10" borderId="65" xfId="3" applyNumberFormat="1" applyFont="1" applyFill="1" applyBorder="1" applyAlignment="1" applyProtection="1">
      <alignment horizontal="centerContinuous" vertical="center"/>
    </xf>
    <xf numFmtId="0" fontId="5" fillId="8" borderId="10" xfId="1" applyFont="1" applyFill="1" applyBorder="1" applyAlignment="1" applyProtection="1">
      <alignment horizontal="center" vertical="center"/>
    </xf>
    <xf numFmtId="0" fontId="5" fillId="8" borderId="10" xfId="1" applyFont="1" applyFill="1" applyBorder="1" applyAlignment="1" applyProtection="1">
      <alignment vertical="center"/>
    </xf>
    <xf numFmtId="0" fontId="5" fillId="8" borderId="13" xfId="1" applyFont="1" applyFill="1" applyBorder="1" applyAlignment="1" applyProtection="1">
      <alignment vertical="center"/>
    </xf>
    <xf numFmtId="0" fontId="5" fillId="7" borderId="12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vertical="center"/>
    </xf>
    <xf numFmtId="164" fontId="5" fillId="7" borderId="10" xfId="3" applyFont="1" applyFill="1" applyBorder="1" applyAlignment="1" applyProtection="1">
      <alignment horizontal="center" vertical="center"/>
    </xf>
    <xf numFmtId="39" fontId="22" fillId="10" borderId="65" xfId="3" applyNumberFormat="1" applyFont="1" applyFill="1" applyBorder="1" applyAlignment="1" applyProtection="1">
      <alignment horizontal="centerContinuous" vertical="center"/>
    </xf>
    <xf numFmtId="0" fontId="7" fillId="7" borderId="10" xfId="1" applyFont="1" applyFill="1" applyBorder="1" applyAlignment="1" applyProtection="1">
      <alignment vertical="center"/>
    </xf>
    <xf numFmtId="0" fontId="5" fillId="7" borderId="10" xfId="1" applyFont="1" applyFill="1" applyBorder="1" applyAlignment="1" applyProtection="1">
      <alignment horizontal="center" vertical="center"/>
    </xf>
    <xf numFmtId="0" fontId="5" fillId="7" borderId="13" xfId="1" applyFont="1" applyFill="1" applyBorder="1" applyAlignment="1" applyProtection="1">
      <alignment vertical="center"/>
    </xf>
    <xf numFmtId="0" fontId="5" fillId="10" borderId="12" xfId="0" applyFont="1" applyFill="1" applyBorder="1" applyAlignment="1" applyProtection="1">
      <alignment horizontal="centerContinuous" vertical="center"/>
    </xf>
    <xf numFmtId="0" fontId="5" fillId="7" borderId="10" xfId="0" applyFont="1" applyFill="1" applyBorder="1" applyAlignment="1" applyProtection="1">
      <alignment vertical="center"/>
    </xf>
    <xf numFmtId="0" fontId="5" fillId="10" borderId="10" xfId="0" applyFont="1" applyFill="1" applyBorder="1" applyAlignment="1">
      <alignment horizontal="centerContinuous" vertical="center"/>
    </xf>
    <xf numFmtId="39" fontId="17" fillId="10" borderId="13" xfId="3" applyNumberFormat="1" applyFont="1" applyFill="1" applyBorder="1" applyAlignment="1" applyProtection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14" xfId="1" applyNumberFormat="1" applyFont="1" applyFill="1" applyBorder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vertical="center"/>
    </xf>
    <xf numFmtId="0" fontId="5" fillId="0" borderId="66" xfId="0" applyFont="1" applyFill="1" applyBorder="1" applyAlignment="1" applyProtection="1">
      <alignment vertical="center"/>
    </xf>
    <xf numFmtId="0" fontId="5" fillId="8" borderId="0" xfId="0" applyFont="1" applyFill="1" applyBorder="1" applyAlignment="1" applyProtection="1">
      <alignment horizontal="center" vertical="center"/>
    </xf>
    <xf numFmtId="0" fontId="5" fillId="7" borderId="14" xfId="0" applyFont="1" applyFill="1" applyBorder="1" applyAlignment="1" applyProtection="1">
      <alignment vertical="center"/>
    </xf>
    <xf numFmtId="0" fontId="18" fillId="7" borderId="0" xfId="1" applyFont="1" applyFill="1" applyBorder="1" applyAlignment="1" applyProtection="1">
      <alignment vertical="center"/>
    </xf>
    <xf numFmtId="164" fontId="5" fillId="7" borderId="0" xfId="3" applyFont="1" applyFill="1" applyBorder="1" applyAlignment="1" applyProtection="1">
      <alignment horizontal="center" vertical="center"/>
    </xf>
    <xf numFmtId="0" fontId="7" fillId="7" borderId="0" xfId="1" applyFont="1" applyFill="1" applyBorder="1" applyAlignment="1" applyProtection="1">
      <alignment horizontal="centerContinuous" vertical="center"/>
    </xf>
    <xf numFmtId="0" fontId="5" fillId="7" borderId="0" xfId="1" applyFont="1" applyFill="1" applyBorder="1" applyAlignment="1" applyProtection="1">
      <alignment horizontal="centerContinuous" vertical="center"/>
    </xf>
    <xf numFmtId="0" fontId="5" fillId="7" borderId="0" xfId="1" applyFont="1" applyFill="1" applyBorder="1" applyAlignment="1" applyProtection="1">
      <alignment horizontal="left" vertical="center"/>
    </xf>
    <xf numFmtId="0" fontId="5" fillId="7" borderId="15" xfId="1" applyFont="1" applyFill="1" applyBorder="1" applyAlignment="1" applyProtection="1">
      <alignment horizontal="left" vertical="center"/>
    </xf>
    <xf numFmtId="0" fontId="7" fillId="3" borderId="14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5" fillId="7" borderId="0" xfId="0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22" fillId="9" borderId="0" xfId="0" applyNumberFormat="1" applyFont="1" applyFill="1" applyBorder="1" applyAlignment="1" applyProtection="1">
      <alignment horizontal="center" vertical="center"/>
    </xf>
    <xf numFmtId="4" fontId="22" fillId="9" borderId="66" xfId="1" applyNumberFormat="1" applyFont="1" applyFill="1" applyBorder="1" applyAlignment="1" applyProtection="1">
      <alignment horizontal="center" vertical="center"/>
    </xf>
    <xf numFmtId="0" fontId="22" fillId="9" borderId="0" xfId="1" applyFont="1" applyFill="1" applyBorder="1" applyAlignment="1" applyProtection="1">
      <alignment horizontal="center" vertical="center"/>
    </xf>
    <xf numFmtId="0" fontId="22" fillId="9" borderId="0" xfId="1" applyFont="1" applyFill="1" applyBorder="1" applyAlignment="1" applyProtection="1">
      <alignment horizontal="centerContinuous" vertical="center"/>
      <protection locked="0"/>
    </xf>
    <xf numFmtId="0" fontId="22" fillId="9" borderId="15" xfId="1" applyFont="1" applyFill="1" applyBorder="1" applyAlignment="1" applyProtection="1">
      <alignment horizontal="centerContinuous" vertical="center"/>
      <protection locked="0"/>
    </xf>
    <xf numFmtId="0" fontId="5" fillId="7" borderId="14" xfId="1" applyFont="1" applyFill="1" applyBorder="1" applyAlignment="1" applyProtection="1">
      <alignment horizontal="center" vertical="center"/>
    </xf>
    <xf numFmtId="0" fontId="5" fillId="7" borderId="0" xfId="1" applyFont="1" applyFill="1" applyBorder="1" applyAlignment="1" applyProtection="1">
      <alignment vertical="center"/>
    </xf>
    <xf numFmtId="0" fontId="7" fillId="7" borderId="0" xfId="1" applyFont="1" applyFill="1" applyBorder="1" applyAlignment="1" applyProtection="1">
      <alignment vertical="center"/>
    </xf>
    <xf numFmtId="0" fontId="5" fillId="7" borderId="0" xfId="1" applyFont="1" applyFill="1" applyBorder="1" applyAlignment="1" applyProtection="1">
      <alignment horizontal="center" vertical="center"/>
    </xf>
    <xf numFmtId="0" fontId="5" fillId="7" borderId="15" xfId="1" applyFont="1" applyFill="1" applyBorder="1" applyAlignment="1" applyProtection="1">
      <alignment vertical="center"/>
    </xf>
    <xf numFmtId="49" fontId="17" fillId="0" borderId="14" xfId="0" applyNumberFormat="1" applyFont="1" applyFill="1" applyBorder="1" applyAlignment="1" applyProtection="1">
      <alignment vertical="center"/>
    </xf>
    <xf numFmtId="49" fontId="17" fillId="0" borderId="0" xfId="0" applyNumberFormat="1" applyFont="1" applyFill="1" applyBorder="1" applyAlignment="1" applyProtection="1">
      <alignment vertical="center"/>
    </xf>
    <xf numFmtId="0" fontId="7" fillId="0" borderId="66" xfId="1" applyFont="1" applyFill="1" applyBorder="1" applyAlignment="1" applyProtection="1">
      <alignment horizontal="right" vertical="center"/>
    </xf>
    <xf numFmtId="0" fontId="7" fillId="8" borderId="0" xfId="1" applyFont="1" applyFill="1" applyBorder="1" applyAlignment="1" applyProtection="1">
      <alignment horizontal="right" vertical="center"/>
    </xf>
    <xf numFmtId="0" fontId="7" fillId="8" borderId="0" xfId="1" applyFont="1" applyFill="1" applyBorder="1" applyAlignment="1" applyProtection="1">
      <alignment vertical="center"/>
      <protection locked="0"/>
    </xf>
    <xf numFmtId="0" fontId="7" fillId="8" borderId="15" xfId="1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</xf>
    <xf numFmtId="0" fontId="7" fillId="8" borderId="15" xfId="1" applyFont="1" applyFill="1" applyBorder="1" applyAlignment="1" applyProtection="1">
      <alignment vertical="center"/>
    </xf>
    <xf numFmtId="49" fontId="5" fillId="0" borderId="1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10" fontId="7" fillId="0" borderId="29" xfId="4" applyNumberFormat="1" applyFont="1" applyFill="1" applyBorder="1" applyAlignment="1" applyProtection="1">
      <alignment horizontal="right" vertical="center"/>
      <protection locked="0"/>
    </xf>
    <xf numFmtId="10" fontId="7" fillId="2" borderId="29" xfId="4" applyNumberFormat="1" applyFont="1" applyFill="1" applyBorder="1" applyAlignment="1" applyProtection="1">
      <alignment horizontal="right" vertical="center"/>
      <protection locked="0"/>
    </xf>
    <xf numFmtId="49" fontId="17" fillId="0" borderId="16" xfId="0" applyNumberFormat="1" applyFont="1" applyFill="1" applyBorder="1" applyAlignment="1" applyProtection="1">
      <alignment vertical="center"/>
    </xf>
    <xf numFmtId="49" fontId="17" fillId="0" borderId="11" xfId="0" applyNumberFormat="1" applyFont="1" applyFill="1" applyBorder="1" applyAlignment="1" applyProtection="1">
      <alignment vertical="center"/>
    </xf>
    <xf numFmtId="0" fontId="7" fillId="0" borderId="58" xfId="1" applyFont="1" applyFill="1" applyBorder="1" applyAlignment="1" applyProtection="1">
      <alignment horizontal="right" vertical="center"/>
    </xf>
    <xf numFmtId="0" fontId="7" fillId="8" borderId="11" xfId="1" applyFont="1" applyFill="1" applyBorder="1" applyAlignment="1" applyProtection="1">
      <alignment horizontal="right" vertical="center"/>
    </xf>
    <xf numFmtId="169" fontId="7" fillId="8" borderId="29" xfId="1" applyNumberFormat="1" applyFont="1" applyFill="1" applyBorder="1" applyAlignment="1" applyProtection="1">
      <alignment horizontal="right" vertical="center"/>
      <protection locked="0"/>
    </xf>
    <xf numFmtId="0" fontId="7" fillId="8" borderId="17" xfId="1" applyFont="1" applyFill="1" applyBorder="1" applyAlignment="1" applyProtection="1">
      <alignment vertical="center"/>
      <protection locked="0"/>
    </xf>
    <xf numFmtId="0" fontId="5" fillId="7" borderId="16" xfId="1" applyFont="1" applyFill="1" applyBorder="1" applyAlignment="1" applyProtection="1">
      <alignment horizontal="center" vertical="center"/>
    </xf>
    <xf numFmtId="0" fontId="5" fillId="7" borderId="11" xfId="1" applyFont="1" applyFill="1" applyBorder="1" applyAlignment="1" applyProtection="1">
      <alignment vertical="center"/>
    </xf>
    <xf numFmtId="164" fontId="5" fillId="7" borderId="11" xfId="3" applyFont="1" applyFill="1" applyBorder="1" applyAlignment="1" applyProtection="1">
      <alignment horizontal="center" vertical="center"/>
    </xf>
    <xf numFmtId="0" fontId="7" fillId="7" borderId="11" xfId="1" applyFont="1" applyFill="1" applyBorder="1" applyAlignment="1" applyProtection="1">
      <alignment vertical="center"/>
    </xf>
    <xf numFmtId="0" fontId="5" fillId="7" borderId="11" xfId="1" applyFont="1" applyFill="1" applyBorder="1" applyAlignment="1" applyProtection="1">
      <alignment horizontal="center" vertical="center"/>
    </xf>
    <xf numFmtId="0" fontId="5" fillId="7" borderId="17" xfId="1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vertical="center"/>
    </xf>
    <xf numFmtId="0" fontId="5" fillId="7" borderId="11" xfId="0" applyFont="1" applyFill="1" applyBorder="1" applyAlignment="1" applyProtection="1">
      <alignment vertical="center"/>
    </xf>
    <xf numFmtId="0" fontId="5" fillId="0" borderId="1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49" fontId="7" fillId="5" borderId="59" xfId="0" applyNumberFormat="1" applyFont="1" applyFill="1" applyBorder="1" applyAlignment="1" applyProtection="1">
      <alignment horizontal="left" vertical="center"/>
      <protection locked="0"/>
    </xf>
    <xf numFmtId="49" fontId="7" fillId="5" borderId="61" xfId="0" applyNumberFormat="1" applyFont="1" applyFill="1" applyBorder="1" applyAlignment="1" applyProtection="1">
      <alignment horizontal="center" vertical="center"/>
      <protection locked="0"/>
    </xf>
    <xf numFmtId="49" fontId="7" fillId="5" borderId="62" xfId="0" applyNumberFormat="1" applyFont="1" applyFill="1" applyBorder="1" applyAlignment="1" applyProtection="1">
      <alignment horizontal="center" vertical="center"/>
      <protection locked="0"/>
    </xf>
    <xf numFmtId="49" fontId="7" fillId="5" borderId="23" xfId="0" applyNumberFormat="1" applyFont="1" applyFill="1" applyBorder="1" applyAlignment="1" applyProtection="1">
      <alignment horizontal="center" vertical="center"/>
      <protection locked="0"/>
    </xf>
    <xf numFmtId="0" fontId="7" fillId="5" borderId="22" xfId="0" applyFont="1" applyFill="1" applyBorder="1" applyAlignment="1" applyProtection="1">
      <alignment horizontal="left" vertical="center"/>
      <protection locked="0"/>
    </xf>
    <xf numFmtId="0" fontId="7" fillId="5" borderId="20" xfId="0" applyFont="1" applyFill="1" applyBorder="1" applyAlignment="1" applyProtection="1">
      <alignment horizontal="left" vertical="center"/>
      <protection locked="0"/>
    </xf>
    <xf numFmtId="0" fontId="7" fillId="0" borderId="54" xfId="0" applyFont="1" applyFill="1" applyBorder="1" applyAlignment="1" applyProtection="1">
      <alignment horizontal="left" vertical="center"/>
    </xf>
    <xf numFmtId="49" fontId="7" fillId="5" borderId="54" xfId="0" applyNumberFormat="1" applyFont="1" applyFill="1" applyBorder="1" applyAlignment="1" applyProtection="1">
      <alignment horizontal="center" vertical="center"/>
      <protection locked="0"/>
    </xf>
    <xf numFmtId="49" fontId="7" fillId="0" borderId="67" xfId="0" applyNumberFormat="1" applyFont="1" applyFill="1" applyBorder="1" applyAlignment="1" applyProtection="1">
      <alignment horizontal="left" vertical="center"/>
    </xf>
    <xf numFmtId="0" fontId="7" fillId="0" borderId="75" xfId="0" applyFont="1" applyFill="1" applyBorder="1" applyAlignment="1" applyProtection="1">
      <alignment horizontal="left" vertical="center"/>
      <protection locked="0"/>
    </xf>
    <xf numFmtId="49" fontId="7" fillId="5" borderId="76" xfId="0" applyNumberFormat="1" applyFont="1" applyFill="1" applyBorder="1" applyAlignment="1" applyProtection="1">
      <alignment horizontal="left" vertical="center"/>
      <protection locked="0"/>
    </xf>
    <xf numFmtId="49" fontId="7" fillId="5" borderId="75" xfId="0" applyNumberFormat="1" applyFont="1" applyFill="1" applyBorder="1" applyAlignment="1" applyProtection="1">
      <alignment horizontal="center" vertical="center"/>
      <protection locked="0"/>
    </xf>
    <xf numFmtId="49" fontId="7" fillId="5" borderId="77" xfId="0" applyNumberFormat="1" applyFont="1" applyFill="1" applyBorder="1" applyAlignment="1" applyProtection="1">
      <alignment horizontal="center" vertical="center"/>
      <protection locked="0"/>
    </xf>
    <xf numFmtId="49" fontId="7" fillId="5" borderId="55" xfId="0" applyNumberFormat="1" applyFont="1" applyFill="1" applyBorder="1" applyAlignment="1" applyProtection="1">
      <alignment horizontal="center" vertical="center"/>
      <protection locked="0"/>
    </xf>
    <xf numFmtId="0" fontId="7" fillId="5" borderId="67" xfId="0" applyFont="1" applyFill="1" applyBorder="1" applyAlignment="1" applyProtection="1">
      <alignment horizontal="left" vertical="center"/>
      <protection locked="0"/>
    </xf>
    <xf numFmtId="0" fontId="7" fillId="5" borderId="63" xfId="0" applyFont="1" applyFill="1" applyBorder="1" applyAlignment="1" applyProtection="1">
      <alignment horizontal="left" vertical="center"/>
      <protection locked="0"/>
    </xf>
    <xf numFmtId="0" fontId="7" fillId="0" borderId="46" xfId="0" applyFont="1" applyFill="1" applyBorder="1" applyAlignment="1" applyProtection="1">
      <alignment horizontal="left" vertical="center"/>
    </xf>
    <xf numFmtId="49" fontId="7" fillId="5" borderId="46" xfId="0" applyNumberFormat="1" applyFont="1" applyFill="1" applyBorder="1" applyAlignment="1" applyProtection="1">
      <alignment horizontal="center" vertical="center"/>
      <protection locked="0"/>
    </xf>
    <xf numFmtId="49" fontId="7" fillId="0" borderId="16" xfId="0" applyNumberFormat="1" applyFont="1" applyFill="1" applyBorder="1" applyAlignment="1" applyProtection="1">
      <alignment horizontal="left" vertical="center"/>
    </xf>
    <xf numFmtId="0" fontId="7" fillId="0" borderId="58" xfId="0" applyFont="1" applyFill="1" applyBorder="1" applyAlignment="1" applyProtection="1">
      <alignment horizontal="left" vertical="center"/>
      <protection locked="0"/>
    </xf>
    <xf numFmtId="49" fontId="7" fillId="5" borderId="60" xfId="0" applyNumberFormat="1" applyFont="1" applyFill="1" applyBorder="1" applyAlignment="1" applyProtection="1">
      <alignment horizontal="left" vertical="center"/>
      <protection locked="0"/>
    </xf>
    <xf numFmtId="49" fontId="7" fillId="5" borderId="11" xfId="0" applyNumberFormat="1" applyFont="1" applyFill="1" applyBorder="1" applyAlignment="1" applyProtection="1">
      <alignment horizontal="center" vertical="center"/>
      <protection locked="0"/>
    </xf>
    <xf numFmtId="49" fontId="7" fillId="5" borderId="74" xfId="0" applyNumberFormat="1" applyFont="1" applyFill="1" applyBorder="1" applyAlignment="1" applyProtection="1">
      <alignment horizontal="center" vertical="center"/>
      <protection locked="0"/>
    </xf>
    <xf numFmtId="49" fontId="7" fillId="5" borderId="17" xfId="0" applyNumberFormat="1" applyFont="1" applyFill="1" applyBorder="1" applyAlignment="1" applyProtection="1">
      <alignment horizontal="center" vertical="center"/>
      <protection locked="0"/>
    </xf>
    <xf numFmtId="0" fontId="7" fillId="5" borderId="16" xfId="0" applyFont="1" applyFill="1" applyBorder="1" applyAlignment="1" applyProtection="1">
      <alignment horizontal="left" vertical="center"/>
      <protection locked="0"/>
    </xf>
    <xf numFmtId="0" fontId="7" fillId="5" borderId="11" xfId="0" applyFont="1" applyFill="1" applyBorder="1" applyAlignment="1" applyProtection="1">
      <alignment horizontal="left" vertical="center"/>
      <protection locked="0"/>
    </xf>
    <xf numFmtId="0" fontId="7" fillId="5" borderId="17" xfId="0" applyFont="1" applyFill="1" applyBorder="1" applyAlignment="1" applyProtection="1">
      <alignment horizontal="left" vertical="center"/>
      <protection locked="0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49" fontId="7" fillId="0" borderId="18" xfId="0" applyNumberFormat="1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Continuous" vertical="center" wrapText="1"/>
    </xf>
    <xf numFmtId="0" fontId="7" fillId="0" borderId="38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7" fillId="0" borderId="50" xfId="1" applyFont="1" applyFill="1" applyBorder="1" applyAlignment="1">
      <alignment horizontal="center" vertical="center"/>
    </xf>
    <xf numFmtId="0" fontId="15" fillId="0" borderId="63" xfId="0" applyFont="1" applyFill="1" applyBorder="1" applyAlignment="1" applyProtection="1">
      <alignment horizontal="centerContinuous" vertical="center"/>
    </xf>
    <xf numFmtId="0" fontId="15" fillId="0" borderId="45" xfId="0" applyFont="1" applyFill="1" applyBorder="1" applyAlignment="1" applyProtection="1">
      <alignment horizontal="centerContinuous" vertical="center"/>
    </xf>
    <xf numFmtId="0" fontId="5" fillId="0" borderId="16" xfId="0" quotePrefix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vertical="center"/>
    </xf>
    <xf numFmtId="167" fontId="7" fillId="0" borderId="30" xfId="1" applyNumberFormat="1" applyFont="1" applyFill="1" applyBorder="1" applyAlignment="1">
      <alignment horizontal="center" vertical="center"/>
    </xf>
    <xf numFmtId="0" fontId="20" fillId="0" borderId="29" xfId="0" applyFont="1" applyFill="1" applyBorder="1" applyAlignment="1" applyProtection="1">
      <alignment horizontal="center" vertical="center"/>
    </xf>
    <xf numFmtId="4" fontId="21" fillId="0" borderId="39" xfId="0" applyNumberFormat="1" applyFont="1" applyFill="1" applyBorder="1" applyAlignment="1" applyProtection="1">
      <alignment vertical="center"/>
    </xf>
    <xf numFmtId="4" fontId="7" fillId="0" borderId="3" xfId="1" applyNumberFormat="1" applyFont="1" applyFill="1" applyBorder="1" applyAlignment="1" applyProtection="1">
      <alignment vertical="center"/>
    </xf>
    <xf numFmtId="4" fontId="7" fillId="0" borderId="28" xfId="1" applyNumberFormat="1" applyFont="1" applyFill="1" applyBorder="1" applyAlignment="1" applyProtection="1">
      <alignment vertical="center"/>
    </xf>
    <xf numFmtId="4" fontId="7" fillId="0" borderId="39" xfId="1" applyNumberFormat="1" applyFont="1" applyFill="1" applyBorder="1" applyAlignment="1" applyProtection="1">
      <alignment vertical="center"/>
    </xf>
    <xf numFmtId="4" fontId="7" fillId="0" borderId="29" xfId="1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53" xfId="1" quotePrefix="1" applyFont="1" applyFill="1" applyBorder="1" applyAlignment="1">
      <alignment horizontal="left" vertical="center" wrapText="1"/>
    </xf>
    <xf numFmtId="0" fontId="5" fillId="0" borderId="33" xfId="1" quotePrefix="1" applyFont="1" applyFill="1" applyBorder="1" applyAlignment="1">
      <alignment horizontal="left" vertical="center"/>
    </xf>
    <xf numFmtId="167" fontId="5" fillId="0" borderId="48" xfId="1" quotePrefix="1" applyNumberFormat="1" applyFont="1" applyFill="1" applyBorder="1" applyAlignment="1">
      <alignment horizontal="center" vertical="center"/>
    </xf>
    <xf numFmtId="2" fontId="5" fillId="0" borderId="31" xfId="1" applyNumberFormat="1" applyFont="1" applyFill="1" applyBorder="1" applyAlignment="1">
      <alignment horizontal="center" vertical="center"/>
    </xf>
    <xf numFmtId="2" fontId="7" fillId="0" borderId="31" xfId="1" applyNumberFormat="1" applyFont="1" applyFill="1" applyBorder="1" applyAlignment="1">
      <alignment horizontal="center" vertical="center"/>
    </xf>
    <xf numFmtId="2" fontId="5" fillId="0" borderId="48" xfId="1" applyNumberFormat="1" applyFont="1" applyFill="1" applyBorder="1" applyAlignment="1">
      <alignment horizontal="center" vertical="center"/>
    </xf>
    <xf numFmtId="4" fontId="5" fillId="0" borderId="31" xfId="1" applyNumberFormat="1" applyFont="1" applyFill="1" applyBorder="1" applyAlignment="1">
      <alignment vertical="center"/>
    </xf>
    <xf numFmtId="4" fontId="5" fillId="0" borderId="21" xfId="1" applyNumberFormat="1" applyFont="1" applyFill="1" applyBorder="1" applyAlignment="1">
      <alignment vertical="center"/>
    </xf>
    <xf numFmtId="0" fontId="5" fillId="0" borderId="55" xfId="1" quotePrefix="1" applyFont="1" applyFill="1" applyBorder="1" applyAlignment="1">
      <alignment horizontal="left" vertical="center" wrapText="1"/>
    </xf>
    <xf numFmtId="0" fontId="5" fillId="0" borderId="46" xfId="1" quotePrefix="1" applyFont="1" applyFill="1" applyBorder="1" applyAlignment="1">
      <alignment horizontal="left" vertical="center"/>
    </xf>
    <xf numFmtId="167" fontId="5" fillId="0" borderId="34" xfId="1" quotePrefix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2" fontId="7" fillId="0" borderId="6" xfId="1" applyNumberFormat="1" applyFont="1" applyFill="1" applyBorder="1" applyAlignment="1">
      <alignment horizontal="center" vertical="center"/>
    </xf>
    <xf numFmtId="2" fontId="5" fillId="0" borderId="34" xfId="1" applyNumberFormat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vertical="center" wrapText="1"/>
    </xf>
    <xf numFmtId="0" fontId="5" fillId="0" borderId="46" xfId="1" applyFont="1" applyFill="1" applyBorder="1" applyAlignment="1">
      <alignment vertical="center"/>
    </xf>
    <xf numFmtId="167" fontId="5" fillId="0" borderId="34" xfId="1" applyNumberFormat="1" applyFont="1" applyFill="1" applyBorder="1" applyAlignment="1">
      <alignment horizontal="center" vertical="center"/>
    </xf>
    <xf numFmtId="4" fontId="5" fillId="5" borderId="32" xfId="0" applyNumberFormat="1" applyFont="1" applyFill="1" applyBorder="1" applyAlignment="1" applyProtection="1">
      <alignment vertical="center"/>
      <protection locked="0"/>
    </xf>
    <xf numFmtId="4" fontId="5" fillId="5" borderId="6" xfId="0" applyNumberFormat="1" applyFont="1" applyFill="1" applyBorder="1" applyAlignment="1" applyProtection="1">
      <alignment vertical="center"/>
      <protection locked="0"/>
    </xf>
    <xf numFmtId="4" fontId="7" fillId="3" borderId="0" xfId="0" applyNumberFormat="1" applyFont="1" applyFill="1" applyBorder="1" applyAlignment="1" applyProtection="1">
      <alignment horizontal="right" vertical="center"/>
    </xf>
    <xf numFmtId="2" fontId="5" fillId="0" borderId="45" xfId="1" quotePrefix="1" applyNumberFormat="1" applyFont="1" applyFill="1" applyBorder="1" applyAlignment="1">
      <alignment horizontal="center" vertical="center"/>
    </xf>
    <xf numFmtId="0" fontId="5" fillId="0" borderId="0" xfId="0" quotePrefix="1" applyFont="1" applyFill="1" applyAlignment="1">
      <alignment vertical="center"/>
    </xf>
    <xf numFmtId="0" fontId="7" fillId="0" borderId="55" xfId="1" applyFont="1" applyFill="1" applyBorder="1" applyAlignment="1">
      <alignment vertical="center" wrapText="1"/>
    </xf>
    <xf numFmtId="4" fontId="21" fillId="0" borderId="55" xfId="0" applyNumberFormat="1" applyFont="1" applyFill="1" applyBorder="1" applyAlignment="1" applyProtection="1">
      <alignment vertical="center"/>
    </xf>
    <xf numFmtId="4" fontId="7" fillId="0" borderId="63" xfId="1" applyNumberFormat="1" applyFont="1" applyFill="1" applyBorder="1" applyAlignment="1" applyProtection="1">
      <alignment vertical="center"/>
    </xf>
    <xf numFmtId="4" fontId="7" fillId="0" borderId="67" xfId="1" applyNumberFormat="1" applyFont="1" applyFill="1" applyBorder="1" applyAlignment="1" applyProtection="1">
      <alignment vertical="center"/>
    </xf>
    <xf numFmtId="4" fontId="7" fillId="0" borderId="55" xfId="1" applyNumberFormat="1" applyFont="1" applyFill="1" applyBorder="1" applyAlignment="1" applyProtection="1">
      <alignment vertical="center"/>
    </xf>
    <xf numFmtId="0" fontId="5" fillId="7" borderId="34" xfId="0" applyFont="1" applyFill="1" applyBorder="1" applyAlignment="1" applyProtection="1">
      <alignment horizontal="left" vertical="center" wrapText="1"/>
      <protection locked="0"/>
    </xf>
    <xf numFmtId="0" fontId="7" fillId="7" borderId="55" xfId="1" applyFont="1" applyFill="1" applyBorder="1" applyAlignment="1">
      <alignment vertical="center"/>
    </xf>
    <xf numFmtId="167" fontId="5" fillId="0" borderId="34" xfId="1" applyNumberFormat="1" applyFont="1" applyFill="1" applyBorder="1" applyAlignment="1">
      <alignment horizontal="left" vertical="center"/>
    </xf>
    <xf numFmtId="2" fontId="5" fillId="0" borderId="32" xfId="1" applyNumberFormat="1" applyBorder="1" applyAlignment="1">
      <alignment horizontal="left" vertical="center"/>
    </xf>
    <xf numFmtId="2" fontId="5" fillId="0" borderId="6" xfId="1" applyNumberFormat="1" applyFont="1" applyFill="1" applyBorder="1" applyAlignment="1">
      <alignment horizontal="left" vertical="center"/>
    </xf>
    <xf numFmtId="2" fontId="5" fillId="0" borderId="6" xfId="1" applyNumberFormat="1" applyFont="1" applyFill="1" applyBorder="1" applyAlignment="1">
      <alignment horizontal="right" vertical="center"/>
    </xf>
    <xf numFmtId="2" fontId="7" fillId="0" borderId="6" xfId="1" applyNumberFormat="1" applyFont="1" applyFill="1" applyBorder="1" applyAlignment="1">
      <alignment horizontal="right" vertical="center"/>
    </xf>
    <xf numFmtId="2" fontId="7" fillId="7" borderId="34" xfId="1" applyNumberFormat="1" applyFont="1" applyFill="1" applyBorder="1" applyAlignment="1">
      <alignment horizontal="center" vertical="center"/>
    </xf>
    <xf numFmtId="0" fontId="5" fillId="7" borderId="48" xfId="0" applyFont="1" applyFill="1" applyBorder="1" applyAlignment="1" applyProtection="1">
      <alignment horizontal="left" vertical="center" wrapText="1"/>
      <protection locked="0"/>
    </xf>
    <xf numFmtId="2" fontId="7" fillId="0" borderId="31" xfId="1" applyNumberFormat="1" applyFont="1" applyFill="1" applyBorder="1" applyAlignment="1">
      <alignment horizontal="right" vertical="center"/>
    </xf>
    <xf numFmtId="4" fontId="5" fillId="0" borderId="48" xfId="1" applyNumberFormat="1" applyFont="1" applyFill="1" applyBorder="1" applyAlignment="1">
      <alignment vertical="center"/>
    </xf>
    <xf numFmtId="0" fontId="5" fillId="7" borderId="52" xfId="0" applyFont="1" applyFill="1" applyBorder="1" applyAlignment="1" applyProtection="1">
      <alignment horizontal="left" vertical="center" wrapText="1"/>
      <protection locked="0"/>
    </xf>
    <xf numFmtId="0" fontId="7" fillId="7" borderId="56" xfId="1" applyFont="1" applyFill="1" applyBorder="1" applyAlignment="1">
      <alignment vertical="center"/>
    </xf>
    <xf numFmtId="167" fontId="5" fillId="0" borderId="42" xfId="1" applyNumberFormat="1" applyFont="1" applyFill="1" applyBorder="1" applyAlignment="1">
      <alignment horizontal="left" vertical="center"/>
    </xf>
    <xf numFmtId="2" fontId="5" fillId="0" borderId="40" xfId="1" applyNumberFormat="1" applyBorder="1" applyAlignment="1">
      <alignment horizontal="left" vertical="center"/>
    </xf>
    <xf numFmtId="2" fontId="5" fillId="0" borderId="41" xfId="1" applyNumberFormat="1" applyFont="1" applyFill="1" applyBorder="1" applyAlignment="1">
      <alignment horizontal="left" vertical="center"/>
    </xf>
    <xf numFmtId="2" fontId="5" fillId="0" borderId="41" xfId="1" applyNumberFormat="1" applyFont="1" applyFill="1" applyBorder="1" applyAlignment="1">
      <alignment horizontal="right" vertical="center"/>
    </xf>
    <xf numFmtId="2" fontId="7" fillId="0" borderId="1" xfId="1" applyNumberFormat="1" applyFont="1" applyFill="1" applyBorder="1" applyAlignment="1">
      <alignment horizontal="right" vertical="center"/>
    </xf>
    <xf numFmtId="2" fontId="7" fillId="7" borderId="42" xfId="1" applyNumberFormat="1" applyFont="1" applyFill="1" applyBorder="1" applyAlignment="1">
      <alignment horizontal="center" vertical="center"/>
    </xf>
    <xf numFmtId="4" fontId="5" fillId="0" borderId="41" xfId="1" applyNumberFormat="1" applyFont="1" applyFill="1" applyBorder="1" applyAlignment="1">
      <alignment vertical="center"/>
    </xf>
    <xf numFmtId="4" fontId="5" fillId="0" borderId="42" xfId="1" applyNumberFormat="1" applyFont="1" applyFill="1" applyBorder="1" applyAlignment="1">
      <alignment vertical="center"/>
    </xf>
    <xf numFmtId="0" fontId="15" fillId="0" borderId="39" xfId="0" applyFont="1" applyFill="1" applyBorder="1" applyAlignment="1" applyProtection="1">
      <alignment vertical="center" wrapText="1"/>
    </xf>
    <xf numFmtId="2" fontId="5" fillId="0" borderId="6" xfId="1" quotePrefix="1" applyNumberFormat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horizontal="left" vertical="center" wrapText="1"/>
    </xf>
    <xf numFmtId="4" fontId="5" fillId="0" borderId="45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63" xfId="1" applyNumberFormat="1" applyFont="1" applyFill="1" applyBorder="1" applyAlignment="1" applyProtection="1">
      <alignment vertical="center"/>
    </xf>
    <xf numFmtId="2" fontId="5" fillId="7" borderId="34" xfId="1" applyNumberFormat="1" applyFont="1" applyFill="1" applyBorder="1" applyAlignment="1">
      <alignment horizontal="center" vertical="center"/>
    </xf>
    <xf numFmtId="2" fontId="5" fillId="7" borderId="42" xfId="1" applyNumberFormat="1" applyFont="1" applyFill="1" applyBorder="1" applyAlignment="1">
      <alignment horizontal="center" vertical="center"/>
    </xf>
    <xf numFmtId="4" fontId="5" fillId="0" borderId="28" xfId="1" applyNumberFormat="1" applyFont="1" applyFill="1" applyBorder="1" applyAlignment="1" applyProtection="1">
      <alignment vertical="center"/>
    </xf>
    <xf numFmtId="4" fontId="7" fillId="0" borderId="12" xfId="1" applyNumberFormat="1" applyFont="1" applyFill="1" applyBorder="1" applyAlignment="1" applyProtection="1">
      <alignment vertical="center"/>
    </xf>
    <xf numFmtId="4" fontId="7" fillId="0" borderId="10" xfId="1" applyNumberFormat="1" applyFont="1" applyFill="1" applyBorder="1" applyAlignment="1" applyProtection="1">
      <alignment vertical="center"/>
    </xf>
    <xf numFmtId="0" fontId="5" fillId="0" borderId="56" xfId="1" applyFont="1" applyFill="1" applyBorder="1" applyAlignment="1">
      <alignment vertical="center" wrapText="1"/>
    </xf>
    <xf numFmtId="0" fontId="5" fillId="0" borderId="80" xfId="1" applyFont="1" applyFill="1" applyBorder="1" applyAlignment="1">
      <alignment vertical="center"/>
    </xf>
    <xf numFmtId="167" fontId="5" fillId="0" borderId="42" xfId="1" quotePrefix="1" applyNumberFormat="1" applyFont="1" applyFill="1" applyBorder="1" applyAlignment="1">
      <alignment horizontal="center" vertical="center"/>
    </xf>
    <xf numFmtId="2" fontId="5" fillId="0" borderId="41" xfId="1" applyNumberFormat="1" applyFont="1" applyFill="1" applyBorder="1" applyAlignment="1">
      <alignment horizontal="center" vertical="center"/>
    </xf>
    <xf numFmtId="2" fontId="7" fillId="0" borderId="41" xfId="1" applyNumberFormat="1" applyFont="1" applyFill="1" applyBorder="1" applyAlignment="1">
      <alignment horizontal="center" vertical="center"/>
    </xf>
    <xf numFmtId="2" fontId="5" fillId="0" borderId="42" xfId="1" applyNumberFormat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vertical="center" wrapText="1"/>
    </xf>
    <xf numFmtId="0" fontId="5" fillId="0" borderId="54" xfId="1" applyFont="1" applyFill="1" applyBorder="1" applyAlignment="1">
      <alignment vertical="center"/>
    </xf>
    <xf numFmtId="2" fontId="5" fillId="0" borderId="82" xfId="1" applyNumberFormat="1" applyFont="1" applyFill="1" applyBorder="1" applyAlignment="1">
      <alignment horizontal="center" vertical="center"/>
    </xf>
    <xf numFmtId="2" fontId="7" fillId="0" borderId="82" xfId="1" applyNumberFormat="1" applyFont="1" applyFill="1" applyBorder="1" applyAlignment="1">
      <alignment horizontal="center" vertical="center"/>
    </xf>
    <xf numFmtId="2" fontId="5" fillId="0" borderId="84" xfId="1" applyNumberFormat="1" applyFont="1" applyFill="1" applyBorder="1" applyAlignment="1">
      <alignment horizontal="center" vertical="center"/>
    </xf>
    <xf numFmtId="4" fontId="5" fillId="0" borderId="82" xfId="1" applyNumberFormat="1" applyFont="1" applyFill="1" applyBorder="1" applyAlignment="1">
      <alignment vertical="center"/>
    </xf>
    <xf numFmtId="4" fontId="5" fillId="0" borderId="84" xfId="1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2" fontId="5" fillId="0" borderId="25" xfId="1" applyNumberFormat="1" applyFont="1" applyFill="1" applyBorder="1" applyAlignment="1">
      <alignment horizontal="center" vertical="center"/>
    </xf>
    <xf numFmtId="2" fontId="7" fillId="0" borderId="25" xfId="1" applyNumberFormat="1" applyFont="1" applyFill="1" applyBorder="1" applyAlignment="1">
      <alignment horizontal="center" vertical="center"/>
    </xf>
    <xf numFmtId="2" fontId="5" fillId="0" borderId="86" xfId="1" applyNumberFormat="1" applyFont="1" applyFill="1" applyBorder="1" applyAlignment="1">
      <alignment horizontal="center" vertical="center"/>
    </xf>
    <xf numFmtId="4" fontId="5" fillId="0" borderId="25" xfId="1" applyNumberFormat="1" applyFont="1" applyFill="1" applyBorder="1" applyAlignment="1">
      <alignment vertical="center"/>
    </xf>
    <xf numFmtId="4" fontId="5" fillId="0" borderId="86" xfId="1" applyNumberFormat="1" applyFont="1" applyFill="1" applyBorder="1" applyAlignment="1">
      <alignment vertical="center"/>
    </xf>
    <xf numFmtId="2" fontId="5" fillId="0" borderId="44" xfId="1" applyNumberFormat="1" applyFont="1" applyFill="1" applyBorder="1" applyAlignment="1">
      <alignment horizontal="center" vertical="center"/>
    </xf>
    <xf numFmtId="167" fontId="5" fillId="0" borderId="42" xfId="1" applyNumberFormat="1" applyFont="1" applyFill="1" applyBorder="1" applyAlignment="1">
      <alignment horizontal="center" vertical="center"/>
    </xf>
    <xf numFmtId="2" fontId="5" fillId="0" borderId="37" xfId="1" applyNumberFormat="1" applyFill="1" applyBorder="1" applyAlignment="1">
      <alignment horizontal="center" vertical="center"/>
    </xf>
    <xf numFmtId="4" fontId="5" fillId="5" borderId="1" xfId="0" applyNumberFormat="1" applyFont="1" applyFill="1" applyBorder="1" applyAlignment="1" applyProtection="1">
      <alignment vertical="center"/>
      <protection locked="0"/>
    </xf>
    <xf numFmtId="0" fontId="5" fillId="0" borderId="55" xfId="1" applyFont="1" applyFill="1" applyBorder="1" applyAlignment="1">
      <alignment horizontal="left" vertical="center" wrapText="1" readingOrder="1"/>
    </xf>
    <xf numFmtId="0" fontId="5" fillId="0" borderId="79" xfId="1" applyFont="1" applyFill="1" applyBorder="1" applyAlignment="1">
      <alignment horizontal="left" vertical="center" wrapText="1"/>
    </xf>
    <xf numFmtId="0" fontId="5" fillId="0" borderId="53" xfId="1" applyFont="1" applyFill="1" applyBorder="1" applyAlignment="1">
      <alignment horizontal="left" vertical="center" wrapText="1" readingOrder="1"/>
    </xf>
    <xf numFmtId="0" fontId="5" fillId="0" borderId="33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left" vertical="center" wrapText="1" readingOrder="1"/>
    </xf>
    <xf numFmtId="0" fontId="5" fillId="0" borderId="26" xfId="1" applyFont="1" applyFill="1" applyBorder="1" applyAlignment="1">
      <alignment vertical="center"/>
    </xf>
    <xf numFmtId="2" fontId="7" fillId="0" borderId="24" xfId="1" applyNumberFormat="1" applyFont="1" applyFill="1" applyBorder="1" applyAlignment="1">
      <alignment horizontal="center" vertical="center"/>
    </xf>
    <xf numFmtId="2" fontId="7" fillId="0" borderId="34" xfId="1" applyNumberFormat="1" applyFont="1" applyFill="1" applyBorder="1" applyAlignment="1">
      <alignment horizontal="center" vertical="center"/>
    </xf>
    <xf numFmtId="2" fontId="5" fillId="0" borderId="45" xfId="1" applyNumberFormat="1" applyFont="1" applyFill="1" applyBorder="1" applyAlignment="1">
      <alignment horizontal="center" vertical="center"/>
    </xf>
    <xf numFmtId="0" fontId="5" fillId="0" borderId="53" xfId="1" applyFont="1" applyFill="1" applyBorder="1" applyAlignment="1">
      <alignment vertical="center" wrapText="1"/>
    </xf>
    <xf numFmtId="0" fontId="7" fillId="0" borderId="33" xfId="1" applyFont="1" applyFill="1" applyBorder="1" applyAlignment="1">
      <alignment vertical="center"/>
    </xf>
    <xf numFmtId="2" fontId="5" fillId="0" borderId="47" xfId="1" applyNumberFormat="1" applyFont="1" applyFill="1" applyBorder="1" applyAlignment="1">
      <alignment horizontal="center" vertical="center"/>
    </xf>
    <xf numFmtId="167" fontId="5" fillId="0" borderId="48" xfId="1" applyNumberFormat="1" applyFont="1" applyFill="1" applyBorder="1" applyAlignment="1">
      <alignment horizontal="center" vertical="center"/>
    </xf>
    <xf numFmtId="4" fontId="20" fillId="0" borderId="63" xfId="0" applyNumberFormat="1" applyFont="1" applyFill="1" applyBorder="1" applyAlignment="1" applyProtection="1">
      <alignment vertical="center"/>
    </xf>
    <xf numFmtId="2" fontId="5" fillId="0" borderId="45" xfId="1" applyNumberFormat="1" applyFont="1" applyFill="1" applyBorder="1" applyAlignment="1">
      <alignment horizontal="left" vertical="center"/>
    </xf>
    <xf numFmtId="2" fontId="5" fillId="0" borderId="44" xfId="1" applyNumberFormat="1" applyFont="1" applyFill="1" applyBorder="1" applyAlignment="1">
      <alignment horizontal="left" vertical="center"/>
    </xf>
    <xf numFmtId="4" fontId="20" fillId="0" borderId="28" xfId="0" applyNumberFormat="1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170" fontId="5" fillId="5" borderId="31" xfId="0" applyNumberFormat="1" applyFont="1" applyFill="1" applyBorder="1" applyAlignment="1" applyProtection="1">
      <alignment vertical="center"/>
      <protection locked="0"/>
    </xf>
    <xf numFmtId="2" fontId="5" fillId="0" borderId="32" xfId="1" applyNumberFormat="1" applyFill="1" applyBorder="1" applyAlignment="1">
      <alignment horizontal="center" vertical="center"/>
    </xf>
    <xf numFmtId="2" fontId="5" fillId="0" borderId="32" xfId="1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>
      <alignment vertical="center"/>
    </xf>
    <xf numFmtId="0" fontId="5" fillId="4" borderId="21" xfId="1" applyFont="1" applyFill="1" applyBorder="1" applyAlignment="1">
      <alignment vertical="center"/>
    </xf>
    <xf numFmtId="2" fontId="5" fillId="0" borderId="19" xfId="1" applyNumberFormat="1" applyFont="1" applyFill="1" applyBorder="1" applyAlignment="1">
      <alignment horizontal="center" vertical="center"/>
    </xf>
    <xf numFmtId="167" fontId="5" fillId="0" borderId="50" xfId="1" applyNumberFormat="1" applyFont="1" applyFill="1" applyBorder="1" applyAlignment="1">
      <alignment horizontal="center" vertical="center"/>
    </xf>
    <xf numFmtId="2" fontId="5" fillId="0" borderId="49" xfId="1" applyNumberFormat="1" applyFont="1" applyFill="1" applyBorder="1" applyAlignment="1">
      <alignment horizontal="center" vertical="center"/>
    </xf>
    <xf numFmtId="2" fontId="5" fillId="0" borderId="18" xfId="1" applyNumberFormat="1" applyFont="1" applyFill="1" applyBorder="1" applyAlignment="1">
      <alignment horizontal="center" vertical="center"/>
    </xf>
    <xf numFmtId="2" fontId="7" fillId="0" borderId="18" xfId="1" applyNumberFormat="1" applyFont="1" applyFill="1" applyBorder="1" applyAlignment="1">
      <alignment horizontal="center" vertical="center"/>
    </xf>
    <xf numFmtId="2" fontId="5" fillId="0" borderId="50" xfId="1" applyNumberFormat="1" applyFont="1" applyFill="1" applyBorder="1" applyAlignment="1">
      <alignment horizontal="center" vertical="center"/>
    </xf>
    <xf numFmtId="4" fontId="5" fillId="0" borderId="19" xfId="0" applyNumberFormat="1" applyFont="1" applyFill="1" applyBorder="1" applyAlignment="1">
      <alignment horizontal="center" vertical="center"/>
    </xf>
    <xf numFmtId="4" fontId="5" fillId="0" borderId="18" xfId="0" applyNumberFormat="1" applyFont="1" applyFill="1" applyBorder="1" applyAlignment="1">
      <alignment horizontal="center" vertical="center"/>
    </xf>
    <xf numFmtId="4" fontId="5" fillId="0" borderId="18" xfId="1" applyNumberFormat="1" applyFont="1" applyFill="1" applyBorder="1" applyAlignment="1">
      <alignment vertical="center"/>
    </xf>
    <xf numFmtId="4" fontId="5" fillId="0" borderId="50" xfId="1" applyNumberFormat="1" applyFont="1" applyFill="1" applyBorder="1" applyAlignment="1">
      <alignment vertical="center"/>
    </xf>
    <xf numFmtId="0" fontId="23" fillId="6" borderId="0" xfId="0" applyFont="1" applyFill="1" applyAlignment="1">
      <alignment vertical="center"/>
    </xf>
    <xf numFmtId="0" fontId="23" fillId="0" borderId="0" xfId="0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>
      <alignment vertical="center"/>
    </xf>
    <xf numFmtId="0" fontId="5" fillId="4" borderId="28" xfId="1" applyFont="1" applyFill="1" applyBorder="1" applyAlignment="1">
      <alignment vertical="center"/>
    </xf>
    <xf numFmtId="2" fontId="7" fillId="0" borderId="28" xfId="1" applyNumberFormat="1" applyFont="1" applyFill="1" applyBorder="1" applyAlignment="1">
      <alignment horizontal="center" vertical="center"/>
    </xf>
    <xf numFmtId="4" fontId="5" fillId="0" borderId="28" xfId="0" applyNumberFormat="1" applyFont="1" applyFill="1" applyBorder="1" applyAlignment="1">
      <alignment horizontal="center" vertical="center"/>
    </xf>
    <xf numFmtId="4" fontId="5" fillId="0" borderId="28" xfId="1" applyNumberFormat="1" applyFont="1" applyFill="1" applyBorder="1" applyAlignment="1">
      <alignment vertical="center"/>
    </xf>
    <xf numFmtId="4" fontId="5" fillId="0" borderId="39" xfId="1" applyNumberFormat="1" applyFont="1" applyFill="1" applyBorder="1" applyAlignment="1">
      <alignment vertical="center"/>
    </xf>
    <xf numFmtId="0" fontId="7" fillId="0" borderId="39" xfId="1" applyFont="1" applyFill="1" applyBorder="1" applyAlignment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5" fillId="0" borderId="28" xfId="1" applyFont="1" applyFill="1" applyBorder="1" applyAlignment="1">
      <alignment horizontal="left" vertical="center"/>
    </xf>
    <xf numFmtId="0" fontId="16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2" fontId="5" fillId="0" borderId="0" xfId="1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4" fontId="7" fillId="5" borderId="64" xfId="0" applyNumberFormat="1" applyFont="1" applyFill="1" applyBorder="1" applyAlignment="1" applyProtection="1">
      <alignment vertical="center"/>
      <protection locked="0"/>
    </xf>
    <xf numFmtId="164" fontId="5" fillId="0" borderId="0" xfId="3" applyFont="1" applyFill="1" applyAlignment="1">
      <alignment vertical="center"/>
    </xf>
    <xf numFmtId="164" fontId="23" fillId="6" borderId="0" xfId="3" applyFont="1" applyFill="1" applyAlignment="1">
      <alignment vertical="center"/>
    </xf>
    <xf numFmtId="43" fontId="5" fillId="0" borderId="0" xfId="0" quotePrefix="1" applyNumberFormat="1" applyFont="1" applyFill="1" applyAlignment="1">
      <alignment vertical="center"/>
    </xf>
    <xf numFmtId="0" fontId="28" fillId="3" borderId="22" xfId="14" applyFont="1" applyFill="1" applyBorder="1" applyAlignment="1">
      <alignment horizontal="center" vertical="center" wrapText="1"/>
    </xf>
    <xf numFmtId="0" fontId="5" fillId="3" borderId="20" xfId="14" quotePrefix="1" applyFill="1" applyBorder="1" applyAlignment="1">
      <alignment horizontal="left" vertical="center"/>
    </xf>
    <xf numFmtId="0" fontId="28" fillId="3" borderId="20" xfId="14" applyFont="1" applyFill="1" applyBorder="1" applyAlignment="1">
      <alignment horizontal="centerContinuous" vertical="center"/>
    </xf>
    <xf numFmtId="0" fontId="5" fillId="3" borderId="10" xfId="14" applyFill="1" applyBorder="1" applyAlignment="1">
      <alignment vertical="center"/>
    </xf>
    <xf numFmtId="0" fontId="5" fillId="3" borderId="20" xfId="14" applyFill="1" applyBorder="1" applyAlignment="1">
      <alignment vertical="center"/>
    </xf>
    <xf numFmtId="0" fontId="5" fillId="3" borderId="13" xfId="14" applyFill="1" applyBorder="1" applyAlignment="1">
      <alignment vertical="center"/>
    </xf>
    <xf numFmtId="0" fontId="5" fillId="0" borderId="0" xfId="14" applyAlignment="1" applyProtection="1">
      <alignment vertical="center"/>
      <protection locked="0"/>
    </xf>
    <xf numFmtId="0" fontId="7" fillId="3" borderId="100" xfId="14" applyFont="1" applyFill="1" applyBorder="1" applyAlignment="1">
      <alignment horizontal="left" vertical="center"/>
    </xf>
    <xf numFmtId="2" fontId="7" fillId="15" borderId="101" xfId="14" applyNumberFormat="1" applyFont="1" applyFill="1" applyBorder="1" applyAlignment="1" applyProtection="1">
      <alignment horizontal="left" vertical="center"/>
      <protection locked="0"/>
    </xf>
    <xf numFmtId="0" fontId="7" fillId="15" borderId="63" xfId="14" applyFont="1" applyFill="1" applyBorder="1" applyAlignment="1" applyProtection="1">
      <alignment horizontal="left" vertical="center"/>
      <protection locked="0"/>
    </xf>
    <xf numFmtId="0" fontId="7" fillId="0" borderId="102" xfId="14" applyFont="1" applyBorder="1" applyAlignment="1">
      <alignment horizontal="left" vertical="center"/>
    </xf>
    <xf numFmtId="1" fontId="7" fillId="15" borderId="45" xfId="14" applyNumberFormat="1" applyFont="1" applyFill="1" applyBorder="1" applyAlignment="1" applyProtection="1">
      <alignment horizontal="center" vertical="center"/>
      <protection locked="0"/>
    </xf>
    <xf numFmtId="0" fontId="3" fillId="0" borderId="102" xfId="14" applyFont="1" applyBorder="1" applyAlignment="1">
      <alignment horizontal="centerContinuous" vertical="center"/>
    </xf>
    <xf numFmtId="49" fontId="3" fillId="0" borderId="45" xfId="14" applyNumberFormat="1" applyFont="1" applyBorder="1" applyAlignment="1">
      <alignment horizontal="centerContinuous" vertical="center"/>
    </xf>
    <xf numFmtId="49" fontId="3" fillId="0" borderId="103" xfId="14" applyNumberFormat="1" applyFont="1" applyBorder="1" applyAlignment="1">
      <alignment horizontal="centerContinuous" vertical="center"/>
    </xf>
    <xf numFmtId="0" fontId="3" fillId="3" borderId="7" xfId="14" applyFont="1" applyFill="1" applyBorder="1" applyAlignment="1">
      <alignment horizontal="centerContinuous" vertical="center"/>
    </xf>
    <xf numFmtId="0" fontId="3" fillId="3" borderId="63" xfId="14" applyFont="1" applyFill="1" applyBorder="1" applyAlignment="1">
      <alignment horizontal="centerContinuous" vertical="center"/>
    </xf>
    <xf numFmtId="4" fontId="3" fillId="15" borderId="104" xfId="14" applyNumberFormat="1" applyFont="1" applyFill="1" applyBorder="1" applyAlignment="1" applyProtection="1">
      <alignment horizontal="center" vertical="center"/>
      <protection locked="0"/>
    </xf>
    <xf numFmtId="10" fontId="3" fillId="0" borderId="105" xfId="17" applyNumberFormat="1" applyFont="1" applyFill="1" applyBorder="1" applyAlignment="1" applyProtection="1">
      <alignment horizontal="center" vertical="center"/>
    </xf>
    <xf numFmtId="0" fontId="7" fillId="3" borderId="106" xfId="14" applyFont="1" applyFill="1" applyBorder="1" applyAlignment="1">
      <alignment horizontal="left" vertical="center"/>
    </xf>
    <xf numFmtId="49" fontId="7" fillId="15" borderId="107" xfId="14" applyNumberFormat="1" applyFont="1" applyFill="1" applyBorder="1" applyAlignment="1" applyProtection="1">
      <alignment vertical="center"/>
      <protection locked="0"/>
    </xf>
    <xf numFmtId="0" fontId="7" fillId="15" borderId="11" xfId="14" applyFont="1" applyFill="1" applyBorder="1" applyAlignment="1" applyProtection="1">
      <alignment vertical="center"/>
      <protection locked="0"/>
    </xf>
    <xf numFmtId="0" fontId="7" fillId="15" borderId="11" xfId="14" applyFont="1" applyFill="1" applyBorder="1" applyAlignment="1" applyProtection="1">
      <alignment horizontal="left" vertical="center"/>
      <protection locked="0"/>
    </xf>
    <xf numFmtId="0" fontId="7" fillId="0" borderId="108" xfId="14" applyFont="1" applyBorder="1" applyAlignment="1">
      <alignment horizontal="left" vertical="center"/>
    </xf>
    <xf numFmtId="1" fontId="7" fillId="15" borderId="88" xfId="14" applyNumberFormat="1" applyFont="1" applyFill="1" applyBorder="1" applyAlignment="1" applyProtection="1">
      <alignment horizontal="center" vertical="center"/>
      <protection locked="0"/>
    </xf>
    <xf numFmtId="0" fontId="3" fillId="0" borderId="108" xfId="14" applyFont="1" applyBorder="1" applyAlignment="1">
      <alignment horizontal="center" vertical="center"/>
    </xf>
    <xf numFmtId="14" fontId="3" fillId="0" borderId="88" xfId="14" applyNumberFormat="1" applyFont="1" applyBorder="1" applyAlignment="1" applyProtection="1">
      <alignment horizontal="center" vertical="center"/>
      <protection locked="0"/>
    </xf>
    <xf numFmtId="1" fontId="3" fillId="15" borderId="88" xfId="14" applyNumberFormat="1" applyFont="1" applyFill="1" applyBorder="1" applyAlignment="1" applyProtection="1">
      <alignment horizontal="center" vertical="center"/>
      <protection locked="0"/>
    </xf>
    <xf numFmtId="14" fontId="3" fillId="0" borderId="109" xfId="14" applyNumberFormat="1" applyFont="1" applyBorder="1" applyAlignment="1">
      <alignment horizontal="center" vertical="center"/>
    </xf>
    <xf numFmtId="1" fontId="3" fillId="15" borderId="88" xfId="14" applyNumberFormat="1" applyFont="1" applyFill="1" applyBorder="1" applyAlignment="1">
      <alignment horizontal="center" vertical="center"/>
    </xf>
    <xf numFmtId="0" fontId="3" fillId="3" borderId="110" xfId="14" applyFont="1" applyFill="1" applyBorder="1" applyAlignment="1">
      <alignment horizontal="centerContinuous" vertical="center"/>
    </xf>
    <xf numFmtId="0" fontId="3" fillId="3" borderId="74" xfId="14" applyFont="1" applyFill="1" applyBorder="1" applyAlignment="1">
      <alignment horizontal="centerContinuous" vertical="center"/>
    </xf>
    <xf numFmtId="0" fontId="3" fillId="3" borderId="11" xfId="14" applyFont="1" applyFill="1" applyBorder="1" applyAlignment="1">
      <alignment horizontal="centerContinuous" vertical="center"/>
    </xf>
    <xf numFmtId="4" fontId="3" fillId="15" borderId="111" xfId="14" applyNumberFormat="1" applyFont="1" applyFill="1" applyBorder="1" applyAlignment="1" applyProtection="1">
      <alignment horizontal="center" vertical="center"/>
      <protection locked="0"/>
    </xf>
    <xf numFmtId="10" fontId="3" fillId="0" borderId="112" xfId="17" applyNumberFormat="1" applyFont="1" applyFill="1" applyBorder="1" applyAlignment="1" applyProtection="1">
      <alignment horizontal="center" vertical="center"/>
    </xf>
    <xf numFmtId="0" fontId="7" fillId="3" borderId="113" xfId="14" applyFont="1" applyFill="1" applyBorder="1" applyAlignment="1">
      <alignment horizontal="left" vertical="center"/>
    </xf>
    <xf numFmtId="175" fontId="7" fillId="14" borderId="114" xfId="14" applyNumberFormat="1" applyFont="1" applyFill="1" applyBorder="1" applyAlignment="1">
      <alignment horizontal="left" vertical="center"/>
    </xf>
    <xf numFmtId="0" fontId="32" fillId="3" borderId="115" xfId="14" applyFont="1" applyFill="1" applyBorder="1" applyAlignment="1">
      <alignment horizontal="center" vertical="center"/>
    </xf>
    <xf numFmtId="0" fontId="31" fillId="3" borderId="83" xfId="14" applyFont="1" applyFill="1" applyBorder="1" applyAlignment="1">
      <alignment horizontal="centerContinuous" vertical="center"/>
    </xf>
    <xf numFmtId="0" fontId="32" fillId="3" borderId="10" xfId="14" applyFont="1" applyFill="1" applyBorder="1" applyAlignment="1">
      <alignment horizontal="centerContinuous" vertical="center"/>
    </xf>
    <xf numFmtId="0" fontId="3" fillId="3" borderId="115" xfId="14" applyFont="1" applyFill="1" applyBorder="1" applyAlignment="1">
      <alignment horizontal="centerContinuous" vertical="center"/>
    </xf>
    <xf numFmtId="0" fontId="3" fillId="3" borderId="20" xfId="14" applyFont="1" applyFill="1" applyBorder="1" applyAlignment="1">
      <alignment horizontal="centerContinuous" vertical="center"/>
    </xf>
    <xf numFmtId="40" fontId="42" fillId="3" borderId="116" xfId="14" applyNumberFormat="1" applyFont="1" applyFill="1" applyBorder="1" applyAlignment="1">
      <alignment vertical="center"/>
    </xf>
    <xf numFmtId="10" fontId="4" fillId="0" borderId="117" xfId="17" applyNumberFormat="1" applyFont="1" applyFill="1" applyBorder="1" applyAlignment="1" applyProtection="1">
      <alignment vertical="center"/>
    </xf>
    <xf numFmtId="0" fontId="43" fillId="3" borderId="40" xfId="14" applyFont="1" applyFill="1" applyBorder="1" applyAlignment="1">
      <alignment horizontal="center" vertical="center"/>
    </xf>
    <xf numFmtId="0" fontId="43" fillId="3" borderId="118" xfId="14" applyFont="1" applyFill="1" applyBorder="1" applyAlignment="1">
      <alignment horizontal="left" vertical="center"/>
    </xf>
    <xf numFmtId="0" fontId="43" fillId="3" borderId="9" xfId="14" applyFont="1" applyFill="1" applyBorder="1" applyAlignment="1">
      <alignment horizontal="centerContinuous" vertical="center"/>
    </xf>
    <xf numFmtId="0" fontId="44" fillId="3" borderId="6" xfId="14" applyFont="1" applyFill="1" applyBorder="1" applyAlignment="1">
      <alignment horizontal="center" vertical="center"/>
    </xf>
    <xf numFmtId="0" fontId="43" fillId="3" borderId="7" xfId="14" applyFont="1" applyFill="1" applyBorder="1" applyAlignment="1">
      <alignment horizontal="centerContinuous" vertical="center"/>
    </xf>
    <xf numFmtId="0" fontId="43" fillId="3" borderId="63" xfId="14" applyFont="1" applyFill="1" applyBorder="1" applyAlignment="1">
      <alignment horizontal="centerContinuous" vertical="center"/>
    </xf>
    <xf numFmtId="0" fontId="43" fillId="3" borderId="45" xfId="14" applyFont="1" applyFill="1" applyBorder="1" applyAlignment="1">
      <alignment horizontal="centerContinuous" vertical="center"/>
    </xf>
    <xf numFmtId="0" fontId="43" fillId="3" borderId="47" xfId="14" applyFont="1" applyFill="1" applyBorder="1" applyAlignment="1">
      <alignment horizontal="centerContinuous" vertical="center"/>
    </xf>
    <xf numFmtId="0" fontId="43" fillId="3" borderId="119" xfId="14" applyFont="1" applyFill="1" applyBorder="1" applyAlignment="1">
      <alignment horizontal="centerContinuous" vertical="center"/>
    </xf>
    <xf numFmtId="0" fontId="43" fillId="3" borderId="9" xfId="14" applyFont="1" applyFill="1" applyBorder="1" applyAlignment="1">
      <alignment horizontal="center" vertical="center"/>
    </xf>
    <xf numFmtId="0" fontId="43" fillId="3" borderId="120" xfId="14" applyFont="1" applyFill="1" applyBorder="1" applyAlignment="1">
      <alignment horizontal="center" vertical="center"/>
    </xf>
    <xf numFmtId="0" fontId="43" fillId="3" borderId="121" xfId="14" applyFont="1" applyFill="1" applyBorder="1" applyAlignment="1">
      <alignment horizontal="center" vertical="center"/>
    </xf>
    <xf numFmtId="0" fontId="7" fillId="2" borderId="29" xfId="14" applyFont="1" applyFill="1" applyBorder="1" applyAlignment="1" applyProtection="1">
      <alignment horizontal="center" vertical="center"/>
      <protection locked="0"/>
    </xf>
    <xf numFmtId="0" fontId="43" fillId="3" borderId="122" xfId="14" applyFont="1" applyFill="1" applyBorder="1" applyAlignment="1">
      <alignment horizontal="center" vertical="center"/>
    </xf>
    <xf numFmtId="0" fontId="43" fillId="3" borderId="123" xfId="14" applyFont="1" applyFill="1" applyBorder="1" applyAlignment="1">
      <alignment vertical="center"/>
    </xf>
    <xf numFmtId="0" fontId="43" fillId="3" borderId="124" xfId="14" applyFont="1" applyFill="1" applyBorder="1" applyAlignment="1">
      <alignment vertical="center"/>
    </xf>
    <xf numFmtId="1" fontId="7" fillId="16" borderId="125" xfId="14" applyNumberFormat="1" applyFont="1" applyFill="1" applyBorder="1" applyAlignment="1" applyProtection="1">
      <alignment horizontal="center" vertical="center"/>
      <protection locked="0"/>
    </xf>
    <xf numFmtId="0" fontId="43" fillId="3" borderId="125" xfId="14" applyFont="1" applyFill="1" applyBorder="1" applyAlignment="1">
      <alignment horizontal="center" vertical="center"/>
    </xf>
    <xf numFmtId="0" fontId="43" fillId="3" borderId="126" xfId="14" applyFont="1" applyFill="1" applyBorder="1" applyAlignment="1">
      <alignment horizontal="center" vertical="center"/>
    </xf>
    <xf numFmtId="0" fontId="43" fillId="3" borderId="124" xfId="14" applyFont="1" applyFill="1" applyBorder="1" applyAlignment="1">
      <alignment horizontal="center" vertical="center"/>
    </xf>
    <xf numFmtId="0" fontId="43" fillId="3" borderId="127" xfId="14" applyFont="1" applyFill="1" applyBorder="1" applyAlignment="1">
      <alignment horizontal="center" vertical="center"/>
    </xf>
    <xf numFmtId="0" fontId="43" fillId="3" borderId="128" xfId="14" applyFont="1" applyFill="1" applyBorder="1" applyAlignment="1">
      <alignment horizontal="center" vertical="center"/>
    </xf>
    <xf numFmtId="0" fontId="44" fillId="3" borderId="123" xfId="14" applyFont="1" applyFill="1" applyBorder="1" applyAlignment="1">
      <alignment vertical="center" textRotation="180"/>
    </xf>
    <xf numFmtId="176" fontId="43" fillId="3" borderId="125" xfId="14" applyNumberFormat="1" applyFont="1" applyFill="1" applyBorder="1" applyAlignment="1">
      <alignment horizontal="center" vertical="center"/>
    </xf>
    <xf numFmtId="176" fontId="43" fillId="3" borderId="126" xfId="14" applyNumberFormat="1" applyFont="1" applyFill="1" applyBorder="1" applyAlignment="1">
      <alignment horizontal="center" vertical="center"/>
    </xf>
    <xf numFmtId="176" fontId="43" fillId="3" borderId="124" xfId="14" applyNumberFormat="1" applyFont="1" applyFill="1" applyBorder="1" applyAlignment="1">
      <alignment horizontal="center" vertical="center"/>
    </xf>
    <xf numFmtId="49" fontId="45" fillId="3" borderId="129" xfId="14" applyNumberFormat="1" applyFont="1" applyFill="1" applyBorder="1" applyAlignment="1">
      <alignment horizontal="center" vertical="center"/>
    </xf>
    <xf numFmtId="49" fontId="45" fillId="3" borderId="130" xfId="14" applyNumberFormat="1" applyFont="1" applyFill="1" applyBorder="1" applyAlignment="1">
      <alignment horizontal="left" vertical="center"/>
    </xf>
    <xf numFmtId="49" fontId="45" fillId="3" borderId="47" xfId="14" applyNumberFormat="1" applyFont="1" applyFill="1" applyBorder="1" applyAlignment="1">
      <alignment horizontal="left" vertical="center"/>
    </xf>
    <xf numFmtId="0" fontId="46" fillId="3" borderId="6" xfId="14" applyFont="1" applyFill="1" applyBorder="1" applyAlignment="1">
      <alignment vertical="center"/>
    </xf>
    <xf numFmtId="0" fontId="45" fillId="3" borderId="47" xfId="14" applyFont="1" applyFill="1" applyBorder="1" applyAlignment="1">
      <alignment horizontal="center" vertical="center"/>
    </xf>
    <xf numFmtId="0" fontId="45" fillId="3" borderId="131" xfId="14" applyFont="1" applyFill="1" applyBorder="1" applyAlignment="1">
      <alignment horizontal="center" vertical="center"/>
    </xf>
    <xf numFmtId="0" fontId="45" fillId="3" borderId="69" xfId="14" applyFont="1" applyFill="1" applyBorder="1" applyAlignment="1">
      <alignment horizontal="center" vertical="center"/>
    </xf>
    <xf numFmtId="40" fontId="47" fillId="15" borderId="132" xfId="14" applyNumberFormat="1" applyFont="1" applyFill="1" applyBorder="1" applyAlignment="1">
      <alignment horizontal="right" vertical="center"/>
    </xf>
    <xf numFmtId="2" fontId="45" fillId="3" borderId="48" xfId="14" applyNumberFormat="1" applyFont="1" applyFill="1" applyBorder="1" applyAlignment="1">
      <alignment vertical="center"/>
    </xf>
    <xf numFmtId="0" fontId="5" fillId="0" borderId="0" xfId="14" applyAlignment="1">
      <alignment vertical="center"/>
    </xf>
    <xf numFmtId="49" fontId="45" fillId="3" borderId="37" xfId="14" applyNumberFormat="1" applyFont="1" applyFill="1" applyBorder="1" applyAlignment="1">
      <alignment horizontal="center" vertical="center"/>
    </xf>
    <xf numFmtId="0" fontId="5" fillId="3" borderId="133" xfId="14" applyFill="1" applyBorder="1" applyAlignment="1">
      <alignment vertical="center"/>
    </xf>
    <xf numFmtId="0" fontId="5" fillId="3" borderId="134" xfId="14" applyFill="1" applyBorder="1" applyAlignment="1">
      <alignment vertical="center"/>
    </xf>
    <xf numFmtId="0" fontId="4" fillId="3" borderId="134" xfId="14" applyFont="1" applyFill="1" applyBorder="1" applyAlignment="1">
      <alignment vertical="center"/>
    </xf>
    <xf numFmtId="40" fontId="4" fillId="3" borderId="134" xfId="14" applyNumberFormat="1" applyFont="1" applyFill="1" applyBorder="1" applyAlignment="1">
      <alignment vertical="center"/>
    </xf>
    <xf numFmtId="0" fontId="4" fillId="3" borderId="135" xfId="14" applyFont="1" applyFill="1" applyBorder="1" applyAlignment="1">
      <alignment vertical="center"/>
    </xf>
    <xf numFmtId="0" fontId="5" fillId="3" borderId="136" xfId="14" applyFill="1" applyBorder="1" applyAlignment="1">
      <alignment vertical="center"/>
    </xf>
    <xf numFmtId="0" fontId="7" fillId="3" borderId="137" xfId="14" applyFont="1" applyFill="1" applyBorder="1" applyAlignment="1">
      <alignment horizontal="centerContinuous" vertical="center"/>
    </xf>
    <xf numFmtId="0" fontId="5" fillId="3" borderId="137" xfId="14" applyFill="1" applyBorder="1" applyAlignment="1">
      <alignment horizontal="centerContinuous" vertical="center"/>
    </xf>
    <xf numFmtId="0" fontId="4" fillId="3" borderId="137" xfId="14" applyFont="1" applyFill="1" applyBorder="1" applyAlignment="1">
      <alignment vertical="center"/>
    </xf>
    <xf numFmtId="40" fontId="42" fillId="3" borderId="138" xfId="14" applyNumberFormat="1" applyFont="1" applyFill="1" applyBorder="1" applyAlignment="1">
      <alignment vertical="center"/>
    </xf>
    <xf numFmtId="0" fontId="42" fillId="3" borderId="139" xfId="14" applyFont="1" applyFill="1" applyBorder="1" applyAlignment="1">
      <alignment vertical="center"/>
    </xf>
    <xf numFmtId="0" fontId="31" fillId="3" borderId="78" xfId="14" applyFont="1" applyFill="1" applyBorder="1" applyAlignment="1">
      <alignment horizontal="centerContinuous" vertical="center"/>
    </xf>
    <xf numFmtId="0" fontId="32" fillId="3" borderId="69" xfId="14" applyFont="1" applyFill="1" applyBorder="1" applyAlignment="1">
      <alignment horizontal="centerContinuous" vertical="center"/>
    </xf>
    <xf numFmtId="0" fontId="4" fillId="3" borderId="69" xfId="14" applyFont="1" applyFill="1" applyBorder="1" applyAlignment="1">
      <alignment horizontal="centerContinuous" vertical="center"/>
    </xf>
    <xf numFmtId="0" fontId="4" fillId="3" borderId="53" xfId="14" applyFont="1" applyFill="1" applyBorder="1" applyAlignment="1">
      <alignment horizontal="centerContinuous" vertical="center"/>
    </xf>
    <xf numFmtId="0" fontId="5" fillId="3" borderId="122" xfId="14" applyFill="1" applyBorder="1" applyAlignment="1">
      <alignment horizontal="center" vertical="center"/>
    </xf>
    <xf numFmtId="0" fontId="5" fillId="3" borderId="124" xfId="14" applyFill="1" applyBorder="1" applyAlignment="1">
      <alignment horizontal="center" vertical="center"/>
    </xf>
    <xf numFmtId="0" fontId="4" fillId="3" borderId="124" xfId="14" applyFont="1" applyFill="1" applyBorder="1" applyAlignment="1">
      <alignment horizontal="centerContinuous" vertical="center"/>
    </xf>
    <xf numFmtId="0" fontId="4" fillId="3" borderId="140" xfId="14" applyFont="1" applyFill="1" applyBorder="1" applyAlignment="1">
      <alignment horizontal="centerContinuous" vertical="center"/>
    </xf>
    <xf numFmtId="0" fontId="4" fillId="3" borderId="120" xfId="14" applyFont="1" applyFill="1" applyBorder="1" applyAlignment="1">
      <alignment horizontal="center" vertical="center"/>
    </xf>
    <xf numFmtId="0" fontId="4" fillId="3" borderId="121" xfId="14" applyFont="1" applyFill="1" applyBorder="1" applyAlignment="1">
      <alignment horizontal="center" vertical="center"/>
    </xf>
    <xf numFmtId="0" fontId="5" fillId="3" borderId="129" xfId="14" applyFill="1" applyBorder="1" applyAlignment="1">
      <alignment horizontal="center" vertical="center"/>
    </xf>
    <xf numFmtId="0" fontId="5" fillId="3" borderId="141" xfId="14" applyFill="1" applyBorder="1" applyAlignment="1">
      <alignment horizontal="center" vertical="center"/>
    </xf>
    <xf numFmtId="0" fontId="5" fillId="3" borderId="142" xfId="14" applyFill="1" applyBorder="1" applyAlignment="1">
      <alignment horizontal="center" vertical="center"/>
    </xf>
    <xf numFmtId="0" fontId="4" fillId="3" borderId="142" xfId="14" applyFont="1" applyFill="1" applyBorder="1" applyAlignment="1">
      <alignment horizontal="center" vertical="center"/>
    </xf>
    <xf numFmtId="0" fontId="4" fillId="3" borderId="143" xfId="14" applyFont="1" applyFill="1" applyBorder="1" applyAlignment="1">
      <alignment horizontal="center" vertical="center"/>
    </xf>
    <xf numFmtId="0" fontId="43" fillId="3" borderId="69" xfId="14" applyFont="1" applyFill="1" applyBorder="1" applyAlignment="1">
      <alignment horizontal="center" vertical="center"/>
    </xf>
    <xf numFmtId="0" fontId="4" fillId="3" borderId="132" xfId="14" applyFont="1" applyFill="1" applyBorder="1" applyAlignment="1">
      <alignment horizontal="center" vertical="center"/>
    </xf>
    <xf numFmtId="0" fontId="4" fillId="3" borderId="48" xfId="14" applyFont="1" applyFill="1" applyBorder="1" applyAlignment="1">
      <alignment horizontal="center" vertical="center"/>
    </xf>
    <xf numFmtId="0" fontId="4" fillId="3" borderId="32" xfId="14" applyFont="1" applyFill="1" applyBorder="1" applyAlignment="1">
      <alignment horizontal="center" vertical="center"/>
    </xf>
    <xf numFmtId="49" fontId="4" fillId="3" borderId="41" xfId="14" applyNumberFormat="1" applyFont="1" applyFill="1" applyBorder="1" applyAlignment="1">
      <alignment vertical="center"/>
    </xf>
    <xf numFmtId="0" fontId="4" fillId="3" borderId="45" xfId="14" applyFont="1" applyFill="1" applyBorder="1" applyAlignment="1">
      <alignment vertical="center"/>
    </xf>
    <xf numFmtId="0" fontId="4" fillId="3" borderId="6" xfId="14" applyFont="1" applyFill="1" applyBorder="1" applyAlignment="1">
      <alignment vertical="center"/>
    </xf>
    <xf numFmtId="40" fontId="4" fillId="3" borderId="6" xfId="14" applyNumberFormat="1" applyFont="1" applyFill="1" applyBorder="1" applyAlignment="1">
      <alignment vertical="center"/>
    </xf>
    <xf numFmtId="40" fontId="4" fillId="3" borderId="144" xfId="14" applyNumberFormat="1" applyFont="1" applyFill="1" applyBorder="1" applyAlignment="1" applyProtection="1">
      <alignment vertical="center"/>
      <protection locked="0"/>
    </xf>
    <xf numFmtId="177" fontId="4" fillId="3" borderId="69" xfId="14" applyNumberFormat="1" applyFont="1" applyFill="1" applyBorder="1" applyAlignment="1">
      <alignment horizontal="center" vertical="center"/>
    </xf>
    <xf numFmtId="40" fontId="4" fillId="3" borderId="104" xfId="14" applyNumberFormat="1" applyFont="1" applyFill="1" applyBorder="1" applyAlignment="1">
      <alignment vertical="center"/>
    </xf>
    <xf numFmtId="10" fontId="4" fillId="3" borderId="34" xfId="17" applyNumberFormat="1" applyFont="1" applyFill="1" applyBorder="1" applyAlignment="1" applyProtection="1">
      <alignment vertical="center"/>
    </xf>
    <xf numFmtId="0" fontId="4" fillId="3" borderId="31" xfId="14" applyFont="1" applyFill="1" applyBorder="1" applyAlignment="1">
      <alignment vertical="center"/>
    </xf>
    <xf numFmtId="177" fontId="4" fillId="3" borderId="63" xfId="14" applyNumberFormat="1" applyFont="1" applyFill="1" applyBorder="1" applyAlignment="1">
      <alignment horizontal="center" vertical="center"/>
    </xf>
    <xf numFmtId="40" fontId="5" fillId="0" borderId="0" xfId="14" applyNumberFormat="1" applyAlignment="1" applyProtection="1">
      <alignment vertical="center"/>
      <protection locked="0"/>
    </xf>
    <xf numFmtId="1" fontId="4" fillId="3" borderId="41" xfId="14" applyNumberFormat="1" applyFont="1" applyFill="1" applyBorder="1" applyAlignment="1">
      <alignment vertical="center"/>
    </xf>
    <xf numFmtId="1" fontId="4" fillId="3" borderId="31" xfId="14" applyNumberFormat="1" applyFont="1" applyFill="1" applyBorder="1" applyAlignment="1">
      <alignment vertical="center"/>
    </xf>
    <xf numFmtId="0" fontId="4" fillId="3" borderId="67" xfId="14" applyFont="1" applyFill="1" applyBorder="1" applyAlignment="1">
      <alignment horizontal="center" vertical="center"/>
    </xf>
    <xf numFmtId="0" fontId="4" fillId="3" borderId="63" xfId="14" applyFont="1" applyFill="1" applyBorder="1" applyAlignment="1">
      <alignment vertical="center"/>
    </xf>
    <xf numFmtId="40" fontId="4" fillId="3" borderId="63" xfId="14" applyNumberFormat="1" applyFont="1" applyFill="1" applyBorder="1" applyAlignment="1">
      <alignment vertical="center"/>
    </xf>
    <xf numFmtId="40" fontId="4" fillId="3" borderId="63" xfId="14" applyNumberFormat="1" applyFont="1" applyFill="1" applyBorder="1" applyAlignment="1" applyProtection="1">
      <alignment vertical="center"/>
      <protection locked="0"/>
    </xf>
    <xf numFmtId="9" fontId="4" fillId="3" borderId="55" xfId="17" applyFont="1" applyFill="1" applyBorder="1" applyAlignment="1" applyProtection="1">
      <alignment vertical="center"/>
    </xf>
    <xf numFmtId="40" fontId="4" fillId="3" borderId="31" xfId="14" applyNumberFormat="1" applyFont="1" applyFill="1" applyBorder="1" applyAlignment="1">
      <alignment vertical="center"/>
    </xf>
    <xf numFmtId="40" fontId="4" fillId="3" borderId="145" xfId="14" applyNumberFormat="1" applyFont="1" applyFill="1" applyBorder="1" applyAlignment="1" applyProtection="1">
      <alignment vertical="center"/>
      <protection locked="0"/>
    </xf>
    <xf numFmtId="40" fontId="4" fillId="3" borderId="146" xfId="14" applyNumberFormat="1" applyFont="1" applyFill="1" applyBorder="1" applyAlignment="1">
      <alignment vertical="center"/>
    </xf>
    <xf numFmtId="40" fontId="4" fillId="3" borderId="132" xfId="14" applyNumberFormat="1" applyFont="1" applyFill="1" applyBorder="1" applyAlignment="1">
      <alignment vertical="center"/>
    </xf>
    <xf numFmtId="10" fontId="4" fillId="3" borderId="48" xfId="17" applyNumberFormat="1" applyFont="1" applyFill="1" applyBorder="1" applyAlignment="1" applyProtection="1">
      <alignment vertical="center"/>
    </xf>
    <xf numFmtId="0" fontId="4" fillId="3" borderId="1" xfId="14" applyFont="1" applyFill="1" applyBorder="1" applyAlignment="1">
      <alignment vertical="center"/>
    </xf>
    <xf numFmtId="40" fontId="4" fillId="3" borderId="69" xfId="14" applyNumberFormat="1" applyFont="1" applyFill="1" applyBorder="1" applyAlignment="1">
      <alignment vertical="center"/>
    </xf>
    <xf numFmtId="0" fontId="4" fillId="3" borderId="67" xfId="14" applyFont="1" applyFill="1" applyBorder="1" applyAlignment="1">
      <alignment vertical="center"/>
    </xf>
    <xf numFmtId="40" fontId="4" fillId="3" borderId="9" xfId="14" applyNumberFormat="1" applyFont="1" applyFill="1" applyBorder="1" applyAlignment="1">
      <alignment vertical="center"/>
    </xf>
    <xf numFmtId="9" fontId="4" fillId="3" borderId="56" xfId="17" applyFont="1" applyFill="1" applyBorder="1" applyAlignment="1" applyProtection="1">
      <alignment vertical="center"/>
    </xf>
    <xf numFmtId="0" fontId="7" fillId="3" borderId="122" xfId="14" applyFont="1" applyFill="1" applyBorder="1" applyAlignment="1">
      <alignment horizontal="centerContinuous" vertical="center"/>
    </xf>
    <xf numFmtId="0" fontId="5" fillId="3" borderId="147" xfId="14" applyFill="1" applyBorder="1" applyAlignment="1">
      <alignment horizontal="centerContinuous" vertical="center"/>
    </xf>
    <xf numFmtId="0" fontId="5" fillId="3" borderId="147" xfId="14" applyFill="1" applyBorder="1" applyAlignment="1">
      <alignment vertical="center"/>
    </xf>
    <xf numFmtId="40" fontId="42" fillId="3" borderId="147" xfId="14" applyNumberFormat="1" applyFont="1" applyFill="1" applyBorder="1" applyAlignment="1">
      <alignment vertical="center"/>
    </xf>
    <xf numFmtId="40" fontId="42" fillId="3" borderId="1" xfId="14" applyNumberFormat="1" applyFont="1" applyFill="1" applyBorder="1" applyAlignment="1">
      <alignment vertical="center"/>
    </xf>
    <xf numFmtId="40" fontId="42" fillId="3" borderId="148" xfId="14" applyNumberFormat="1" applyFont="1" applyFill="1" applyBorder="1" applyAlignment="1" applyProtection="1">
      <alignment vertical="center"/>
      <protection locked="0"/>
    </xf>
    <xf numFmtId="40" fontId="42" fillId="3" borderId="0" xfId="14" applyNumberFormat="1" applyFont="1" applyFill="1" applyAlignment="1">
      <alignment vertical="center"/>
    </xf>
    <xf numFmtId="40" fontId="42" fillId="3" borderId="149" xfId="14" applyNumberFormat="1" applyFont="1" applyFill="1" applyBorder="1" applyAlignment="1">
      <alignment vertical="center"/>
    </xf>
    <xf numFmtId="10" fontId="42" fillId="3" borderId="150" xfId="17" applyNumberFormat="1" applyFont="1" applyFill="1" applyBorder="1" applyAlignment="1" applyProtection="1">
      <alignment vertical="center"/>
    </xf>
    <xf numFmtId="0" fontId="7" fillId="3" borderId="151" xfId="14" applyFont="1" applyFill="1" applyBorder="1" applyAlignment="1">
      <alignment horizontal="centerContinuous" vertical="center"/>
    </xf>
    <xf numFmtId="0" fontId="5" fillId="3" borderId="152" xfId="14" applyFill="1" applyBorder="1" applyAlignment="1">
      <alignment horizontal="centerContinuous" vertical="center"/>
    </xf>
    <xf numFmtId="0" fontId="5" fillId="3" borderId="152" xfId="14" applyFill="1" applyBorder="1" applyAlignment="1">
      <alignment vertical="center"/>
    </xf>
    <xf numFmtId="10" fontId="42" fillId="3" borderId="152" xfId="17" applyNumberFormat="1" applyFont="1" applyFill="1" applyBorder="1" applyAlignment="1" applyProtection="1">
      <alignment vertical="center"/>
    </xf>
    <xf numFmtId="10" fontId="42" fillId="3" borderId="153" xfId="17" applyNumberFormat="1" applyFont="1" applyFill="1" applyBorder="1" applyAlignment="1" applyProtection="1">
      <alignment vertical="center"/>
      <protection locked="0"/>
    </xf>
    <xf numFmtId="10" fontId="42" fillId="3" borderId="154" xfId="17" applyNumberFormat="1" applyFont="1" applyFill="1" applyBorder="1" applyAlignment="1" applyProtection="1">
      <alignment vertical="center"/>
    </xf>
    <xf numFmtId="10" fontId="42" fillId="3" borderId="155" xfId="17" applyNumberFormat="1" applyFont="1" applyFill="1" applyBorder="1" applyAlignment="1" applyProtection="1">
      <alignment vertical="center"/>
    </xf>
    <xf numFmtId="0" fontId="7" fillId="3" borderId="156" xfId="14" applyFont="1" applyFill="1" applyBorder="1" applyAlignment="1">
      <alignment horizontal="centerContinuous" vertical="center"/>
    </xf>
    <xf numFmtId="0" fontId="5" fillId="3" borderId="141" xfId="14" applyFill="1" applyBorder="1" applyAlignment="1">
      <alignment horizontal="centerContinuous" vertical="center"/>
    </xf>
    <xf numFmtId="0" fontId="5" fillId="3" borderId="141" xfId="14" applyFill="1" applyBorder="1" applyAlignment="1">
      <alignment vertical="center"/>
    </xf>
    <xf numFmtId="10" fontId="42" fillId="3" borderId="141" xfId="17" applyNumberFormat="1" applyFont="1" applyFill="1" applyBorder="1" applyAlignment="1" applyProtection="1">
      <alignment vertical="center"/>
    </xf>
    <xf numFmtId="10" fontId="42" fillId="3" borderId="157" xfId="17" applyNumberFormat="1" applyFont="1" applyFill="1" applyBorder="1" applyAlignment="1" applyProtection="1">
      <alignment vertical="center"/>
      <protection locked="0"/>
    </xf>
    <xf numFmtId="10" fontId="42" fillId="3" borderId="0" xfId="17" applyNumberFormat="1" applyFont="1" applyFill="1" applyBorder="1" applyAlignment="1" applyProtection="1">
      <alignment vertical="center"/>
    </xf>
    <xf numFmtId="40" fontId="48" fillId="15" borderId="158" xfId="14" applyNumberFormat="1" applyFont="1" applyFill="1" applyBorder="1" applyAlignment="1">
      <alignment horizontal="center" vertical="center"/>
    </xf>
    <xf numFmtId="10" fontId="48" fillId="15" borderId="159" xfId="17" applyNumberFormat="1" applyFont="1" applyFill="1" applyBorder="1" applyAlignment="1" applyProtection="1">
      <alignment horizontal="center" vertical="center"/>
    </xf>
    <xf numFmtId="0" fontId="7" fillId="15" borderId="12" xfId="14" applyFont="1" applyFill="1" applyBorder="1" applyAlignment="1" applyProtection="1">
      <alignment horizontal="left" vertical="center"/>
      <protection locked="0"/>
    </xf>
    <xf numFmtId="0" fontId="7" fillId="15" borderId="10" xfId="14" applyFont="1" applyFill="1" applyBorder="1" applyAlignment="1" applyProtection="1">
      <alignment vertical="center"/>
      <protection locked="0"/>
    </xf>
    <xf numFmtId="0" fontId="7" fillId="15" borderId="160" xfId="14" applyFont="1" applyFill="1" applyBorder="1" applyAlignment="1" applyProtection="1">
      <alignment vertical="center"/>
      <protection locked="0"/>
    </xf>
    <xf numFmtId="0" fontId="7" fillId="15" borderId="10" xfId="14" applyFont="1" applyFill="1" applyBorder="1" applyAlignment="1" applyProtection="1">
      <alignment horizontal="left" vertical="center"/>
      <protection locked="0"/>
    </xf>
    <xf numFmtId="0" fontId="7" fillId="3" borderId="12" xfId="14" applyFont="1" applyFill="1" applyBorder="1" applyAlignment="1">
      <alignment horizontal="left" vertical="center"/>
    </xf>
    <xf numFmtId="0" fontId="7" fillId="3" borderId="10" xfId="14" applyFont="1" applyFill="1" applyBorder="1" applyAlignment="1">
      <alignment vertical="center"/>
    </xf>
    <xf numFmtId="0" fontId="7" fillId="0" borderId="160" xfId="14" applyFont="1" applyBorder="1" applyAlignment="1">
      <alignment vertical="center"/>
    </xf>
    <xf numFmtId="0" fontId="7" fillId="3" borderId="10" xfId="14" applyFont="1" applyFill="1" applyBorder="1" applyAlignment="1">
      <alignment horizontal="left" vertical="center"/>
    </xf>
    <xf numFmtId="0" fontId="7" fillId="3" borderId="13" xfId="14" applyFont="1" applyFill="1" applyBorder="1" applyAlignment="1">
      <alignment vertical="center"/>
    </xf>
    <xf numFmtId="0" fontId="5" fillId="15" borderId="10" xfId="14" applyFill="1" applyBorder="1" applyAlignment="1" applyProtection="1">
      <alignment vertical="center"/>
      <protection locked="0"/>
    </xf>
    <xf numFmtId="0" fontId="5" fillId="15" borderId="13" xfId="14" applyFill="1" applyBorder="1" applyAlignment="1" applyProtection="1">
      <alignment vertical="center"/>
      <protection locked="0"/>
    </xf>
    <xf numFmtId="0" fontId="5" fillId="15" borderId="11" xfId="14" applyFill="1" applyBorder="1" applyAlignment="1" applyProtection="1">
      <alignment vertical="center"/>
      <protection locked="0"/>
    </xf>
    <xf numFmtId="0" fontId="5" fillId="15" borderId="161" xfId="14" applyFill="1" applyBorder="1" applyAlignment="1" applyProtection="1">
      <alignment vertical="center"/>
      <protection locked="0"/>
    </xf>
    <xf numFmtId="0" fontId="5" fillId="3" borderId="11" xfId="14" applyFill="1" applyBorder="1" applyAlignment="1">
      <alignment horizontal="centerContinuous" vertical="center"/>
    </xf>
    <xf numFmtId="0" fontId="5" fillId="0" borderId="161" xfId="14" applyBorder="1" applyAlignment="1">
      <alignment vertical="center"/>
    </xf>
    <xf numFmtId="0" fontId="3" fillId="0" borderId="102" xfId="14" applyFont="1" applyBorder="1" applyAlignment="1">
      <alignment horizontal="left" vertical="center"/>
    </xf>
    <xf numFmtId="1" fontId="3" fillId="0" borderId="88" xfId="14" applyNumberFormat="1" applyFont="1" applyBorder="1" applyAlignment="1">
      <alignment horizontal="center" vertical="center"/>
    </xf>
    <xf numFmtId="49" fontId="24" fillId="0" borderId="3" xfId="0" applyNumberFormat="1" applyFont="1" applyFill="1" applyBorder="1" applyAlignment="1" applyProtection="1">
      <alignment horizontal="centerContinuous" vertical="center"/>
    </xf>
    <xf numFmtId="0" fontId="7" fillId="0" borderId="61" xfId="0" applyFont="1" applyFill="1" applyBorder="1" applyAlignment="1" applyProtection="1">
      <alignment horizontal="left" vertical="center"/>
      <protection locked="0"/>
    </xf>
    <xf numFmtId="49" fontId="7" fillId="0" borderId="22" xfId="0" applyNumberFormat="1" applyFont="1" applyFill="1" applyBorder="1" applyAlignment="1" applyProtection="1">
      <alignment horizontal="left" vertical="center"/>
    </xf>
    <xf numFmtId="39" fontId="17" fillId="10" borderId="12" xfId="3" applyNumberFormat="1" applyFont="1" applyFill="1" applyBorder="1" applyAlignment="1" applyProtection="1">
      <alignment horizontal="centerContinuous" vertical="center"/>
    </xf>
    <xf numFmtId="49" fontId="22" fillId="9" borderId="14" xfId="0" applyNumberFormat="1" applyFont="1" applyFill="1" applyBorder="1" applyAlignment="1" applyProtection="1">
      <alignment horizontal="center" vertical="center"/>
    </xf>
    <xf numFmtId="0" fontId="36" fillId="0" borderId="39" xfId="7" applyFont="1" applyBorder="1" applyAlignment="1">
      <alignment horizontal="center" vertical="center"/>
    </xf>
    <xf numFmtId="0" fontId="54" fillId="0" borderId="14" xfId="7" applyFont="1" applyBorder="1" applyAlignment="1">
      <alignment vertical="center"/>
    </xf>
    <xf numFmtId="0" fontId="54" fillId="0" borderId="0" xfId="7" applyFont="1" applyBorder="1" applyAlignment="1">
      <alignment vertical="center"/>
    </xf>
    <xf numFmtId="0" fontId="54" fillId="0" borderId="15" xfId="7" applyFont="1" applyBorder="1" applyAlignment="1">
      <alignment vertical="center"/>
    </xf>
    <xf numFmtId="2" fontId="5" fillId="0" borderId="47" xfId="1" quotePrefix="1" applyNumberFormat="1" applyFont="1" applyFill="1" applyBorder="1" applyAlignment="1">
      <alignment horizontal="center" vertical="center"/>
    </xf>
    <xf numFmtId="2" fontId="5" fillId="0" borderId="37" xfId="1" quotePrefix="1" applyNumberFormat="1" applyFill="1" applyBorder="1" applyAlignment="1">
      <alignment horizontal="center" vertical="center"/>
    </xf>
    <xf numFmtId="2" fontId="5" fillId="0" borderId="32" xfId="1" quotePrefix="1" applyNumberFormat="1" applyFill="1" applyBorder="1" applyAlignment="1">
      <alignment horizontal="center" vertical="center"/>
    </xf>
    <xf numFmtId="0" fontId="5" fillId="0" borderId="55" xfId="1" applyFill="1" applyBorder="1" applyAlignment="1">
      <alignment vertical="center" wrapText="1"/>
    </xf>
    <xf numFmtId="0" fontId="7" fillId="0" borderId="46" xfId="1" applyFont="1" applyFill="1" applyBorder="1" applyAlignment="1">
      <alignment vertical="center"/>
    </xf>
    <xf numFmtId="4" fontId="7" fillId="0" borderId="67" xfId="1" applyNumberFormat="1" applyFont="1" applyFill="1" applyBorder="1" applyAlignment="1">
      <alignment vertical="center"/>
    </xf>
    <xf numFmtId="2" fontId="5" fillId="0" borderId="40" xfId="1" applyNumberFormat="1" applyFill="1" applyBorder="1" applyAlignment="1">
      <alignment horizontal="center" vertical="center"/>
    </xf>
    <xf numFmtId="2" fontId="5" fillId="0" borderId="24" xfId="1" applyNumberFormat="1" applyFont="1" applyFill="1" applyBorder="1" applyAlignment="1">
      <alignment horizontal="center" vertical="center"/>
    </xf>
    <xf numFmtId="0" fontId="5" fillId="0" borderId="79" xfId="1" applyFill="1" applyBorder="1" applyAlignment="1">
      <alignment horizontal="left" vertical="center" wrapText="1"/>
    </xf>
    <xf numFmtId="0" fontId="5" fillId="0" borderId="54" xfId="1" applyFill="1" applyBorder="1" applyAlignment="1">
      <alignment vertical="center"/>
    </xf>
    <xf numFmtId="0" fontId="5" fillId="0" borderId="55" xfId="1" applyFill="1" applyBorder="1" applyAlignment="1">
      <alignment horizontal="left" vertical="center" wrapText="1"/>
    </xf>
    <xf numFmtId="0" fontId="5" fillId="0" borderId="46" xfId="1" applyFill="1" applyBorder="1" applyAlignment="1">
      <alignment vertical="center"/>
    </xf>
    <xf numFmtId="167" fontId="5" fillId="0" borderId="34" xfId="1" applyNumberFormat="1" applyFill="1" applyBorder="1" applyAlignment="1">
      <alignment horizontal="center" vertical="center"/>
    </xf>
    <xf numFmtId="0" fontId="5" fillId="0" borderId="8" xfId="1" applyFill="1" applyBorder="1" applyAlignment="1">
      <alignment vertical="center"/>
    </xf>
    <xf numFmtId="0" fontId="7" fillId="0" borderId="23" xfId="1" applyFont="1" applyFill="1" applyBorder="1" applyAlignment="1">
      <alignment vertical="center" wrapText="1"/>
    </xf>
    <xf numFmtId="0" fontId="5" fillId="0" borderId="26" xfId="1" applyFill="1" applyBorder="1" applyAlignment="1">
      <alignment vertical="center"/>
    </xf>
    <xf numFmtId="0" fontId="8" fillId="0" borderId="23" xfId="1" applyFont="1" applyFill="1" applyBorder="1" applyAlignment="1">
      <alignment vertical="center" wrapText="1"/>
    </xf>
    <xf numFmtId="2" fontId="5" fillId="0" borderId="6" xfId="1" applyNumberFormat="1" applyFill="1" applyBorder="1" applyAlignment="1">
      <alignment horizontal="center" vertical="center"/>
    </xf>
    <xf numFmtId="2" fontId="5" fillId="0" borderId="32" xfId="1" applyNumberFormat="1" applyFont="1" applyFill="1" applyBorder="1" applyAlignment="1">
      <alignment horizontal="center" vertical="center"/>
    </xf>
    <xf numFmtId="2" fontId="5" fillId="0" borderId="37" xfId="1" applyNumberFormat="1" applyFont="1" applyFill="1" applyBorder="1" applyAlignment="1">
      <alignment horizontal="center" vertical="center"/>
    </xf>
    <xf numFmtId="0" fontId="5" fillId="0" borderId="56" xfId="1" applyFill="1" applyBorder="1" applyAlignment="1">
      <alignment horizontal="left" vertical="center" wrapText="1"/>
    </xf>
    <xf numFmtId="0" fontId="5" fillId="0" borderId="34" xfId="1" applyFont="1" applyFill="1" applyBorder="1" applyAlignment="1">
      <alignment horizontal="left" vertical="center" wrapText="1"/>
    </xf>
    <xf numFmtId="0" fontId="5" fillId="0" borderId="48" xfId="1" applyFont="1" applyFill="1" applyBorder="1" applyAlignment="1">
      <alignment horizontal="left" vertical="center" wrapText="1"/>
    </xf>
    <xf numFmtId="0" fontId="5" fillId="0" borderId="84" xfId="1" applyFill="1" applyBorder="1" applyAlignment="1">
      <alignment horizontal="left" vertical="center" wrapText="1"/>
    </xf>
    <xf numFmtId="0" fontId="62" fillId="2" borderId="6" xfId="0" applyFont="1" applyFill="1" applyBorder="1" applyAlignment="1">
      <alignment horizontal="center" vertical="top" wrapText="1"/>
    </xf>
    <xf numFmtId="0" fontId="62" fillId="17" borderId="6" xfId="0" applyFont="1" applyFill="1" applyBorder="1" applyAlignment="1">
      <alignment horizontal="center" vertical="top" wrapText="1"/>
    </xf>
    <xf numFmtId="4" fontId="61" fillId="2" borderId="6" xfId="0" applyNumberFormat="1" applyFont="1" applyFill="1" applyBorder="1" applyAlignment="1">
      <alignment horizontal="center" vertical="center" shrinkToFit="1"/>
    </xf>
    <xf numFmtId="4" fontId="61" fillId="17" borderId="6" xfId="0" applyNumberFormat="1" applyFont="1" applyFill="1" applyBorder="1" applyAlignment="1">
      <alignment horizontal="center" vertical="center" shrinkToFit="1"/>
    </xf>
    <xf numFmtId="4" fontId="61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6" applyNumberFormat="1" applyFont="1" applyFill="1"/>
    <xf numFmtId="0" fontId="63" fillId="0" borderId="0" xfId="25"/>
    <xf numFmtId="43" fontId="0" fillId="0" borderId="0" xfId="13" applyFont="1" applyFill="1"/>
    <xf numFmtId="0" fontId="3" fillId="2" borderId="0" xfId="0" applyFont="1" applyFill="1"/>
    <xf numFmtId="180" fontId="3" fillId="2" borderId="0" xfId="0" applyNumberFormat="1" applyFont="1" applyFill="1"/>
    <xf numFmtId="0" fontId="0" fillId="2" borderId="0" xfId="0" applyFill="1" applyAlignment="1">
      <alignment horizontal="center" vertical="center" wrapText="1"/>
    </xf>
    <xf numFmtId="17" fontId="49" fillId="0" borderId="22" xfId="0" applyNumberFormat="1" applyFont="1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83" xfId="0" applyBorder="1"/>
    <xf numFmtId="0" fontId="0" fillId="0" borderId="10" xfId="0" applyBorder="1"/>
    <xf numFmtId="0" fontId="3" fillId="2" borderId="115" xfId="0" applyFont="1" applyFill="1" applyBorder="1" applyAlignment="1">
      <alignment horizontal="centerContinuous" wrapText="1"/>
    </xf>
    <xf numFmtId="0" fontId="0" fillId="2" borderId="83" xfId="0" applyFill="1" applyBorder="1" applyAlignment="1">
      <alignment horizontal="centerContinuous"/>
    </xf>
    <xf numFmtId="0" fontId="3" fillId="17" borderId="115" xfId="0" applyFont="1" applyFill="1" applyBorder="1" applyAlignment="1">
      <alignment horizontal="centerContinuous" wrapText="1"/>
    </xf>
    <xf numFmtId="0" fontId="0" fillId="17" borderId="83" xfId="0" applyFill="1" applyBorder="1" applyAlignment="1">
      <alignment horizontal="centerContinuous"/>
    </xf>
    <xf numFmtId="0" fontId="3" fillId="0" borderId="84" xfId="0" applyFont="1" applyBorder="1" applyAlignment="1">
      <alignment horizontal="center" vertical="center" wrapText="1"/>
    </xf>
    <xf numFmtId="1" fontId="62" fillId="0" borderId="32" xfId="0" applyNumberFormat="1" applyFont="1" applyBorder="1" applyAlignment="1">
      <alignment horizontal="left" vertical="top"/>
    </xf>
    <xf numFmtId="0" fontId="0" fillId="0" borderId="0" xfId="0" applyBorder="1"/>
    <xf numFmtId="0" fontId="62" fillId="0" borderId="34" xfId="0" applyFont="1" applyBorder="1" applyAlignment="1">
      <alignment horizontal="center" vertical="top" wrapText="1"/>
    </xf>
    <xf numFmtId="1" fontId="61" fillId="0" borderId="32" xfId="0" applyNumberFormat="1" applyFont="1" applyBorder="1" applyAlignment="1">
      <alignment shrinkToFit="1"/>
    </xf>
    <xf numFmtId="0" fontId="0" fillId="0" borderId="0" xfId="0" applyBorder="1" applyAlignment="1">
      <alignment horizontal="center" vertical="center"/>
    </xf>
    <xf numFmtId="4" fontId="61" fillId="4" borderId="34" xfId="0" applyNumberFormat="1" applyFont="1" applyFill="1" applyBorder="1" applyAlignment="1">
      <alignment horizontal="center" vertical="center" shrinkToFit="1"/>
    </xf>
    <xf numFmtId="4" fontId="61" fillId="2" borderId="34" xfId="0" applyNumberFormat="1" applyFont="1" applyFill="1" applyBorder="1" applyAlignment="1">
      <alignment horizontal="center" vertical="center" shrinkToFit="1"/>
    </xf>
    <xf numFmtId="1" fontId="61" fillId="0" borderId="27" xfId="0" applyNumberFormat="1" applyFont="1" applyBorder="1" applyAlignment="1">
      <alignment shrinkToFit="1"/>
    </xf>
    <xf numFmtId="0" fontId="5" fillId="0" borderId="25" xfId="0" applyFont="1" applyBorder="1" applyAlignment="1">
      <alignment wrapText="1"/>
    </xf>
    <xf numFmtId="0" fontId="5" fillId="0" borderId="25" xfId="0" applyFont="1" applyBorder="1" applyAlignment="1">
      <alignment horizontal="center" wrapText="1"/>
    </xf>
    <xf numFmtId="4" fontId="61" fillId="0" borderId="25" xfId="0" applyNumberFormat="1" applyFont="1" applyBorder="1" applyAlignment="1">
      <alignment horizontal="right" vertical="top" shrinkToFit="1"/>
    </xf>
    <xf numFmtId="0" fontId="0" fillId="0" borderId="11" xfId="0" applyBorder="1"/>
    <xf numFmtId="4" fontId="61" fillId="2" borderId="25" xfId="0" applyNumberFormat="1" applyFont="1" applyFill="1" applyBorder="1" applyAlignment="1">
      <alignment horizontal="center" vertical="center" shrinkToFit="1"/>
    </xf>
    <xf numFmtId="4" fontId="61" fillId="17" borderId="25" xfId="0" applyNumberFormat="1" applyFont="1" applyFill="1" applyBorder="1" applyAlignment="1">
      <alignment horizontal="center" vertical="center" shrinkToFit="1"/>
    </xf>
    <xf numFmtId="4" fontId="61" fillId="0" borderId="25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4" fontId="61" fillId="4" borderId="86" xfId="0" applyNumberFormat="1" applyFont="1" applyFill="1" applyBorder="1" applyAlignment="1">
      <alignment horizontal="center" vertical="center" shrinkToFit="1"/>
    </xf>
    <xf numFmtId="2" fontId="5" fillId="0" borderId="0" xfId="0" applyNumberFormat="1" applyFont="1" applyFill="1"/>
    <xf numFmtId="0" fontId="5" fillId="0" borderId="18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6" xfId="1" applyBorder="1" applyAlignment="1">
      <alignment vertical="center"/>
    </xf>
    <xf numFmtId="2" fontId="5" fillId="0" borderId="45" xfId="1" quotePrefix="1" applyNumberForma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2" fontId="5" fillId="0" borderId="32" xfId="1" applyNumberForma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9" xfId="1" applyFont="1" applyFill="1" applyBorder="1" applyAlignment="1">
      <alignment vertical="center" wrapText="1"/>
    </xf>
    <xf numFmtId="4" fontId="7" fillId="0" borderId="13" xfId="1" applyNumberFormat="1" applyFont="1" applyFill="1" applyBorder="1" applyAlignment="1" applyProtection="1">
      <alignment vertical="center"/>
    </xf>
    <xf numFmtId="4" fontId="5" fillId="5" borderId="40" xfId="0" applyNumberFormat="1" applyFont="1" applyFill="1" applyBorder="1" applyAlignment="1" applyProtection="1">
      <alignment vertical="center"/>
      <protection locked="0"/>
    </xf>
    <xf numFmtId="4" fontId="5" fillId="5" borderId="41" xfId="0" applyNumberFormat="1" applyFont="1" applyFill="1" applyBorder="1" applyAlignment="1" applyProtection="1">
      <alignment vertical="center"/>
      <protection locked="0"/>
    </xf>
    <xf numFmtId="0" fontId="5" fillId="0" borderId="55" xfId="1" applyFont="1" applyFill="1" applyBorder="1" applyAlignment="1">
      <alignment vertical="center"/>
    </xf>
    <xf numFmtId="0" fontId="7" fillId="0" borderId="55" xfId="1" applyFont="1" applyFill="1" applyBorder="1" applyAlignment="1">
      <alignment vertical="center"/>
    </xf>
    <xf numFmtId="0" fontId="7" fillId="0" borderId="34" xfId="1" applyFont="1" applyFill="1" applyBorder="1" applyAlignment="1">
      <alignment vertical="center" wrapText="1"/>
    </xf>
    <xf numFmtId="0" fontId="5" fillId="0" borderId="55" xfId="1" applyBorder="1" applyAlignment="1">
      <alignment vertical="center" wrapText="1"/>
    </xf>
    <xf numFmtId="0" fontId="5" fillId="0" borderId="55" xfId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Continuous" vertical="center" wrapText="1"/>
    </xf>
    <xf numFmtId="2" fontId="5" fillId="0" borderId="83" xfId="1" applyNumberFormat="1" applyBorder="1" applyAlignment="1">
      <alignment horizontal="center" vertical="center"/>
    </xf>
    <xf numFmtId="167" fontId="5" fillId="0" borderId="84" xfId="1" applyNumberFormat="1" applyBorder="1" applyAlignment="1">
      <alignment horizontal="center" vertical="center"/>
    </xf>
    <xf numFmtId="2" fontId="5" fillId="0" borderId="81" xfId="1" applyNumberFormat="1" applyBorder="1" applyAlignment="1">
      <alignment horizontal="center" vertical="center"/>
    </xf>
    <xf numFmtId="2" fontId="5" fillId="0" borderId="45" xfId="1" applyNumberFormat="1" applyBorder="1" applyAlignment="1">
      <alignment horizontal="center" vertical="center"/>
    </xf>
    <xf numFmtId="0" fontId="5" fillId="0" borderId="34" xfId="1" applyBorder="1" applyAlignment="1">
      <alignment horizontal="center" vertical="center"/>
    </xf>
    <xf numFmtId="2" fontId="5" fillId="0" borderId="37" xfId="1" applyNumberFormat="1" applyBorder="1" applyAlignment="1">
      <alignment horizontal="center" vertical="center"/>
    </xf>
    <xf numFmtId="167" fontId="5" fillId="0" borderId="34" xfId="1" applyNumberFormat="1" applyBorder="1" applyAlignment="1">
      <alignment horizontal="center" vertical="center"/>
    </xf>
    <xf numFmtId="2" fontId="5" fillId="0" borderId="85" xfId="1" applyNumberFormat="1" applyBorder="1" applyAlignment="1">
      <alignment horizontal="center" vertical="center"/>
    </xf>
    <xf numFmtId="167" fontId="5" fillId="0" borderId="86" xfId="1" applyNumberFormat="1" applyBorder="1" applyAlignment="1">
      <alignment horizontal="center" vertical="center"/>
    </xf>
    <xf numFmtId="2" fontId="5" fillId="0" borderId="27" xfId="1" applyNumberFormat="1" applyBorder="1" applyAlignment="1">
      <alignment horizontal="center" vertical="center"/>
    </xf>
    <xf numFmtId="2" fontId="5" fillId="0" borderId="88" xfId="1" applyNumberFormat="1" applyBorder="1" applyAlignment="1">
      <alignment horizontal="center" vertical="center"/>
    </xf>
    <xf numFmtId="2" fontId="5" fillId="0" borderId="41" xfId="1" applyNumberFormat="1" applyBorder="1" applyAlignment="1">
      <alignment horizontal="center" vertical="center"/>
    </xf>
    <xf numFmtId="181" fontId="5" fillId="0" borderId="4" xfId="1" applyNumberFormat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164" fontId="3" fillId="2" borderId="0" xfId="3" applyFont="1" applyFill="1" applyAlignment="1">
      <alignment vertical="center"/>
    </xf>
    <xf numFmtId="164" fontId="3" fillId="0" borderId="0" xfId="3" applyFont="1" applyFill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1" fontId="5" fillId="2" borderId="0" xfId="0" applyNumberFormat="1" applyFont="1" applyFill="1" applyAlignment="1" applyProtection="1">
      <alignment vertical="center"/>
      <protection locked="0"/>
    </xf>
    <xf numFmtId="1" fontId="5" fillId="2" borderId="0" xfId="0" applyNumberFormat="1" applyFont="1" applyFill="1" applyAlignment="1">
      <alignment vertical="center"/>
    </xf>
    <xf numFmtId="0" fontId="22" fillId="0" borderId="32" xfId="0" quotePrefix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22" fillId="0" borderId="32" xfId="0" quotePrefix="1" applyNumberFormat="1" applyFont="1" applyFill="1" applyBorder="1" applyAlignment="1" applyProtection="1">
      <alignment horizontal="center" vertical="center"/>
      <protection locked="0"/>
    </xf>
    <xf numFmtId="49" fontId="22" fillId="7" borderId="6" xfId="0" quotePrefix="1" applyNumberFormat="1" applyFont="1" applyFill="1" applyBorder="1" applyAlignment="1" applyProtection="1">
      <alignment horizontal="center" vertical="center"/>
      <protection locked="0"/>
    </xf>
    <xf numFmtId="49" fontId="22" fillId="0" borderId="27" xfId="0" quotePrefix="1" applyNumberFormat="1" applyFont="1" applyFill="1" applyBorder="1" applyAlignment="1" applyProtection="1">
      <alignment horizontal="center" vertical="center"/>
      <protection locked="0"/>
    </xf>
    <xf numFmtId="49" fontId="22" fillId="7" borderId="25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53" xfId="1" applyFill="1" applyBorder="1" applyAlignment="1">
      <alignment vertical="center" wrapText="1"/>
    </xf>
    <xf numFmtId="0" fontId="5" fillId="0" borderId="33" xfId="1" applyBorder="1" applyAlignment="1">
      <alignment vertical="center"/>
    </xf>
    <xf numFmtId="2" fontId="5" fillId="0" borderId="47" xfId="1" applyNumberFormat="1" applyBorder="1" applyAlignment="1">
      <alignment horizontal="center" vertical="center"/>
    </xf>
    <xf numFmtId="167" fontId="5" fillId="0" borderId="48" xfId="1" applyNumberFormat="1" applyFill="1" applyBorder="1" applyAlignment="1">
      <alignment horizontal="center" vertical="center"/>
    </xf>
    <xf numFmtId="2" fontId="5" fillId="0" borderId="31" xfId="1" applyNumberFormat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38" xfId="0" applyNumberFormat="1" applyFont="1" applyFill="1" applyBorder="1" applyAlignment="1" applyProtection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4" borderId="46" xfId="1" applyFill="1" applyBorder="1" applyAlignment="1">
      <alignment vertical="center"/>
    </xf>
    <xf numFmtId="2" fontId="5" fillId="0" borderId="6" xfId="1" applyNumberFormat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2" borderId="40" xfId="2" applyFont="1" applyFill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 applyProtection="1">
      <alignment vertical="center"/>
      <protection locked="0"/>
    </xf>
    <xf numFmtId="4" fontId="5" fillId="5" borderId="5" xfId="0" applyNumberFormat="1" applyFont="1" applyFill="1" applyBorder="1" applyAlignment="1" applyProtection="1">
      <alignment vertical="center"/>
      <protection locked="0"/>
    </xf>
    <xf numFmtId="4" fontId="5" fillId="0" borderId="5" xfId="1" applyNumberFormat="1" applyBorder="1" applyAlignment="1">
      <alignment vertical="center"/>
    </xf>
    <xf numFmtId="4" fontId="5" fillId="0" borderId="30" xfId="1" applyNumberFormat="1" applyBorder="1" applyAlignment="1">
      <alignment vertical="center"/>
    </xf>
    <xf numFmtId="4" fontId="5" fillId="0" borderId="4" xfId="1" applyNumberFormat="1" applyBorder="1" applyAlignment="1">
      <alignment vertical="center"/>
    </xf>
    <xf numFmtId="0" fontId="5" fillId="2" borderId="81" xfId="2" applyFont="1" applyFill="1" applyBorder="1" applyAlignment="1">
      <alignment horizontal="center" vertical="center"/>
    </xf>
    <xf numFmtId="0" fontId="5" fillId="0" borderId="82" xfId="2" applyFont="1" applyFill="1" applyBorder="1" applyAlignment="1">
      <alignment horizontal="center" vertical="center"/>
    </xf>
    <xf numFmtId="2" fontId="5" fillId="0" borderId="82" xfId="1" applyNumberFormat="1" applyBorder="1" applyAlignment="1">
      <alignment horizontal="center" vertical="center"/>
    </xf>
    <xf numFmtId="4" fontId="5" fillId="5" borderId="37" xfId="0" applyNumberFormat="1" applyFont="1" applyFill="1" applyBorder="1" applyAlignment="1" applyProtection="1">
      <alignment vertical="center"/>
      <protection locked="0"/>
    </xf>
    <xf numFmtId="4" fontId="5" fillId="0" borderId="31" xfId="1" applyNumberFormat="1" applyBorder="1" applyAlignment="1">
      <alignment vertical="center"/>
    </xf>
    <xf numFmtId="4" fontId="5" fillId="0" borderId="48" xfId="1" applyNumberFormat="1" applyBorder="1" applyAlignment="1">
      <alignment vertical="center"/>
    </xf>
    <xf numFmtId="4" fontId="5" fillId="5" borderId="81" xfId="0" applyNumberFormat="1" applyFont="1" applyFill="1" applyBorder="1" applyAlignment="1" applyProtection="1">
      <alignment vertical="center"/>
      <protection locked="0"/>
    </xf>
    <xf numFmtId="4" fontId="5" fillId="5" borderId="82" xfId="0" applyNumberFormat="1" applyFont="1" applyFill="1" applyBorder="1" applyAlignment="1" applyProtection="1">
      <alignment vertical="center"/>
      <protection locked="0"/>
    </xf>
    <xf numFmtId="0" fontId="5" fillId="2" borderId="27" xfId="2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2" fontId="5" fillId="0" borderId="27" xfId="1" quotePrefix="1" applyNumberFormat="1" applyBorder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2" fontId="5" fillId="0" borderId="25" xfId="1" applyNumberFormat="1" applyBorder="1" applyAlignment="1">
      <alignment horizontal="center" vertical="center"/>
    </xf>
    <xf numFmtId="4" fontId="5" fillId="13" borderId="87" xfId="0" applyNumberFormat="1" applyFont="1" applyFill="1" applyBorder="1" applyAlignment="1" applyProtection="1">
      <alignment vertical="center"/>
      <protection locked="0"/>
    </xf>
    <xf numFmtId="4" fontId="5" fillId="5" borderId="24" xfId="0" applyNumberFormat="1" applyFont="1" applyFill="1" applyBorder="1" applyAlignment="1" applyProtection="1">
      <alignment vertical="center"/>
      <protection locked="0"/>
    </xf>
    <xf numFmtId="4" fontId="5" fillId="0" borderId="25" xfId="1" applyNumberFormat="1" applyBorder="1" applyAlignment="1">
      <alignment vertical="center"/>
    </xf>
    <xf numFmtId="4" fontId="5" fillId="0" borderId="86" xfId="1" applyNumberFormat="1" applyBorder="1" applyAlignment="1">
      <alignment vertical="center"/>
    </xf>
    <xf numFmtId="4" fontId="5" fillId="2" borderId="87" xfId="0" applyNumberFormat="1" applyFont="1" applyFill="1" applyBorder="1" applyAlignment="1" applyProtection="1">
      <alignment vertical="center"/>
      <protection locked="0"/>
    </xf>
    <xf numFmtId="167" fontId="5" fillId="0" borderId="192" xfId="0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2" fontId="5" fillId="0" borderId="45" xfId="1" applyNumberFormat="1" applyFill="1" applyBorder="1" applyAlignment="1">
      <alignment horizontal="center" vertical="center"/>
    </xf>
    <xf numFmtId="167" fontId="5" fillId="0" borderId="34" xfId="1" quotePrefix="1" applyNumberFormat="1" applyFill="1" applyBorder="1" applyAlignment="1">
      <alignment horizontal="center" vertical="center"/>
    </xf>
    <xf numFmtId="167" fontId="5" fillId="0" borderId="34" xfId="1" quotePrefix="1" applyNumberFormat="1" applyBorder="1" applyAlignment="1">
      <alignment horizontal="center" vertical="center"/>
    </xf>
    <xf numFmtId="2" fontId="7" fillId="0" borderId="6" xfId="1" applyNumberFormat="1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81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4" fontId="5" fillId="0" borderId="82" xfId="1" applyNumberFormat="1" applyBorder="1" applyAlignment="1">
      <alignment vertical="center"/>
    </xf>
    <xf numFmtId="4" fontId="5" fillId="0" borderId="84" xfId="1" applyNumberFormat="1" applyBorder="1" applyAlignment="1">
      <alignment vertical="center"/>
    </xf>
    <xf numFmtId="4" fontId="5" fillId="0" borderId="32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6" xfId="1" applyNumberFormat="1" applyBorder="1" applyAlignment="1">
      <alignment vertical="center"/>
    </xf>
    <xf numFmtId="4" fontId="5" fillId="0" borderId="34" xfId="1" applyNumberFormat="1" applyBorder="1" applyAlignment="1">
      <alignment vertical="center"/>
    </xf>
    <xf numFmtId="4" fontId="5" fillId="0" borderId="24" xfId="0" applyNumberFormat="1" applyFont="1" applyBorder="1" applyAlignment="1" applyProtection="1">
      <alignment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0" fontId="5" fillId="2" borderId="87" xfId="0" applyFont="1" applyFill="1" applyBorder="1" applyAlignment="1">
      <alignment horizontal="center" vertical="center"/>
    </xf>
    <xf numFmtId="4" fontId="5" fillId="0" borderId="25" xfId="0" applyNumberFormat="1" applyFont="1" applyBorder="1" applyAlignment="1">
      <alignment vertical="center"/>
    </xf>
    <xf numFmtId="4" fontId="5" fillId="0" borderId="2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vertical="center"/>
    </xf>
    <xf numFmtId="2" fontId="5" fillId="0" borderId="83" xfId="1" applyNumberFormat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/>
    </xf>
    <xf numFmtId="0" fontId="5" fillId="2" borderId="46" xfId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0" fontId="3" fillId="2" borderId="105" xfId="17" applyNumberFormat="1" applyFont="1" applyFill="1" applyBorder="1" applyAlignment="1" applyProtection="1">
      <alignment horizontal="center" vertical="center"/>
    </xf>
    <xf numFmtId="17" fontId="5" fillId="0" borderId="0" xfId="0" quotePrefix="1" applyNumberFormat="1" applyFont="1" applyFill="1" applyAlignment="1">
      <alignment vertical="center"/>
    </xf>
    <xf numFmtId="2" fontId="5" fillId="2" borderId="45" xfId="1" quotePrefix="1" applyNumberFormat="1" applyFont="1" applyFill="1" applyBorder="1" applyAlignment="1">
      <alignment horizontal="center" vertical="center"/>
    </xf>
    <xf numFmtId="2" fontId="5" fillId="2" borderId="27" xfId="1" quotePrefix="1" applyNumberFormat="1" applyFill="1" applyBorder="1" applyAlignment="1">
      <alignment horizontal="center" vertical="center"/>
    </xf>
    <xf numFmtId="2" fontId="5" fillId="2" borderId="45" xfId="1" applyNumberFormat="1" applyFill="1" applyBorder="1" applyAlignment="1">
      <alignment horizontal="center" vertical="center"/>
    </xf>
    <xf numFmtId="2" fontId="5" fillId="2" borderId="85" xfId="1" applyNumberFormat="1" applyFill="1" applyBorder="1" applyAlignment="1">
      <alignment horizontal="center" vertical="center"/>
    </xf>
    <xf numFmtId="2" fontId="5" fillId="2" borderId="45" xfId="1" applyNumberFormat="1" applyFont="1" applyFill="1" applyBorder="1" applyAlignment="1">
      <alignment horizontal="center" vertical="center"/>
    </xf>
    <xf numFmtId="4" fontId="5" fillId="2" borderId="31" xfId="0" applyNumberFormat="1" applyFont="1" applyFill="1" applyBorder="1" applyAlignment="1" applyProtection="1">
      <alignment vertical="center"/>
      <protection locked="0"/>
    </xf>
    <xf numFmtId="49" fontId="64" fillId="0" borderId="32" xfId="0" quotePrefix="1" applyNumberFormat="1" applyFont="1" applyFill="1" applyBorder="1" applyAlignment="1" applyProtection="1">
      <alignment horizontal="center" vertical="center"/>
      <protection locked="0"/>
    </xf>
    <xf numFmtId="49" fontId="64" fillId="7" borderId="6" xfId="0" quotePrefix="1" applyNumberFormat="1" applyFont="1" applyFill="1" applyBorder="1" applyAlignment="1" applyProtection="1">
      <alignment horizontal="center" vertical="center"/>
      <protection locked="0"/>
    </xf>
    <xf numFmtId="0" fontId="65" fillId="7" borderId="48" xfId="0" applyFont="1" applyFill="1" applyBorder="1" applyAlignment="1" applyProtection="1">
      <alignment horizontal="left" vertical="center" wrapText="1"/>
      <protection locked="0"/>
    </xf>
    <xf numFmtId="4" fontId="5" fillId="2" borderId="6" xfId="1" applyNumberFormat="1" applyFont="1" applyFill="1" applyBorder="1" applyAlignment="1">
      <alignment vertical="center"/>
    </xf>
    <xf numFmtId="4" fontId="5" fillId="2" borderId="34" xfId="1" applyNumberFormat="1" applyFont="1" applyFill="1" applyBorder="1" applyAlignment="1">
      <alignment vertical="center"/>
    </xf>
    <xf numFmtId="182" fontId="5" fillId="0" borderId="0" xfId="14" applyNumberFormat="1" applyAlignment="1" applyProtection="1">
      <alignment vertical="center"/>
      <protection locked="0"/>
    </xf>
    <xf numFmtId="49" fontId="7" fillId="6" borderId="16" xfId="0" applyNumberFormat="1" applyFont="1" applyFill="1" applyBorder="1" applyAlignment="1" applyProtection="1">
      <alignment horizontal="center" vertical="center"/>
    </xf>
    <xf numFmtId="49" fontId="7" fillId="6" borderId="5" xfId="0" applyNumberFormat="1" applyFont="1" applyFill="1" applyBorder="1" applyAlignment="1" applyProtection="1">
      <alignment horizontal="center" vertical="center"/>
    </xf>
    <xf numFmtId="0" fontId="15" fillId="6" borderId="17" xfId="0" applyFont="1" applyFill="1" applyBorder="1" applyAlignment="1" applyProtection="1">
      <alignment vertical="center" wrapText="1"/>
    </xf>
    <xf numFmtId="0" fontId="20" fillId="6" borderId="29" xfId="0" applyFont="1" applyFill="1" applyBorder="1" applyAlignment="1" applyProtection="1">
      <alignment horizontal="center" vertical="center"/>
    </xf>
    <xf numFmtId="4" fontId="7" fillId="6" borderId="3" xfId="1" applyNumberFormat="1" applyFont="1" applyFill="1" applyBorder="1" applyAlignment="1" applyProtection="1">
      <alignment vertical="center"/>
    </xf>
    <xf numFmtId="4" fontId="7" fillId="6" borderId="28" xfId="1" applyNumberFormat="1" applyFont="1" applyFill="1" applyBorder="1" applyAlignment="1" applyProtection="1">
      <alignment vertical="center"/>
    </xf>
    <xf numFmtId="4" fontId="7" fillId="6" borderId="39" xfId="1" applyNumberFormat="1" applyFont="1" applyFill="1" applyBorder="1" applyAlignment="1" applyProtection="1">
      <alignment vertical="center"/>
    </xf>
    <xf numFmtId="4" fontId="7" fillId="6" borderId="29" xfId="1" applyNumberFormat="1" applyFont="1" applyFill="1" applyBorder="1" applyAlignment="1" applyProtection="1">
      <alignment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55" xfId="1" applyFont="1" applyFill="1" applyBorder="1" applyAlignment="1">
      <alignment vertical="center" wrapText="1"/>
    </xf>
    <xf numFmtId="0" fontId="5" fillId="6" borderId="46" xfId="1" applyFont="1" applyFill="1" applyBorder="1" applyAlignment="1">
      <alignment vertical="center"/>
    </xf>
    <xf numFmtId="4" fontId="5" fillId="6" borderId="31" xfId="0" applyNumberFormat="1" applyFont="1" applyFill="1" applyBorder="1" applyAlignment="1" applyProtection="1">
      <alignment vertical="center"/>
      <protection locked="0"/>
    </xf>
    <xf numFmtId="4" fontId="5" fillId="6" borderId="6" xfId="1" applyNumberFormat="1" applyFont="1" applyFill="1" applyBorder="1" applyAlignment="1">
      <alignment vertical="center"/>
    </xf>
    <xf numFmtId="4" fontId="5" fillId="6" borderId="34" xfId="1" applyNumberFormat="1" applyFont="1" applyFill="1" applyBorder="1" applyAlignment="1">
      <alignment vertical="center"/>
    </xf>
    <xf numFmtId="4" fontId="5" fillId="6" borderId="4" xfId="1" applyNumberFormat="1" applyFont="1" applyFill="1" applyBorder="1" applyAlignment="1">
      <alignment vertical="center"/>
    </xf>
    <xf numFmtId="0" fontId="5" fillId="6" borderId="55" xfId="1" applyFill="1" applyBorder="1" applyAlignment="1">
      <alignment vertical="center" wrapText="1"/>
    </xf>
    <xf numFmtId="4" fontId="5" fillId="6" borderId="32" xfId="0" applyNumberFormat="1" applyFont="1" applyFill="1" applyBorder="1" applyAlignment="1" applyProtection="1">
      <alignment vertical="center"/>
      <protection locked="0"/>
    </xf>
    <xf numFmtId="4" fontId="5" fillId="6" borderId="6" xfId="0" applyNumberFormat="1" applyFont="1" applyFill="1" applyBorder="1" applyAlignment="1" applyProtection="1">
      <alignment vertical="center"/>
      <protection locked="0"/>
    </xf>
    <xf numFmtId="0" fontId="5" fillId="6" borderId="55" xfId="1" quotePrefix="1" applyFont="1" applyFill="1" applyBorder="1" applyAlignment="1">
      <alignment horizontal="left" vertical="center" wrapText="1"/>
    </xf>
    <xf numFmtId="0" fontId="5" fillId="6" borderId="46" xfId="1" quotePrefix="1" applyFont="1" applyFill="1" applyBorder="1" applyAlignment="1">
      <alignment horizontal="left" vertical="center"/>
    </xf>
    <xf numFmtId="49" fontId="22" fillId="6" borderId="32" xfId="0" quotePrefix="1" applyNumberFormat="1" applyFont="1" applyFill="1" applyBorder="1" applyAlignment="1" applyProtection="1">
      <alignment horizontal="center" vertical="center"/>
      <protection locked="0"/>
    </xf>
    <xf numFmtId="49" fontId="22" fillId="6" borderId="6" xfId="0" quotePrefix="1" applyNumberFormat="1" applyFont="1" applyFill="1" applyBorder="1" applyAlignment="1" applyProtection="1">
      <alignment horizontal="center" vertical="center"/>
      <protection locked="0"/>
    </xf>
    <xf numFmtId="0" fontId="5" fillId="6" borderId="48" xfId="0" applyFont="1" applyFill="1" applyBorder="1" applyAlignment="1" applyProtection="1">
      <alignment horizontal="left" vertical="center" wrapText="1"/>
      <protection locked="0"/>
    </xf>
    <xf numFmtId="0" fontId="7" fillId="6" borderId="55" xfId="1" applyFont="1" applyFill="1" applyBorder="1" applyAlignment="1">
      <alignment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7" fillId="6" borderId="38" xfId="0" applyNumberFormat="1" applyFont="1" applyFill="1" applyBorder="1" applyAlignment="1" applyProtection="1">
      <alignment horizontal="center" vertical="center"/>
    </xf>
    <xf numFmtId="0" fontId="15" fillId="6" borderId="39" xfId="0" applyFont="1" applyFill="1" applyBorder="1" applyAlignment="1" applyProtection="1">
      <alignment vertical="center" wrapText="1"/>
    </xf>
    <xf numFmtId="0" fontId="5" fillId="6" borderId="81" xfId="2" applyFont="1" applyFill="1" applyBorder="1" applyAlignment="1">
      <alignment horizontal="center" vertical="center"/>
    </xf>
    <xf numFmtId="0" fontId="5" fillId="6" borderId="82" xfId="2" applyFont="1" applyFill="1" applyBorder="1" applyAlignment="1">
      <alignment horizontal="center" vertical="center"/>
    </xf>
    <xf numFmtId="0" fontId="5" fillId="6" borderId="23" xfId="1" applyFont="1" applyFill="1" applyBorder="1" applyAlignment="1">
      <alignment vertical="center" wrapText="1"/>
    </xf>
    <xf numFmtId="0" fontId="5" fillId="6" borderId="54" xfId="1" applyFont="1" applyFill="1" applyBorder="1" applyAlignment="1">
      <alignment vertical="center"/>
    </xf>
    <xf numFmtId="0" fontId="5" fillId="6" borderId="27" xfId="2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79" xfId="1" applyFont="1" applyFill="1" applyBorder="1" applyAlignment="1">
      <alignment vertical="center" wrapText="1"/>
    </xf>
    <xf numFmtId="0" fontId="5" fillId="6" borderId="8" xfId="1" applyFont="1" applyFill="1" applyBorder="1" applyAlignment="1">
      <alignment vertical="center"/>
    </xf>
    <xf numFmtId="4" fontId="5" fillId="6" borderId="81" xfId="0" applyNumberFormat="1" applyFont="1" applyFill="1" applyBorder="1" applyAlignment="1" applyProtection="1">
      <alignment vertical="center"/>
      <protection locked="0"/>
    </xf>
    <xf numFmtId="4" fontId="5" fillId="6" borderId="82" xfId="0" applyNumberFormat="1" applyFont="1" applyFill="1" applyBorder="1" applyAlignment="1" applyProtection="1">
      <alignment vertical="center"/>
      <protection locked="0"/>
    </xf>
    <xf numFmtId="4" fontId="5" fillId="6" borderId="82" xfId="1" applyNumberFormat="1" applyFont="1" applyFill="1" applyBorder="1" applyAlignment="1">
      <alignment vertical="center"/>
    </xf>
    <xf numFmtId="4" fontId="5" fillId="6" borderId="84" xfId="1" applyNumberFormat="1" applyFont="1" applyFill="1" applyBorder="1" applyAlignment="1">
      <alignment vertical="center"/>
    </xf>
    <xf numFmtId="4" fontId="5" fillId="6" borderId="87" xfId="0" applyNumberFormat="1" applyFont="1" applyFill="1" applyBorder="1" applyAlignment="1" applyProtection="1">
      <alignment vertical="center"/>
      <protection locked="0"/>
    </xf>
    <xf numFmtId="4" fontId="5" fillId="6" borderId="24" xfId="0" applyNumberFormat="1" applyFont="1" applyFill="1" applyBorder="1" applyAlignment="1" applyProtection="1">
      <alignment vertical="center"/>
      <protection locked="0"/>
    </xf>
    <xf numFmtId="4" fontId="5" fillId="6" borderId="25" xfId="1" applyNumberFormat="1" applyFont="1" applyFill="1" applyBorder="1" applyAlignment="1">
      <alignment vertical="center"/>
    </xf>
    <xf numFmtId="4" fontId="5" fillId="6" borderId="86" xfId="1" applyNumberFormat="1" applyFont="1" applyFill="1" applyBorder="1" applyAlignment="1">
      <alignment vertical="center"/>
    </xf>
    <xf numFmtId="0" fontId="5" fillId="6" borderId="81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5" fillId="6" borderId="23" xfId="1" applyFill="1" applyBorder="1" applyAlignment="1">
      <alignment vertical="center" wrapText="1"/>
    </xf>
    <xf numFmtId="0" fontId="5" fillId="6" borderId="54" xfId="1" applyFill="1" applyBorder="1" applyAlignment="1">
      <alignment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79" xfId="1" applyFill="1" applyBorder="1" applyAlignment="1">
      <alignment horizontal="left" vertical="center" wrapText="1"/>
    </xf>
    <xf numFmtId="0" fontId="5" fillId="6" borderId="8" xfId="1" applyFill="1" applyBorder="1" applyAlignment="1">
      <alignment vertical="center"/>
    </xf>
    <xf numFmtId="4" fontId="5" fillId="6" borderId="25" xfId="0" applyNumberFormat="1" applyFont="1" applyFill="1" applyBorder="1" applyAlignment="1">
      <alignment horizontal="center" vertical="center"/>
    </xf>
    <xf numFmtId="0" fontId="5" fillId="6" borderId="40" xfId="2" applyFont="1" applyFill="1" applyBorder="1" applyAlignment="1">
      <alignment horizontal="center" vertical="center"/>
    </xf>
    <xf numFmtId="4" fontId="5" fillId="6" borderId="48" xfId="1" applyNumberFormat="1" applyFont="1" applyFill="1" applyBorder="1" applyAlignment="1">
      <alignment vertical="center"/>
    </xf>
    <xf numFmtId="0" fontId="5" fillId="6" borderId="55" xfId="1" applyFont="1" applyFill="1" applyBorder="1" applyAlignment="1">
      <alignment horizontal="left" vertical="center" wrapText="1"/>
    </xf>
    <xf numFmtId="0" fontId="5" fillId="6" borderId="34" xfId="0" applyFont="1" applyFill="1" applyBorder="1" applyAlignment="1" applyProtection="1">
      <alignment horizontal="left" vertical="center" wrapText="1"/>
      <protection locked="0"/>
    </xf>
    <xf numFmtId="0" fontId="15" fillId="6" borderId="39" xfId="0" applyFont="1" applyFill="1" applyBorder="1" applyAlignment="1">
      <alignment vertical="center" wrapText="1"/>
    </xf>
    <xf numFmtId="0" fontId="20" fillId="6" borderId="39" xfId="0" applyFont="1" applyFill="1" applyBorder="1" applyAlignment="1" applyProtection="1">
      <alignment horizontal="center" vertical="center"/>
    </xf>
    <xf numFmtId="0" fontId="5" fillId="6" borderId="55" xfId="1" applyFont="1" applyFill="1" applyBorder="1" applyAlignment="1">
      <alignment vertical="center"/>
    </xf>
    <xf numFmtId="0" fontId="5" fillId="6" borderId="55" xfId="1" applyFill="1" applyBorder="1" applyAlignment="1">
      <alignment horizontal="left" vertical="center" wrapText="1"/>
    </xf>
    <xf numFmtId="0" fontId="5" fillId="6" borderId="32" xfId="0" quotePrefix="1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vertical="center"/>
    </xf>
    <xf numFmtId="0" fontId="5" fillId="6" borderId="28" xfId="0" applyFont="1" applyFill="1" applyBorder="1" applyAlignment="1">
      <alignment vertical="center"/>
    </xf>
    <xf numFmtId="0" fontId="7" fillId="6" borderId="39" xfId="1" applyFont="1" applyFill="1" applyBorder="1" applyAlignment="1">
      <alignment horizontal="left" vertical="center"/>
    </xf>
    <xf numFmtId="0" fontId="7" fillId="6" borderId="28" xfId="1" applyFont="1" applyFill="1" applyBorder="1" applyAlignment="1">
      <alignment horizontal="left" vertical="center"/>
    </xf>
    <xf numFmtId="4" fontId="7" fillId="6" borderId="3" xfId="0" applyNumberFormat="1" applyFont="1" applyFill="1" applyBorder="1" applyAlignment="1">
      <alignment vertical="center"/>
    </xf>
    <xf numFmtId="4" fontId="7" fillId="6" borderId="39" xfId="0" applyNumberFormat="1" applyFont="1" applyFill="1" applyBorder="1" applyAlignment="1">
      <alignment vertical="center"/>
    </xf>
    <xf numFmtId="4" fontId="7" fillId="6" borderId="39" xfId="1" applyNumberFormat="1" applyFont="1" applyFill="1" applyBorder="1" applyAlignment="1">
      <alignment vertical="center"/>
    </xf>
    <xf numFmtId="4" fontId="7" fillId="6" borderId="29" xfId="1" applyNumberFormat="1" applyFont="1" applyFill="1" applyBorder="1" applyAlignment="1">
      <alignment vertical="center"/>
    </xf>
    <xf numFmtId="0" fontId="7" fillId="0" borderId="185" xfId="0" applyFont="1" applyBorder="1" applyAlignment="1">
      <alignment horizontal="left" vertical="center" wrapText="1"/>
    </xf>
    <xf numFmtId="0" fontId="60" fillId="0" borderId="185" xfId="0" applyFont="1" applyBorder="1" applyAlignment="1">
      <alignment horizontal="left" vertical="center" wrapText="1"/>
    </xf>
    <xf numFmtId="0" fontId="5" fillId="15" borderId="16" xfId="14" applyFill="1" applyBorder="1" applyAlignment="1" applyProtection="1">
      <alignment horizontal="left" vertical="center"/>
      <protection locked="0"/>
    </xf>
    <xf numFmtId="0" fontId="5" fillId="15" borderId="11" xfId="14" applyFill="1" applyBorder="1" applyAlignment="1" applyProtection="1">
      <alignment horizontal="left" vertical="center"/>
      <protection locked="0"/>
    </xf>
    <xf numFmtId="0" fontId="5" fillId="15" borderId="161" xfId="14" applyFill="1" applyBorder="1" applyAlignment="1" applyProtection="1">
      <alignment horizontal="left" vertical="center"/>
      <protection locked="0"/>
    </xf>
    <xf numFmtId="0" fontId="5" fillId="0" borderId="0" xfId="7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7" fillId="0" borderId="3" xfId="7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" xfId="7" quotePrefix="1" applyFont="1" applyBorder="1" applyAlignment="1">
      <alignment horizontal="left" vertical="center"/>
    </xf>
    <xf numFmtId="0" fontId="7" fillId="0" borderId="28" xfId="7" applyFont="1" applyBorder="1" applyAlignment="1">
      <alignment horizontal="left" vertical="center"/>
    </xf>
    <xf numFmtId="0" fontId="4" fillId="0" borderId="39" xfId="5" applyBorder="1" applyAlignment="1">
      <alignment horizontal="left" vertical="center"/>
    </xf>
    <xf numFmtId="0" fontId="28" fillId="0" borderId="3" xfId="7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1" fillId="0" borderId="21" xfId="7" applyFont="1" applyBorder="1" applyAlignment="1">
      <alignment horizontal="center" vertical="center" wrapText="1"/>
    </xf>
    <xf numFmtId="0" fontId="31" fillId="0" borderId="4" xfId="7" applyFont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7" fillId="0" borderId="12" xfId="7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21" xfId="7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28" xfId="7" applyFont="1" applyBorder="1" applyAlignment="1">
      <alignment horizontal="center" vertical="center" wrapText="1"/>
    </xf>
    <xf numFmtId="0" fontId="7" fillId="0" borderId="39" xfId="7" applyFont="1" applyBorder="1" applyAlignment="1">
      <alignment horizontal="center" vertical="center" wrapText="1"/>
    </xf>
    <xf numFmtId="0" fontId="7" fillId="0" borderId="21" xfId="7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4" borderId="188" xfId="1" applyFont="1" applyFill="1" applyBorder="1" applyAlignment="1">
      <alignment vertical="center" wrapText="1"/>
    </xf>
    <xf numFmtId="0" fontId="0" fillId="0" borderId="189" xfId="0" applyBorder="1" applyAlignment="1">
      <alignment vertical="center" wrapText="1"/>
    </xf>
    <xf numFmtId="0" fontId="0" fillId="0" borderId="190" xfId="0" applyBorder="1" applyAlignment="1">
      <alignment vertical="center" wrapText="1"/>
    </xf>
    <xf numFmtId="0" fontId="18" fillId="8" borderId="3" xfId="1" applyFont="1" applyFill="1" applyBorder="1" applyAlignment="1" applyProtection="1">
      <alignment horizontal="left" vertical="center" wrapText="1"/>
    </xf>
    <xf numFmtId="0" fontId="0" fillId="0" borderId="39" xfId="0" applyBorder="1" applyAlignment="1">
      <alignment vertical="center" wrapText="1"/>
    </xf>
    <xf numFmtId="0" fontId="7" fillId="0" borderId="13" xfId="1" applyFont="1" applyFill="1" applyBorder="1" applyAlignment="1">
      <alignment vertical="center" textRotation="90"/>
    </xf>
    <xf numFmtId="0" fontId="7" fillId="0" borderId="17" xfId="0" applyFont="1" applyFill="1" applyBorder="1" applyAlignment="1">
      <alignment vertical="center"/>
    </xf>
    <xf numFmtId="2" fontId="7" fillId="0" borderId="16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1" fillId="0" borderId="10" xfId="14" applyFont="1" applyBorder="1" applyAlignment="1">
      <alignment vertical="center"/>
    </xf>
    <xf numFmtId="0" fontId="31" fillId="0" borderId="0" xfId="14" applyFont="1" applyAlignment="1">
      <alignment vertical="center"/>
    </xf>
    <xf numFmtId="0" fontId="31" fillId="0" borderId="11" xfId="14" applyFont="1" applyBorder="1" applyAlignment="1">
      <alignment vertical="center"/>
    </xf>
    <xf numFmtId="10" fontId="31" fillId="0" borderId="13" xfId="14" applyNumberFormat="1" applyFont="1" applyBorder="1" applyAlignment="1">
      <alignment horizontal="left" vertical="center"/>
    </xf>
    <xf numFmtId="0" fontId="31" fillId="0" borderId="15" xfId="14" applyFont="1" applyBorder="1" applyAlignment="1">
      <alignment horizontal="left" vertical="center"/>
    </xf>
    <xf numFmtId="0" fontId="31" fillId="0" borderId="17" xfId="14" applyFont="1" applyBorder="1" applyAlignment="1">
      <alignment horizontal="left" vertical="center"/>
    </xf>
    <xf numFmtId="10" fontId="31" fillId="0" borderId="90" xfId="17" applyNumberFormat="1" applyFont="1" applyBorder="1" applyAlignment="1">
      <alignment horizontal="center" vertical="center"/>
    </xf>
    <xf numFmtId="10" fontId="31" fillId="0" borderId="94" xfId="17" applyNumberFormat="1" applyFont="1" applyBorder="1" applyAlignment="1">
      <alignment horizontal="center" vertical="center"/>
    </xf>
    <xf numFmtId="171" fontId="31" fillId="12" borderId="28" xfId="16" applyNumberFormat="1" applyFont="1" applyFill="1" applyBorder="1" applyAlignment="1" applyProtection="1">
      <alignment horizontal="center"/>
      <protection locked="0"/>
    </xf>
    <xf numFmtId="171" fontId="5" fillId="0" borderId="28" xfId="14" applyNumberFormat="1" applyBorder="1" applyAlignment="1" applyProtection="1">
      <alignment horizontal="center"/>
      <protection locked="0"/>
    </xf>
    <xf numFmtId="171" fontId="5" fillId="0" borderId="39" xfId="14" applyNumberFormat="1" applyBorder="1" applyAlignment="1" applyProtection="1">
      <alignment horizontal="center"/>
      <protection locked="0"/>
    </xf>
    <xf numFmtId="171" fontId="31" fillId="0" borderId="10" xfId="16" applyNumberFormat="1" applyFont="1" applyBorder="1" applyAlignment="1">
      <alignment horizontal="center"/>
    </xf>
    <xf numFmtId="171" fontId="31" fillId="0" borderId="0" xfId="16" applyNumberFormat="1" applyFont="1" applyAlignment="1">
      <alignment horizontal="center"/>
    </xf>
    <xf numFmtId="172" fontId="31" fillId="0" borderId="13" xfId="5" applyNumberFormat="1" applyFont="1" applyBorder="1" applyAlignment="1">
      <alignment horizontal="left" vertical="center"/>
    </xf>
    <xf numFmtId="0" fontId="32" fillId="0" borderId="15" xfId="5" applyFont="1" applyBorder="1" applyAlignment="1">
      <alignment horizontal="left" vertical="center"/>
    </xf>
    <xf numFmtId="0" fontId="32" fillId="0" borderId="17" xfId="5" applyFont="1" applyBorder="1" applyAlignment="1">
      <alignment horizontal="left" vertical="center"/>
    </xf>
    <xf numFmtId="10" fontId="3" fillId="0" borderId="0" xfId="17" applyNumberFormat="1" applyFont="1" applyAlignment="1">
      <alignment horizontal="left" vertical="center"/>
    </xf>
    <xf numFmtId="10" fontId="3" fillId="0" borderId="11" xfId="17" applyNumberFormat="1" applyFont="1" applyBorder="1" applyAlignment="1">
      <alignment horizontal="left" vertical="center"/>
    </xf>
    <xf numFmtId="171" fontId="31" fillId="12" borderId="10" xfId="16" applyNumberFormat="1" applyFont="1" applyFill="1" applyBorder="1" applyAlignment="1" applyProtection="1">
      <alignment horizontal="center"/>
      <protection locked="0"/>
    </xf>
    <xf numFmtId="171" fontId="5" fillId="0" borderId="10" xfId="14" applyNumberFormat="1" applyBorder="1" applyAlignment="1" applyProtection="1">
      <alignment horizontal="center"/>
      <protection locked="0"/>
    </xf>
    <xf numFmtId="171" fontId="5" fillId="0" borderId="13" xfId="14" applyNumberFormat="1" applyBorder="1" applyAlignment="1" applyProtection="1">
      <alignment horizontal="center"/>
      <protection locked="0"/>
    </xf>
    <xf numFmtId="173" fontId="31" fillId="12" borderId="28" xfId="16" applyNumberFormat="1" applyFont="1" applyFill="1" applyBorder="1" applyAlignment="1" applyProtection="1">
      <alignment horizontal="center"/>
      <protection locked="0"/>
    </xf>
    <xf numFmtId="173" fontId="5" fillId="0" borderId="28" xfId="14" applyNumberFormat="1" applyBorder="1" applyAlignment="1" applyProtection="1">
      <alignment horizontal="center"/>
      <protection locked="0"/>
    </xf>
    <xf numFmtId="173" fontId="5" fillId="0" borderId="39" xfId="14" applyNumberFormat="1" applyBorder="1" applyAlignment="1" applyProtection="1">
      <alignment horizontal="center"/>
      <protection locked="0"/>
    </xf>
    <xf numFmtId="174" fontId="31" fillId="0" borderId="97" xfId="5" applyNumberFormat="1" applyFont="1" applyBorder="1" applyAlignment="1">
      <alignment horizontal="right" vertical="center"/>
    </xf>
    <xf numFmtId="174" fontId="32" fillId="0" borderId="98" xfId="5" applyNumberFormat="1" applyFont="1" applyBorder="1" applyAlignment="1">
      <alignment horizontal="right" vertical="center"/>
    </xf>
    <xf numFmtId="0" fontId="4" fillId="0" borderId="98" xfId="5" applyBorder="1" applyAlignment="1">
      <alignment vertical="center"/>
    </xf>
    <xf numFmtId="0" fontId="4" fillId="0" borderId="99" xfId="5" applyBorder="1" applyAlignment="1">
      <alignment vertical="center"/>
    </xf>
    <xf numFmtId="174" fontId="31" fillId="0" borderId="13" xfId="5" applyNumberFormat="1" applyFont="1" applyBorder="1" applyAlignment="1">
      <alignment horizontal="left" vertical="center"/>
    </xf>
    <xf numFmtId="174" fontId="32" fillId="0" borderId="15" xfId="5" applyNumberFormat="1" applyFont="1" applyBorder="1" applyAlignment="1">
      <alignment horizontal="left" vertical="center"/>
    </xf>
    <xf numFmtId="0" fontId="4" fillId="0" borderId="15" xfId="5" applyBorder="1" applyAlignment="1">
      <alignment horizontal="left" vertical="center"/>
    </xf>
    <xf numFmtId="0" fontId="4" fillId="0" borderId="17" xfId="5" applyBorder="1" applyAlignment="1">
      <alignment horizontal="left" vertical="center"/>
    </xf>
  </cellXfs>
  <cellStyles count="26">
    <cellStyle name="Hiperlink" xfId="25" builtinId="8"/>
    <cellStyle name="Normal" xfId="0" builtinId="0"/>
    <cellStyle name="Normal 2" xfId="5" xr:uid="{00000000-0005-0000-0000-000001000000}"/>
    <cellStyle name="Normal 2 2" xfId="20" xr:uid="{ECB696E2-25FB-4473-B081-27B8161250D9}"/>
    <cellStyle name="Normal 3" xfId="8" xr:uid="{00000000-0005-0000-0000-000002000000}"/>
    <cellStyle name="Normal 3 2" xfId="7" xr:uid="{00000000-0005-0000-0000-000003000000}"/>
    <cellStyle name="Normal 3 3" xfId="14" xr:uid="{00000000-0005-0000-0000-000004000000}"/>
    <cellStyle name="Normal 3 4" xfId="11" xr:uid="{00000000-0005-0000-0000-000005000000}"/>
    <cellStyle name="Normal 4" xfId="18" xr:uid="{D97A6843-BF6A-4D2B-8C8E-A7F111332292}"/>
    <cellStyle name="Normal 4 2" xfId="22" xr:uid="{0BB73F46-5D29-4C87-B017-99224B7A7007}"/>
    <cellStyle name="Normal 4 3" xfId="21" xr:uid="{37EA7FB2-22DA-4804-AB56-3561157862FE}"/>
    <cellStyle name="Normal 5" xfId="23" xr:uid="{369AB456-C355-42EA-961F-E7CF5652E09B}"/>
    <cellStyle name="Normal 6" xfId="19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" xfId="4" builtinId="5"/>
    <cellStyle name="Porcentagem 2" xfId="6" xr:uid="{00000000-0005-0000-0000-000009000000}"/>
    <cellStyle name="Porcentagem 2 2" xfId="24" xr:uid="{09E87D33-4D9F-4810-9825-20A327824090}"/>
    <cellStyle name="Porcentagem 3" xfId="17" xr:uid="{22B45934-657F-4C4D-826C-FAA67E1BFC93}"/>
    <cellStyle name="Vírgula" xfId="3" builtinId="3"/>
    <cellStyle name="Vírgula 2" xfId="9" xr:uid="{00000000-0005-0000-0000-00000B000000}"/>
    <cellStyle name="Vírgula 2 2" xfId="15" xr:uid="{00000000-0005-0000-0000-00000C000000}"/>
    <cellStyle name="Vírgula 2 3" xfId="12" xr:uid="{00000000-0005-0000-0000-00000D000000}"/>
    <cellStyle name="Vírgula 3" xfId="13" xr:uid="{00000000-0005-0000-0000-00000E000000}"/>
    <cellStyle name="Vírgula 4" xfId="10" xr:uid="{00000000-0005-0000-0000-00000F000000}"/>
    <cellStyle name="Vírgula 5" xfId="16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5410200" y="32537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5417820" y="346710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6217920" y="2583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5433060" y="52044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5417820" y="50063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5410200" y="38557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5417820" y="40690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6217920" y="31851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5433060" y="51663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5417820" y="49606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5410200" y="38557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5417820" y="40690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6217920" y="31851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5433060" y="51663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5417820" y="49606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3028950</xdr:colOff>
      <xdr:row>18</xdr:row>
      <xdr:rowOff>1133476</xdr:rowOff>
    </xdr:from>
    <xdr:to>
      <xdr:col>2</xdr:col>
      <xdr:colOff>952500</xdr:colOff>
      <xdr:row>18</xdr:row>
      <xdr:rowOff>1704976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77256D3C-184E-47AE-BAC4-45CED08D4574}"/>
            </a:ext>
          </a:extLst>
        </xdr:cNvPr>
        <xdr:cNvSpPr txBox="1"/>
      </xdr:nvSpPr>
      <xdr:spPr>
        <a:xfrm flipH="1">
          <a:off x="3028950" y="5334001"/>
          <a:ext cx="2895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819150</xdr:colOff>
      <xdr:row>24</xdr:row>
      <xdr:rowOff>76200</xdr:rowOff>
    </xdr:from>
    <xdr:to>
      <xdr:col>6</xdr:col>
      <xdr:colOff>6350</xdr:colOff>
      <xdr:row>28</xdr:row>
      <xdr:rowOff>95250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12DAB22C-BBB6-4CFB-8171-2E456A70517D}"/>
            </a:ext>
          </a:extLst>
        </xdr:cNvPr>
        <xdr:cNvSpPr txBox="1"/>
      </xdr:nvSpPr>
      <xdr:spPr>
        <a:xfrm flipH="1">
          <a:off x="6267450" y="4600575"/>
          <a:ext cx="29210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381000</xdr:colOff>
      <xdr:row>2678</xdr:row>
      <xdr:rowOff>84667</xdr:rowOff>
    </xdr:from>
    <xdr:to>
      <xdr:col>21</xdr:col>
      <xdr:colOff>613833</xdr:colOff>
      <xdr:row>2682</xdr:row>
      <xdr:rowOff>116417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FA1367E-AF90-4622-B0E6-DE3E8A48F48E}"/>
            </a:ext>
          </a:extLst>
        </xdr:cNvPr>
        <xdr:cNvSpPr txBox="1"/>
      </xdr:nvSpPr>
      <xdr:spPr>
        <a:xfrm flipH="1">
          <a:off x="9789583" y="18192750"/>
          <a:ext cx="292100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UYJOSE\BACK_UP\viabilidade%20normal%202019\Reequilibrio%20base%20tabela%20jun%202018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P após 2015"/>
      <sheetName val="INCC"/>
      <sheetName val="IGP-DI"/>
      <sheetName val="PROPOSTA"/>
      <sheetName val="med_SEM REEQ"/>
      <sheetName val="med a"/>
      <sheetName val="med b"/>
      <sheetName val="med c"/>
      <sheetName val="med d"/>
      <sheetName val="med e"/>
      <sheetName val="med f"/>
      <sheetName val="med g"/>
      <sheetName val="med h"/>
      <sheetName val="med i"/>
      <sheetName val="med-soma"/>
      <sheetName val="saldo"/>
      <sheetName val="global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br/anp/pt-br/assuntos/precos-e-defesa-da-concorrencia/precos/precos-de-produtores-e-importadores-de-derivados-de-petroleo" TargetMode="External"/><Relationship Id="rId1" Type="http://schemas.openxmlformats.org/officeDocument/2006/relationships/hyperlink" Target="https://www.gov.br/anp/pt-br/assuntos/precos-e-defesa-da-concorrencia/precos/precos-de-distribuicao-de-produtos-asfaltic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C225-F7C6-4E9B-B1F9-D6081FFD9BE8}">
  <dimension ref="A3:T32"/>
  <sheetViews>
    <sheetView topLeftCell="A11" workbookViewId="0">
      <selection activeCell="X20" sqref="X20"/>
    </sheetView>
  </sheetViews>
  <sheetFormatPr defaultRowHeight="11.25" x14ac:dyDescent="0.2"/>
  <cols>
    <col min="1" max="1" width="22" customWidth="1"/>
    <col min="2" max="2" width="49" bestFit="1" customWidth="1"/>
    <col min="3" max="3" width="9.5" style="408" bestFit="1" customWidth="1"/>
    <col min="4" max="4" width="10.5" bestFit="1" customWidth="1"/>
    <col min="5" max="5" width="3.83203125" hidden="1" customWidth="1"/>
    <col min="6" max="6" width="11.1640625" hidden="1" customWidth="1"/>
    <col min="7" max="7" width="14" hidden="1" customWidth="1"/>
    <col min="8" max="8" width="11.1640625" hidden="1" customWidth="1"/>
    <col min="9" max="9" width="10.6640625" hidden="1" customWidth="1"/>
    <col min="10" max="11" width="10.5" hidden="1" customWidth="1"/>
    <col min="12" max="12" width="2.1640625" customWidth="1"/>
    <col min="13" max="13" width="18.33203125" bestFit="1" customWidth="1"/>
    <col min="14" max="14" width="12" hidden="1" customWidth="1"/>
    <col min="15" max="15" width="9.6640625" style="408" hidden="1" customWidth="1"/>
    <col min="16" max="17" width="18.33203125" hidden="1" customWidth="1"/>
    <col min="18" max="18" width="13.83203125" hidden="1" customWidth="1"/>
    <col min="19" max="19" width="11" hidden="1" customWidth="1"/>
  </cols>
  <sheetData>
    <row r="3" spans="1:20" ht="15" x14ac:dyDescent="0.2">
      <c r="A3" s="401" t="s">
        <v>1830</v>
      </c>
    </row>
    <row r="4" spans="1:20" ht="15" x14ac:dyDescent="0.2">
      <c r="A4" s="401"/>
    </row>
    <row r="5" spans="1:20" x14ac:dyDescent="0.2">
      <c r="M5" s="937"/>
    </row>
    <row r="6" spans="1:20" ht="15" x14ac:dyDescent="0.2">
      <c r="A6" s="401"/>
      <c r="F6" s="940" t="s">
        <v>1880</v>
      </c>
      <c r="G6" s="940" t="s">
        <v>1885</v>
      </c>
      <c r="H6" s="940"/>
      <c r="M6" s="937"/>
      <c r="P6" s="938" t="s">
        <v>1882</v>
      </c>
    </row>
    <row r="7" spans="1:20" x14ac:dyDescent="0.2">
      <c r="F7" s="940" t="s">
        <v>1881</v>
      </c>
      <c r="G7" s="941" t="s">
        <v>1886</v>
      </c>
      <c r="H7" s="940"/>
      <c r="I7" s="410"/>
      <c r="P7" s="938" t="s">
        <v>1883</v>
      </c>
    </row>
    <row r="8" spans="1:20" ht="13.15" customHeight="1" x14ac:dyDescent="0.2">
      <c r="A8" s="1168" t="s">
        <v>1831</v>
      </c>
      <c r="B8" s="1169"/>
      <c r="F8" s="940" t="s">
        <v>1887</v>
      </c>
      <c r="G8" s="941" t="s">
        <v>1888</v>
      </c>
      <c r="H8" s="940"/>
    </row>
    <row r="9" spans="1:20" ht="13.15" customHeight="1" thickBot="1" x14ac:dyDescent="0.25">
      <c r="B9" s="402"/>
    </row>
    <row r="10" spans="1:20" ht="34.9" customHeight="1" x14ac:dyDescent="0.35">
      <c r="A10" s="943" t="s">
        <v>1851</v>
      </c>
      <c r="B10" s="944"/>
      <c r="C10" s="945"/>
      <c r="D10" s="946"/>
      <c r="E10" s="947"/>
      <c r="F10" s="948" t="s">
        <v>1889</v>
      </c>
      <c r="G10" s="949"/>
      <c r="H10" s="950" t="s">
        <v>1890</v>
      </c>
      <c r="I10" s="951"/>
      <c r="J10" s="947"/>
      <c r="K10" s="947"/>
      <c r="L10" s="947"/>
      <c r="M10" s="952" t="s">
        <v>1872</v>
      </c>
    </row>
    <row r="11" spans="1:20" ht="67.150000000000006" customHeight="1" x14ac:dyDescent="0.2">
      <c r="A11" s="953" t="s">
        <v>1848</v>
      </c>
      <c r="B11" s="403" t="s">
        <v>1849</v>
      </c>
      <c r="C11" s="404" t="s">
        <v>1850</v>
      </c>
      <c r="D11" s="405" t="s">
        <v>1873</v>
      </c>
      <c r="E11" s="954"/>
      <c r="F11" s="930" t="s">
        <v>1874</v>
      </c>
      <c r="G11" s="930" t="s">
        <v>1852</v>
      </c>
      <c r="H11" s="931" t="s">
        <v>1874</v>
      </c>
      <c r="I11" s="931" t="s">
        <v>1852</v>
      </c>
      <c r="J11" s="405" t="s">
        <v>1871</v>
      </c>
      <c r="K11" s="405" t="s">
        <v>1875</v>
      </c>
      <c r="L11" s="954"/>
      <c r="M11" s="955" t="s">
        <v>1876</v>
      </c>
      <c r="P11" s="405" t="s">
        <v>1877</v>
      </c>
      <c r="Q11" s="405" t="s">
        <v>1878</v>
      </c>
    </row>
    <row r="12" spans="1:20" ht="12.75" x14ac:dyDescent="0.2">
      <c r="A12" s="956">
        <v>589100</v>
      </c>
      <c r="B12" s="406" t="s">
        <v>1832</v>
      </c>
      <c r="C12" s="409" t="s">
        <v>1833</v>
      </c>
      <c r="D12" s="407">
        <v>5022.5</v>
      </c>
      <c r="E12" s="954"/>
      <c r="F12" s="932">
        <v>4779.5845312499996</v>
      </c>
      <c r="G12" s="932">
        <f>ROUND(F12/(1-21.65%),2)</f>
        <v>6100.3</v>
      </c>
      <c r="H12" s="933">
        <v>4523.99</v>
      </c>
      <c r="I12" s="933">
        <f t="shared" ref="I12:I27" si="0">ROUND(H12/(1-21.65%),2)</f>
        <v>5774.08</v>
      </c>
      <c r="J12" s="934">
        <v>7392</v>
      </c>
      <c r="K12" s="934">
        <f>6700*1.18</f>
        <v>7906</v>
      </c>
      <c r="L12" s="957"/>
      <c r="M12" s="958">
        <f>SMALL((G12,I12,J12,K12),1)</f>
        <v>5774.08</v>
      </c>
      <c r="N12" s="935">
        <f t="shared" ref="N12:N27" si="1">M12/D12</f>
        <v>1.1496426082628173</v>
      </c>
      <c r="O12" s="935" t="s">
        <v>1881</v>
      </c>
      <c r="P12" s="934">
        <v>6100.3</v>
      </c>
      <c r="Q12" s="934">
        <v>5774.08</v>
      </c>
      <c r="S12" s="939"/>
      <c r="T12" s="939"/>
    </row>
    <row r="13" spans="1:20" ht="25.5" x14ac:dyDescent="0.2">
      <c r="A13" s="956">
        <v>589050</v>
      </c>
      <c r="B13" s="406" t="s">
        <v>1891</v>
      </c>
      <c r="C13" s="409" t="s">
        <v>1833</v>
      </c>
      <c r="D13" s="407">
        <v>3788.14</v>
      </c>
      <c r="E13" s="954"/>
      <c r="F13" s="932"/>
      <c r="G13" s="932"/>
      <c r="H13" s="933">
        <v>3906.77</v>
      </c>
      <c r="I13" s="933">
        <f t="shared" si="0"/>
        <v>4986.3100000000004</v>
      </c>
      <c r="J13" s="934">
        <v>5316</v>
      </c>
      <c r="K13" s="934">
        <f>4800*1.18</f>
        <v>5664</v>
      </c>
      <c r="L13" s="957"/>
      <c r="M13" s="958">
        <f>SMALL((G13,I13,J13,K13),1)</f>
        <v>4986.3100000000004</v>
      </c>
      <c r="N13" s="935">
        <f t="shared" si="1"/>
        <v>1.3162950682920906</v>
      </c>
      <c r="O13" s="935" t="s">
        <v>1880</v>
      </c>
      <c r="P13" s="934">
        <v>5316</v>
      </c>
      <c r="Q13" s="934">
        <v>4986.3100000000004</v>
      </c>
      <c r="S13" s="939"/>
      <c r="T13" s="939"/>
    </row>
    <row r="14" spans="1:20" ht="12.75" x14ac:dyDescent="0.2">
      <c r="A14" s="956">
        <v>589070</v>
      </c>
      <c r="B14" s="406" t="s">
        <v>1834</v>
      </c>
      <c r="C14" s="409" t="s">
        <v>1833</v>
      </c>
      <c r="D14" s="407">
        <v>4130.03</v>
      </c>
      <c r="E14" s="954"/>
      <c r="F14" s="932">
        <v>3489.27202103338</v>
      </c>
      <c r="G14" s="932">
        <f>ROUND(F14/(1-21.65%),2)</f>
        <v>4453.4399999999996</v>
      </c>
      <c r="H14" s="933">
        <v>3899.05</v>
      </c>
      <c r="I14" s="933">
        <f t="shared" si="0"/>
        <v>4976.45</v>
      </c>
      <c r="J14" s="934"/>
      <c r="K14" s="934">
        <f>4900*1.18</f>
        <v>5782</v>
      </c>
      <c r="L14" s="957"/>
      <c r="M14" s="958">
        <f>SMALL((G14,I14,J14,K14),1)</f>
        <v>4453.4399999999996</v>
      </c>
      <c r="N14" s="935">
        <f t="shared" si="1"/>
        <v>1.0783069372377441</v>
      </c>
      <c r="O14" s="935" t="s">
        <v>1887</v>
      </c>
      <c r="P14" s="934"/>
      <c r="Q14" s="934">
        <v>4453.4399999999996</v>
      </c>
      <c r="S14" s="939"/>
      <c r="T14" s="939"/>
    </row>
    <row r="15" spans="1:20" ht="12.75" x14ac:dyDescent="0.2">
      <c r="A15" s="956">
        <v>589000</v>
      </c>
      <c r="B15" s="406" t="s">
        <v>1835</v>
      </c>
      <c r="C15" s="409" t="s">
        <v>1833</v>
      </c>
      <c r="D15" s="407">
        <v>3340.63</v>
      </c>
      <c r="E15" s="954"/>
      <c r="F15" s="932">
        <v>3689.1872289156599</v>
      </c>
      <c r="G15" s="932">
        <f>ROUND(F15/(1-21.65%),2)</f>
        <v>4708.6000000000004</v>
      </c>
      <c r="H15" s="933">
        <v>3474.42</v>
      </c>
      <c r="I15" s="933">
        <f t="shared" si="0"/>
        <v>4434.49</v>
      </c>
      <c r="J15" s="934">
        <v>5703</v>
      </c>
      <c r="K15" s="934">
        <f>5000*1.18</f>
        <v>5900</v>
      </c>
      <c r="L15" s="957"/>
      <c r="M15" s="958">
        <f>SMALL((G15,I15,J15,K15),1)</f>
        <v>4434.49</v>
      </c>
      <c r="N15" s="935">
        <f t="shared" si="1"/>
        <v>1.3274412311450234</v>
      </c>
      <c r="O15" s="935" t="s">
        <v>1881</v>
      </c>
      <c r="P15" s="934">
        <v>4708.6000000000004</v>
      </c>
      <c r="Q15" s="934">
        <v>4434.49</v>
      </c>
      <c r="S15" s="939"/>
      <c r="T15" s="939"/>
    </row>
    <row r="16" spans="1:20" ht="25.5" x14ac:dyDescent="0.2">
      <c r="A16" s="956">
        <v>589030</v>
      </c>
      <c r="B16" s="406" t="s">
        <v>1836</v>
      </c>
      <c r="C16" s="409" t="s">
        <v>1833</v>
      </c>
      <c r="D16" s="407">
        <v>3932.27</v>
      </c>
      <c r="E16" s="954"/>
      <c r="F16" s="932"/>
      <c r="G16" s="932"/>
      <c r="H16" s="933">
        <v>3054.31</v>
      </c>
      <c r="I16" s="933">
        <f t="shared" si="0"/>
        <v>3898.29</v>
      </c>
      <c r="J16" s="934"/>
      <c r="K16" s="934">
        <f>6200*1.18</f>
        <v>7316</v>
      </c>
      <c r="L16" s="957"/>
      <c r="M16" s="958">
        <f>SMALL((G16,I16,J16,K16),1)</f>
        <v>3898.29</v>
      </c>
      <c r="N16" s="935">
        <f t="shared" si="1"/>
        <v>0.99135868086372503</v>
      </c>
      <c r="O16" s="936" t="s">
        <v>1880</v>
      </c>
      <c r="P16" s="934"/>
      <c r="Q16" s="934">
        <v>3898.29</v>
      </c>
      <c r="S16" s="939"/>
      <c r="T16" s="939"/>
    </row>
    <row r="17" spans="1:20" ht="25.5" x14ac:dyDescent="0.2">
      <c r="A17" s="956">
        <v>589040</v>
      </c>
      <c r="B17" s="406" t="s">
        <v>1837</v>
      </c>
      <c r="C17" s="409" t="s">
        <v>1833</v>
      </c>
      <c r="D17" s="407">
        <v>4296.93</v>
      </c>
      <c r="E17" s="954"/>
      <c r="F17" s="932"/>
      <c r="G17" s="932"/>
      <c r="H17" s="933">
        <v>4060.71</v>
      </c>
      <c r="I17" s="933">
        <f>ROUND(H17/(1-21.65%),2)</f>
        <v>5182.78</v>
      </c>
      <c r="J17" s="934">
        <v>6816</v>
      </c>
      <c r="K17" s="934">
        <f>6300*1.18</f>
        <v>7434</v>
      </c>
      <c r="L17" s="957"/>
      <c r="M17" s="958">
        <f>SMALL((G17,I17,J17,K17),1)</f>
        <v>5182.78</v>
      </c>
      <c r="N17" s="935">
        <f t="shared" si="1"/>
        <v>1.2061588157126133</v>
      </c>
      <c r="O17" s="936" t="s">
        <v>1880</v>
      </c>
      <c r="P17" s="934">
        <v>6056.4997015532999</v>
      </c>
      <c r="Q17" s="934">
        <v>5182.78</v>
      </c>
      <c r="S17" s="939"/>
      <c r="T17" s="939"/>
    </row>
    <row r="18" spans="1:20" ht="25.5" x14ac:dyDescent="0.2">
      <c r="A18" s="956">
        <v>589060</v>
      </c>
      <c r="B18" s="406" t="s">
        <v>1838</v>
      </c>
      <c r="C18" s="409" t="s">
        <v>1833</v>
      </c>
      <c r="D18" s="407">
        <v>4032.87</v>
      </c>
      <c r="E18" s="954"/>
      <c r="F18" s="932"/>
      <c r="G18" s="932"/>
      <c r="H18" s="933" t="s">
        <v>1879</v>
      </c>
      <c r="I18" s="933"/>
      <c r="J18" s="934"/>
      <c r="K18" s="934"/>
      <c r="L18" s="957"/>
      <c r="M18" s="959">
        <f>ROUND(D18/D17*M17,2)</f>
        <v>4864.28</v>
      </c>
      <c r="N18" s="935">
        <f t="shared" si="1"/>
        <v>1.2061583934022173</v>
      </c>
      <c r="O18" s="942" t="s">
        <v>1892</v>
      </c>
      <c r="P18" s="934"/>
      <c r="Q18" s="934">
        <v>4864.28</v>
      </c>
      <c r="S18" s="939"/>
      <c r="T18" s="939"/>
    </row>
    <row r="19" spans="1:20" ht="25.5" x14ac:dyDescent="0.2">
      <c r="A19" s="956">
        <v>589190</v>
      </c>
      <c r="B19" s="406" t="s">
        <v>1839</v>
      </c>
      <c r="C19" s="409" t="s">
        <v>1833</v>
      </c>
      <c r="D19" s="407">
        <v>2803.16</v>
      </c>
      <c r="E19" s="954"/>
      <c r="F19" s="932"/>
      <c r="G19" s="932"/>
      <c r="H19" s="933">
        <v>2774.03</v>
      </c>
      <c r="I19" s="933">
        <f t="shared" si="0"/>
        <v>3540.56</v>
      </c>
      <c r="J19" s="934"/>
      <c r="K19" s="934">
        <f>3800*1.18</f>
        <v>4484</v>
      </c>
      <c r="L19" s="957"/>
      <c r="M19" s="958">
        <f>SMALL((G19,I19,J19,K19),1)</f>
        <v>3540.56</v>
      </c>
      <c r="N19" s="935">
        <f t="shared" si="1"/>
        <v>1.263060260563079</v>
      </c>
      <c r="O19" s="935" t="s">
        <v>1880</v>
      </c>
      <c r="P19" s="934">
        <v>3951.04</v>
      </c>
      <c r="Q19" s="934">
        <v>3540.56</v>
      </c>
      <c r="S19" s="939"/>
      <c r="T19" s="939" t="s">
        <v>1884</v>
      </c>
    </row>
    <row r="20" spans="1:20" ht="25.5" x14ac:dyDescent="0.2">
      <c r="A20" s="956">
        <v>589180</v>
      </c>
      <c r="B20" s="406" t="s">
        <v>1840</v>
      </c>
      <c r="C20" s="409" t="s">
        <v>1833</v>
      </c>
      <c r="D20" s="407">
        <v>3295.64</v>
      </c>
      <c r="E20" s="954"/>
      <c r="F20" s="932"/>
      <c r="G20" s="932"/>
      <c r="H20" s="933">
        <v>3197.1</v>
      </c>
      <c r="I20" s="933">
        <f t="shared" si="0"/>
        <v>4080.54</v>
      </c>
      <c r="J20" s="934"/>
      <c r="K20" s="934">
        <f>4500*1.18</f>
        <v>5310</v>
      </c>
      <c r="L20" s="957"/>
      <c r="M20" s="958">
        <f>SMALL((G20,I20,J20,K20),1)</f>
        <v>4080.54</v>
      </c>
      <c r="N20" s="935">
        <f t="shared" si="1"/>
        <v>1.2381631488876212</v>
      </c>
      <c r="O20" s="935" t="s">
        <v>1880</v>
      </c>
      <c r="P20" s="934">
        <v>4645.1899999999996</v>
      </c>
      <c r="Q20" s="934">
        <v>4080.54</v>
      </c>
      <c r="S20" s="939"/>
      <c r="T20" s="939"/>
    </row>
    <row r="21" spans="1:20" ht="12.75" x14ac:dyDescent="0.2">
      <c r="A21" s="956">
        <v>589170</v>
      </c>
      <c r="B21" s="406" t="s">
        <v>1841</v>
      </c>
      <c r="C21" s="409" t="s">
        <v>1833</v>
      </c>
      <c r="D21" s="407">
        <v>2659.11</v>
      </c>
      <c r="E21" s="954"/>
      <c r="F21" s="932"/>
      <c r="G21" s="932"/>
      <c r="H21" s="933">
        <v>3022.72</v>
      </c>
      <c r="I21" s="933">
        <f t="shared" si="0"/>
        <v>3857.97</v>
      </c>
      <c r="J21" s="934"/>
      <c r="K21" s="934">
        <f>3500*1.18</f>
        <v>4130</v>
      </c>
      <c r="L21" s="957"/>
      <c r="M21" s="958">
        <f>SMALL((G21,I21,J21,K21),1)</f>
        <v>3857.97</v>
      </c>
      <c r="N21" s="935">
        <f t="shared" si="1"/>
        <v>1.4508500964608457</v>
      </c>
      <c r="O21" s="935" t="s">
        <v>1880</v>
      </c>
      <c r="P21" s="934">
        <v>3748</v>
      </c>
      <c r="Q21" s="934">
        <v>3857.97</v>
      </c>
      <c r="S21" s="939"/>
      <c r="T21" s="939"/>
    </row>
    <row r="22" spans="1:20" ht="12.75" x14ac:dyDescent="0.2">
      <c r="A22" s="956">
        <v>589220</v>
      </c>
      <c r="B22" s="406" t="s">
        <v>1842</v>
      </c>
      <c r="C22" s="409" t="s">
        <v>1833</v>
      </c>
      <c r="D22" s="407">
        <v>2963.28</v>
      </c>
      <c r="E22" s="954"/>
      <c r="F22" s="932"/>
      <c r="G22" s="932"/>
      <c r="H22" s="933">
        <v>2562.4299999999998</v>
      </c>
      <c r="I22" s="933">
        <f t="shared" si="0"/>
        <v>3270.49</v>
      </c>
      <c r="J22" s="934"/>
      <c r="K22" s="934">
        <f>3800*1.18</f>
        <v>4484</v>
      </c>
      <c r="L22" s="957"/>
      <c r="M22" s="958">
        <f>SMALL((G22,I22,J22,K22),1)</f>
        <v>3270.49</v>
      </c>
      <c r="N22" s="935">
        <f t="shared" si="1"/>
        <v>1.1036722820658189</v>
      </c>
      <c r="O22" s="935" t="s">
        <v>1880</v>
      </c>
      <c r="P22" s="934">
        <v>4176.7299999999996</v>
      </c>
      <c r="Q22" s="934">
        <v>3270.49</v>
      </c>
      <c r="S22" s="939"/>
      <c r="T22" s="939"/>
    </row>
    <row r="23" spans="1:20" ht="12.75" x14ac:dyDescent="0.2">
      <c r="A23" s="956">
        <v>589320</v>
      </c>
      <c r="B23" s="406" t="s">
        <v>1843</v>
      </c>
      <c r="C23" s="409" t="s">
        <v>1833</v>
      </c>
      <c r="D23" s="407">
        <v>2773.46</v>
      </c>
      <c r="E23" s="954"/>
      <c r="F23" s="932"/>
      <c r="G23" s="932"/>
      <c r="H23" s="933">
        <v>2834.02</v>
      </c>
      <c r="I23" s="933">
        <f t="shared" si="0"/>
        <v>3617.13</v>
      </c>
      <c r="J23" s="934">
        <v>4573</v>
      </c>
      <c r="K23" s="934">
        <f>4000*1.18</f>
        <v>4720</v>
      </c>
      <c r="L23" s="957"/>
      <c r="M23" s="958">
        <f>SMALL((G23,I23,J23,K23),1)</f>
        <v>3617.13</v>
      </c>
      <c r="N23" s="935">
        <f t="shared" si="1"/>
        <v>1.3041940392145552</v>
      </c>
      <c r="O23" s="936" t="s">
        <v>1881</v>
      </c>
      <c r="P23" s="934">
        <v>3909.18</v>
      </c>
      <c r="Q23" s="934">
        <v>3617.13</v>
      </c>
      <c r="S23" s="939"/>
      <c r="T23" s="939"/>
    </row>
    <row r="24" spans="1:20" ht="12.75" x14ac:dyDescent="0.2">
      <c r="A24" s="956">
        <v>589420</v>
      </c>
      <c r="B24" s="406" t="s">
        <v>1844</v>
      </c>
      <c r="C24" s="409" t="s">
        <v>1833</v>
      </c>
      <c r="D24" s="407">
        <v>2353.66</v>
      </c>
      <c r="E24" s="954"/>
      <c r="F24" s="932"/>
      <c r="G24" s="932"/>
      <c r="H24" s="933">
        <v>2299</v>
      </c>
      <c r="I24" s="933">
        <f t="shared" si="0"/>
        <v>2934.27</v>
      </c>
      <c r="J24" s="934">
        <v>3836</v>
      </c>
      <c r="K24" s="934">
        <f>3300*1.18</f>
        <v>3894</v>
      </c>
      <c r="L24" s="957"/>
      <c r="M24" s="958">
        <f>SMALL((G24,I24,J24,K24),1)</f>
        <v>2934.27</v>
      </c>
      <c r="N24" s="935">
        <f t="shared" si="1"/>
        <v>1.246683888072194</v>
      </c>
      <c r="O24" s="935" t="s">
        <v>1880</v>
      </c>
      <c r="P24" s="934">
        <v>3317.47</v>
      </c>
      <c r="Q24" s="934">
        <v>2934.27</v>
      </c>
      <c r="S24" s="939"/>
      <c r="T24" s="939"/>
    </row>
    <row r="25" spans="1:20" ht="25.5" x14ac:dyDescent="0.2">
      <c r="A25" s="956">
        <v>589430</v>
      </c>
      <c r="B25" s="406" t="s">
        <v>1845</v>
      </c>
      <c r="C25" s="409" t="s">
        <v>1833</v>
      </c>
      <c r="D25" s="407">
        <v>2858.64</v>
      </c>
      <c r="E25" s="954"/>
      <c r="F25" s="932"/>
      <c r="G25" s="932"/>
      <c r="H25" s="933">
        <v>3025.5</v>
      </c>
      <c r="I25" s="933">
        <f t="shared" si="0"/>
        <v>3861.52</v>
      </c>
      <c r="J25" s="934"/>
      <c r="K25" s="934"/>
      <c r="L25" s="957"/>
      <c r="M25" s="958">
        <f>SMALL((G25,I25,J25,K25),1)</f>
        <v>3861.52</v>
      </c>
      <c r="N25" s="935">
        <f t="shared" si="1"/>
        <v>1.3508241681358968</v>
      </c>
      <c r="O25" s="936" t="s">
        <v>1881</v>
      </c>
      <c r="P25" s="934"/>
      <c r="Q25" s="934">
        <v>3861.52</v>
      </c>
      <c r="S25" s="939"/>
      <c r="T25" s="939"/>
    </row>
    <row r="26" spans="1:20" ht="12.75" x14ac:dyDescent="0.2">
      <c r="A26" s="956">
        <v>589520</v>
      </c>
      <c r="B26" s="406" t="s">
        <v>1846</v>
      </c>
      <c r="C26" s="409" t="s">
        <v>1833</v>
      </c>
      <c r="D26" s="407">
        <v>2665.24</v>
      </c>
      <c r="E26" s="954"/>
      <c r="F26" s="932"/>
      <c r="G26" s="932"/>
      <c r="H26" s="933">
        <v>2597.0700000000002</v>
      </c>
      <c r="I26" s="933">
        <f t="shared" si="0"/>
        <v>3314.7</v>
      </c>
      <c r="J26" s="934">
        <v>4172</v>
      </c>
      <c r="K26" s="934">
        <f>3700*1.18</f>
        <v>4366</v>
      </c>
      <c r="L26" s="957"/>
      <c r="M26" s="958">
        <f>SMALL((G26,I26,J26,K26),1)</f>
        <v>3314.7</v>
      </c>
      <c r="N26" s="935">
        <f t="shared" si="1"/>
        <v>1.2436778676591977</v>
      </c>
      <c r="O26" s="935" t="s">
        <v>1880</v>
      </c>
      <c r="P26" s="934">
        <v>3756.64</v>
      </c>
      <c r="Q26" s="934">
        <v>3314.7</v>
      </c>
      <c r="S26" s="939"/>
      <c r="T26" s="939"/>
    </row>
    <row r="27" spans="1:20" ht="26.25" thickBot="1" x14ac:dyDescent="0.25">
      <c r="A27" s="960">
        <v>589530</v>
      </c>
      <c r="B27" s="961" t="s">
        <v>1847</v>
      </c>
      <c r="C27" s="962" t="s">
        <v>1833</v>
      </c>
      <c r="D27" s="963">
        <v>2884.67</v>
      </c>
      <c r="E27" s="964"/>
      <c r="F27" s="965"/>
      <c r="G27" s="965"/>
      <c r="H27" s="966">
        <v>2867.99</v>
      </c>
      <c r="I27" s="966">
        <f t="shared" si="0"/>
        <v>3660.49</v>
      </c>
      <c r="J27" s="967"/>
      <c r="K27" s="967"/>
      <c r="L27" s="968"/>
      <c r="M27" s="969">
        <f>SMALL((G27,I27,J27,K27),1)</f>
        <v>3660.49</v>
      </c>
      <c r="N27" s="935">
        <f t="shared" si="1"/>
        <v>1.2689458412920713</v>
      </c>
      <c r="O27" s="936" t="s">
        <v>1893</v>
      </c>
      <c r="P27" s="934"/>
      <c r="Q27" s="934">
        <v>3660.49</v>
      </c>
      <c r="S27" s="939"/>
    </row>
    <row r="32" spans="1:20" x14ac:dyDescent="0.2">
      <c r="J32" t="s">
        <v>17</v>
      </c>
    </row>
  </sheetData>
  <mergeCells count="1">
    <mergeCell ref="A8:B8"/>
  </mergeCells>
  <phoneticPr fontId="4" type="noConversion"/>
  <hyperlinks>
    <hyperlink ref="P6" r:id="rId1" display="https://www.gov.br/anp/pt-br/assuntos/precos-e-defesa-da-concorrencia/precos/precos-de-distribuicao-de-produtos-asfalticos" xr:uid="{5E7436E1-46A0-4F54-8072-57D7DA5687AE}"/>
    <hyperlink ref="P7" r:id="rId2" display="https://www.gov.br/anp/pt-br/assuntos/precos-e-defesa-da-concorrencia/precos/precos-de-produtores-e-importadores-de-derivados-de-petroleo" xr:uid="{AB75877F-04E7-415B-9C2D-9CA6D07B2AA4}"/>
  </hyperlinks>
  <pageMargins left="0.511811024" right="0.511811024" top="0.78740157499999996" bottom="0.78740157499999996" header="0.31496062000000002" footer="0.31496062000000002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E174-D57B-408B-A470-F875B829C23A}">
  <dimension ref="A1:K23"/>
  <sheetViews>
    <sheetView workbookViewId="0">
      <selection activeCell="D8" sqref="D8"/>
    </sheetView>
  </sheetViews>
  <sheetFormatPr defaultColWidth="9.33203125" defaultRowHeight="15" x14ac:dyDescent="0.25"/>
  <cols>
    <col min="1" max="1" width="9.33203125" style="148"/>
    <col min="2" max="2" width="24.1640625" style="148" customWidth="1"/>
    <col min="3" max="4" width="31.1640625" style="148" customWidth="1"/>
    <col min="5" max="10" width="9.33203125" style="148"/>
    <col min="11" max="11" width="12" style="148" customWidth="1"/>
    <col min="12" max="16384" width="9.33203125" style="148"/>
  </cols>
  <sheetData>
    <row r="1" spans="1:11" x14ac:dyDescent="0.25">
      <c r="A1" s="145" t="s">
        <v>891</v>
      </c>
      <c r="B1" s="146" t="s">
        <v>892</v>
      </c>
      <c r="C1" s="146"/>
      <c r="D1" s="146"/>
      <c r="E1" s="146"/>
      <c r="F1" s="146"/>
      <c r="G1" s="146"/>
      <c r="H1" s="146"/>
      <c r="I1" s="146"/>
      <c r="J1" s="146"/>
      <c r="K1" s="147"/>
    </row>
    <row r="2" spans="1:11" ht="21" x14ac:dyDescent="0.35">
      <c r="A2" s="149"/>
      <c r="B2" s="150" t="s">
        <v>893</v>
      </c>
      <c r="C2" s="150"/>
      <c r="D2" s="150"/>
      <c r="E2" s="151"/>
      <c r="F2" s="151"/>
      <c r="G2" s="151"/>
      <c r="H2" s="151"/>
      <c r="I2" s="151"/>
      <c r="J2" s="151"/>
      <c r="K2" s="152"/>
    </row>
    <row r="3" spans="1:11" ht="13.9" customHeight="1" x14ac:dyDescent="0.25">
      <c r="A3" s="149"/>
      <c r="B3" s="153" t="s">
        <v>894</v>
      </c>
      <c r="C3" s="154" t="s">
        <v>895</v>
      </c>
      <c r="D3" s="155"/>
      <c r="E3" s="151"/>
      <c r="F3" s="151"/>
      <c r="G3" s="151"/>
      <c r="H3" s="151"/>
      <c r="I3" s="151"/>
      <c r="J3" s="151"/>
      <c r="K3" s="152"/>
    </row>
    <row r="4" spans="1:11" ht="13.9" customHeight="1" x14ac:dyDescent="0.25">
      <c r="A4" s="149"/>
      <c r="B4" s="156" t="s">
        <v>896</v>
      </c>
      <c r="C4" s="157" t="s">
        <v>897</v>
      </c>
      <c r="D4" s="157" t="s">
        <v>898</v>
      </c>
      <c r="E4" s="151"/>
      <c r="F4" s="151"/>
      <c r="G4" s="151"/>
      <c r="H4" s="151"/>
      <c r="I4" s="151"/>
      <c r="J4" s="151"/>
      <c r="K4" s="152"/>
    </row>
    <row r="5" spans="1:11" ht="13.15" customHeight="1" x14ac:dyDescent="0.25">
      <c r="A5" s="149"/>
      <c r="B5" s="157" t="s">
        <v>899</v>
      </c>
      <c r="C5" s="157" t="s">
        <v>900</v>
      </c>
      <c r="D5" s="157" t="s">
        <v>901</v>
      </c>
      <c r="E5" s="151"/>
      <c r="F5" s="151"/>
      <c r="G5" s="151"/>
      <c r="H5" s="151"/>
      <c r="I5" s="151"/>
      <c r="J5" s="151"/>
      <c r="K5" s="152"/>
    </row>
    <row r="6" spans="1:11" ht="13.15" customHeight="1" x14ac:dyDescent="0.25">
      <c r="A6" s="149"/>
      <c r="B6" s="157" t="s">
        <v>902</v>
      </c>
      <c r="C6" s="157" t="s">
        <v>901</v>
      </c>
      <c r="D6" s="157" t="s">
        <v>903</v>
      </c>
      <c r="E6" s="151"/>
      <c r="F6" s="151"/>
      <c r="G6" s="151"/>
      <c r="H6" s="151"/>
      <c r="I6" s="151"/>
      <c r="J6" s="151"/>
      <c r="K6" s="152"/>
    </row>
    <row r="7" spans="1:11" ht="13.15" customHeight="1" x14ac:dyDescent="0.25">
      <c r="A7" s="149"/>
      <c r="B7" s="157" t="s">
        <v>904</v>
      </c>
      <c r="C7" s="157" t="s">
        <v>903</v>
      </c>
      <c r="D7" s="157" t="s">
        <v>905</v>
      </c>
      <c r="E7" s="158" t="s">
        <v>906</v>
      </c>
      <c r="F7" s="159" t="s">
        <v>907</v>
      </c>
      <c r="G7" s="151"/>
      <c r="H7" s="151"/>
      <c r="I7" s="151"/>
      <c r="J7" s="151"/>
      <c r="K7" s="152"/>
    </row>
    <row r="8" spans="1:11" ht="13.15" customHeight="1" x14ac:dyDescent="0.25">
      <c r="A8" s="149"/>
      <c r="B8" s="157" t="s">
        <v>908</v>
      </c>
      <c r="C8" s="157" t="s">
        <v>905</v>
      </c>
      <c r="D8" s="157" t="s">
        <v>909</v>
      </c>
      <c r="E8" s="151"/>
      <c r="F8" s="151"/>
      <c r="G8" s="151"/>
      <c r="H8" s="151"/>
      <c r="I8" s="151"/>
      <c r="J8" s="151"/>
      <c r="K8" s="152"/>
    </row>
    <row r="9" spans="1:11" ht="13.15" customHeight="1" x14ac:dyDescent="0.25">
      <c r="A9" s="149"/>
      <c r="B9" s="157" t="s">
        <v>910</v>
      </c>
      <c r="C9" s="157" t="s">
        <v>909</v>
      </c>
      <c r="D9" s="157" t="s">
        <v>911</v>
      </c>
      <c r="E9" s="151"/>
      <c r="F9" s="151"/>
      <c r="G9" s="151"/>
      <c r="H9" s="151"/>
      <c r="I9" s="151"/>
      <c r="J9" s="151"/>
      <c r="K9" s="152"/>
    </row>
    <row r="10" spans="1:11" ht="13.15" customHeight="1" x14ac:dyDescent="0.25">
      <c r="A10" s="149"/>
      <c r="B10" s="157" t="s">
        <v>912</v>
      </c>
      <c r="C10" s="157" t="s">
        <v>911</v>
      </c>
      <c r="D10" s="157" t="s">
        <v>913</v>
      </c>
      <c r="E10" s="151"/>
      <c r="F10" s="151"/>
      <c r="G10" s="151"/>
      <c r="H10" s="151"/>
      <c r="I10" s="151"/>
      <c r="J10" s="151"/>
      <c r="K10" s="152"/>
    </row>
    <row r="11" spans="1:11" ht="13.15" customHeight="1" x14ac:dyDescent="0.25">
      <c r="A11" s="149"/>
      <c r="B11" s="157" t="s">
        <v>914</v>
      </c>
      <c r="C11" s="157" t="s">
        <v>913</v>
      </c>
      <c r="D11" s="157" t="s">
        <v>915</v>
      </c>
      <c r="E11" s="151"/>
      <c r="F11" s="151"/>
      <c r="G11" s="151"/>
      <c r="H11" s="151"/>
      <c r="I11" s="151"/>
      <c r="J11" s="151"/>
      <c r="K11" s="152"/>
    </row>
    <row r="12" spans="1:11" ht="9" customHeight="1" x14ac:dyDescent="0.25">
      <c r="A12" s="149"/>
      <c r="B12" s="160"/>
      <c r="C12" s="160"/>
      <c r="D12" s="160"/>
      <c r="E12" s="151"/>
      <c r="F12" s="151"/>
      <c r="G12" s="151"/>
      <c r="H12" s="151"/>
      <c r="I12" s="151"/>
      <c r="J12" s="151"/>
      <c r="K12" s="152"/>
    </row>
    <row r="13" spans="1:11" ht="13.15" customHeight="1" x14ac:dyDescent="0.25">
      <c r="A13" s="161">
        <v>2</v>
      </c>
      <c r="B13" s="160" t="s">
        <v>916</v>
      </c>
      <c r="C13" s="160"/>
      <c r="D13" s="160"/>
      <c r="E13" s="150"/>
      <c r="F13" s="150"/>
      <c r="G13" s="150"/>
      <c r="H13" s="150"/>
      <c r="I13" s="150"/>
      <c r="J13" s="150"/>
      <c r="K13" s="152"/>
    </row>
    <row r="14" spans="1:11" ht="13.15" customHeight="1" x14ac:dyDescent="0.25">
      <c r="A14" s="149"/>
      <c r="B14" s="160" t="s">
        <v>917</v>
      </c>
      <c r="C14" s="160"/>
      <c r="D14" s="160"/>
      <c r="E14" s="151"/>
      <c r="F14" s="151"/>
      <c r="G14" s="151"/>
      <c r="H14" s="151"/>
      <c r="I14" s="151"/>
      <c r="J14" s="151"/>
      <c r="K14" s="152"/>
    </row>
    <row r="15" spans="1:11" ht="13.15" customHeight="1" x14ac:dyDescent="0.25">
      <c r="A15" s="149"/>
      <c r="B15" s="153" t="s">
        <v>894</v>
      </c>
      <c r="C15" s="154" t="s">
        <v>895</v>
      </c>
      <c r="D15" s="155"/>
      <c r="E15" s="151"/>
      <c r="F15" s="151"/>
      <c r="G15" s="151"/>
      <c r="H15" s="151"/>
      <c r="I15" s="151"/>
      <c r="J15" s="151"/>
      <c r="K15" s="152"/>
    </row>
    <row r="16" spans="1:11" ht="13.15" customHeight="1" x14ac:dyDescent="0.25">
      <c r="A16" s="149"/>
      <c r="B16" s="156" t="s">
        <v>896</v>
      </c>
      <c r="C16" s="157" t="s">
        <v>897</v>
      </c>
      <c r="D16" s="157" t="s">
        <v>898</v>
      </c>
      <c r="E16" s="151"/>
      <c r="F16" s="151"/>
      <c r="G16" s="151"/>
      <c r="H16" s="151"/>
      <c r="I16" s="151"/>
      <c r="J16" s="151"/>
      <c r="K16" s="152"/>
    </row>
    <row r="17" spans="1:11" ht="13.15" customHeight="1" x14ac:dyDescent="0.25">
      <c r="A17" s="149"/>
      <c r="B17" s="157" t="s">
        <v>899</v>
      </c>
      <c r="C17" s="157" t="s">
        <v>900</v>
      </c>
      <c r="D17" s="157" t="s">
        <v>918</v>
      </c>
      <c r="E17" s="151"/>
      <c r="F17" s="151"/>
      <c r="G17" s="151"/>
      <c r="H17" s="151"/>
      <c r="I17" s="151"/>
      <c r="J17" s="151"/>
      <c r="K17" s="152"/>
    </row>
    <row r="18" spans="1:11" ht="13.15" customHeight="1" x14ac:dyDescent="0.25">
      <c r="A18" s="149"/>
      <c r="B18" s="157" t="s">
        <v>902</v>
      </c>
      <c r="C18" s="157" t="s">
        <v>918</v>
      </c>
      <c r="D18" s="157" t="s">
        <v>919</v>
      </c>
      <c r="E18" s="158" t="s">
        <v>906</v>
      </c>
      <c r="F18" s="159" t="s">
        <v>920</v>
      </c>
      <c r="G18" s="151"/>
      <c r="H18" s="151"/>
      <c r="I18" s="151"/>
      <c r="J18" s="151"/>
      <c r="K18" s="152"/>
    </row>
    <row r="19" spans="1:11" ht="13.15" customHeight="1" x14ac:dyDescent="0.25">
      <c r="A19" s="149"/>
      <c r="B19" s="157" t="s">
        <v>904</v>
      </c>
      <c r="C19" s="157" t="s">
        <v>919</v>
      </c>
      <c r="D19" s="157" t="s">
        <v>921</v>
      </c>
      <c r="E19" s="151"/>
      <c r="F19" s="151"/>
      <c r="G19" s="151"/>
      <c r="H19" s="151"/>
      <c r="I19" s="151"/>
      <c r="J19" s="151"/>
      <c r="K19" s="152"/>
    </row>
    <row r="20" spans="1:11" ht="13.15" customHeight="1" x14ac:dyDescent="0.25">
      <c r="A20" s="149"/>
      <c r="B20" s="157" t="s">
        <v>908</v>
      </c>
      <c r="C20" s="157" t="s">
        <v>921</v>
      </c>
      <c r="D20" s="157" t="s">
        <v>915</v>
      </c>
      <c r="E20" s="151"/>
      <c r="F20" s="151"/>
      <c r="G20" s="151"/>
      <c r="H20" s="151"/>
      <c r="I20" s="151"/>
      <c r="J20" s="151"/>
      <c r="K20" s="152"/>
    </row>
    <row r="21" spans="1:11" ht="13.15" customHeight="1" x14ac:dyDescent="0.25">
      <c r="A21" s="149"/>
      <c r="B21" s="157" t="s">
        <v>910</v>
      </c>
      <c r="C21" s="157" t="s">
        <v>915</v>
      </c>
      <c r="D21" s="157" t="s">
        <v>922</v>
      </c>
      <c r="E21" s="151"/>
      <c r="F21" s="151"/>
      <c r="G21" s="151"/>
      <c r="H21" s="151"/>
      <c r="I21" s="151"/>
      <c r="J21" s="151"/>
      <c r="K21" s="152"/>
    </row>
    <row r="22" spans="1:11" ht="13.15" customHeight="1" x14ac:dyDescent="0.25">
      <c r="A22" s="149"/>
      <c r="B22" s="157" t="s">
        <v>912</v>
      </c>
      <c r="C22" s="157" t="s">
        <v>922</v>
      </c>
      <c r="D22" s="157" t="s">
        <v>923</v>
      </c>
      <c r="E22" s="151"/>
      <c r="F22" s="151"/>
      <c r="G22" s="151"/>
      <c r="H22" s="151"/>
      <c r="I22" s="151"/>
      <c r="J22" s="151"/>
      <c r="K22" s="152"/>
    </row>
    <row r="23" spans="1:11" ht="13.15" customHeight="1" thickBot="1" x14ac:dyDescent="0.3">
      <c r="A23" s="162"/>
      <c r="B23" s="163" t="s">
        <v>914</v>
      </c>
      <c r="C23" s="163" t="s">
        <v>923</v>
      </c>
      <c r="D23" s="163" t="s">
        <v>924</v>
      </c>
      <c r="E23" s="164"/>
      <c r="F23" s="164"/>
      <c r="G23" s="164"/>
      <c r="H23" s="164"/>
      <c r="I23" s="164"/>
      <c r="J23" s="164"/>
      <c r="K23" s="165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7FA6-FB8A-4D9F-801A-5485FD27D667}">
  <sheetPr>
    <pageSetUpPr fitToPage="1"/>
  </sheetPr>
  <dimension ref="A1:Y55"/>
  <sheetViews>
    <sheetView showZeros="0" topLeftCell="B1" zoomScale="90" zoomScaleNormal="90" workbookViewId="0">
      <selection activeCell="S2" sqref="S2"/>
    </sheetView>
  </sheetViews>
  <sheetFormatPr defaultColWidth="10.6640625" defaultRowHeight="12.75" x14ac:dyDescent="0.2"/>
  <cols>
    <col min="1" max="1" width="5" style="102" hidden="1" customWidth="1"/>
    <col min="2" max="2" width="13.6640625" style="723" customWidth="1"/>
    <col min="3" max="3" width="26.1640625" style="723" customWidth="1"/>
    <col min="4" max="4" width="17.6640625" style="723" customWidth="1"/>
    <col min="5" max="5" width="3.83203125" style="723" customWidth="1"/>
    <col min="6" max="8" width="12.5" style="723" customWidth="1"/>
    <col min="9" max="9" width="13" style="723" customWidth="1"/>
    <col min="10" max="12" width="12.5" style="723" customWidth="1"/>
    <col min="13" max="13" width="13.6640625" style="723" customWidth="1"/>
    <col min="14" max="15" width="12.5" style="723" customWidth="1"/>
    <col min="16" max="17" width="13.83203125" style="723" customWidth="1"/>
    <col min="18" max="18" width="8.33203125" style="723" bestFit="1" customWidth="1"/>
    <col min="19" max="19" width="14.83203125" style="723" bestFit="1" customWidth="1"/>
    <col min="20" max="20" width="10.33203125" style="723" bestFit="1" customWidth="1"/>
    <col min="21" max="21" width="10.6640625" style="723" customWidth="1"/>
    <col min="22" max="22" width="10.6640625" style="723"/>
    <col min="23" max="23" width="13.83203125" style="723" bestFit="1" customWidth="1"/>
    <col min="24" max="25" width="10.6640625" style="723"/>
    <col min="26" max="259" width="10.6640625" style="102"/>
    <col min="260" max="260" width="13.1640625" style="102" customWidth="1"/>
    <col min="261" max="261" width="79" style="102" customWidth="1"/>
    <col min="262" max="262" width="3.83203125" style="102" customWidth="1"/>
    <col min="263" max="275" width="12.5" style="102" customWidth="1"/>
    <col min="276" max="276" width="8.5" style="102" customWidth="1"/>
    <col min="277" max="515" width="10.6640625" style="102"/>
    <col min="516" max="516" width="13.1640625" style="102" customWidth="1"/>
    <col min="517" max="517" width="79" style="102" customWidth="1"/>
    <col min="518" max="518" width="3.83203125" style="102" customWidth="1"/>
    <col min="519" max="531" width="12.5" style="102" customWidth="1"/>
    <col min="532" max="532" width="8.5" style="102" customWidth="1"/>
    <col min="533" max="771" width="10.6640625" style="102"/>
    <col min="772" max="772" width="13.1640625" style="102" customWidth="1"/>
    <col min="773" max="773" width="79" style="102" customWidth="1"/>
    <col min="774" max="774" width="3.83203125" style="102" customWidth="1"/>
    <col min="775" max="787" width="12.5" style="102" customWidth="1"/>
    <col min="788" max="788" width="8.5" style="102" customWidth="1"/>
    <col min="789" max="1027" width="10.6640625" style="102"/>
    <col min="1028" max="1028" width="13.1640625" style="102" customWidth="1"/>
    <col min="1029" max="1029" width="79" style="102" customWidth="1"/>
    <col min="1030" max="1030" width="3.83203125" style="102" customWidth="1"/>
    <col min="1031" max="1043" width="12.5" style="102" customWidth="1"/>
    <col min="1044" max="1044" width="8.5" style="102" customWidth="1"/>
    <col min="1045" max="1283" width="10.6640625" style="102"/>
    <col min="1284" max="1284" width="13.1640625" style="102" customWidth="1"/>
    <col min="1285" max="1285" width="79" style="102" customWidth="1"/>
    <col min="1286" max="1286" width="3.83203125" style="102" customWidth="1"/>
    <col min="1287" max="1299" width="12.5" style="102" customWidth="1"/>
    <col min="1300" max="1300" width="8.5" style="102" customWidth="1"/>
    <col min="1301" max="1539" width="10.6640625" style="102"/>
    <col min="1540" max="1540" width="13.1640625" style="102" customWidth="1"/>
    <col min="1541" max="1541" width="79" style="102" customWidth="1"/>
    <col min="1542" max="1542" width="3.83203125" style="102" customWidth="1"/>
    <col min="1543" max="1555" width="12.5" style="102" customWidth="1"/>
    <col min="1556" max="1556" width="8.5" style="102" customWidth="1"/>
    <col min="1557" max="1795" width="10.6640625" style="102"/>
    <col min="1796" max="1796" width="13.1640625" style="102" customWidth="1"/>
    <col min="1797" max="1797" width="79" style="102" customWidth="1"/>
    <col min="1798" max="1798" width="3.83203125" style="102" customWidth="1"/>
    <col min="1799" max="1811" width="12.5" style="102" customWidth="1"/>
    <col min="1812" max="1812" width="8.5" style="102" customWidth="1"/>
    <col min="1813" max="2051" width="10.6640625" style="102"/>
    <col min="2052" max="2052" width="13.1640625" style="102" customWidth="1"/>
    <col min="2053" max="2053" width="79" style="102" customWidth="1"/>
    <col min="2054" max="2054" width="3.83203125" style="102" customWidth="1"/>
    <col min="2055" max="2067" width="12.5" style="102" customWidth="1"/>
    <col min="2068" max="2068" width="8.5" style="102" customWidth="1"/>
    <col min="2069" max="2307" width="10.6640625" style="102"/>
    <col min="2308" max="2308" width="13.1640625" style="102" customWidth="1"/>
    <col min="2309" max="2309" width="79" style="102" customWidth="1"/>
    <col min="2310" max="2310" width="3.83203125" style="102" customWidth="1"/>
    <col min="2311" max="2323" width="12.5" style="102" customWidth="1"/>
    <col min="2324" max="2324" width="8.5" style="102" customWidth="1"/>
    <col min="2325" max="2563" width="10.6640625" style="102"/>
    <col min="2564" max="2564" width="13.1640625" style="102" customWidth="1"/>
    <col min="2565" max="2565" width="79" style="102" customWidth="1"/>
    <col min="2566" max="2566" width="3.83203125" style="102" customWidth="1"/>
    <col min="2567" max="2579" width="12.5" style="102" customWidth="1"/>
    <col min="2580" max="2580" width="8.5" style="102" customWidth="1"/>
    <col min="2581" max="2819" width="10.6640625" style="102"/>
    <col min="2820" max="2820" width="13.1640625" style="102" customWidth="1"/>
    <col min="2821" max="2821" width="79" style="102" customWidth="1"/>
    <col min="2822" max="2822" width="3.83203125" style="102" customWidth="1"/>
    <col min="2823" max="2835" width="12.5" style="102" customWidth="1"/>
    <col min="2836" max="2836" width="8.5" style="102" customWidth="1"/>
    <col min="2837" max="3075" width="10.6640625" style="102"/>
    <col min="3076" max="3076" width="13.1640625" style="102" customWidth="1"/>
    <col min="3077" max="3077" width="79" style="102" customWidth="1"/>
    <col min="3078" max="3078" width="3.83203125" style="102" customWidth="1"/>
    <col min="3079" max="3091" width="12.5" style="102" customWidth="1"/>
    <col min="3092" max="3092" width="8.5" style="102" customWidth="1"/>
    <col min="3093" max="3331" width="10.6640625" style="102"/>
    <col min="3332" max="3332" width="13.1640625" style="102" customWidth="1"/>
    <col min="3333" max="3333" width="79" style="102" customWidth="1"/>
    <col min="3334" max="3334" width="3.83203125" style="102" customWidth="1"/>
    <col min="3335" max="3347" width="12.5" style="102" customWidth="1"/>
    <col min="3348" max="3348" width="8.5" style="102" customWidth="1"/>
    <col min="3349" max="3587" width="10.6640625" style="102"/>
    <col min="3588" max="3588" width="13.1640625" style="102" customWidth="1"/>
    <col min="3589" max="3589" width="79" style="102" customWidth="1"/>
    <col min="3590" max="3590" width="3.83203125" style="102" customWidth="1"/>
    <col min="3591" max="3603" width="12.5" style="102" customWidth="1"/>
    <col min="3604" max="3604" width="8.5" style="102" customWidth="1"/>
    <col min="3605" max="3843" width="10.6640625" style="102"/>
    <col min="3844" max="3844" width="13.1640625" style="102" customWidth="1"/>
    <col min="3845" max="3845" width="79" style="102" customWidth="1"/>
    <col min="3846" max="3846" width="3.83203125" style="102" customWidth="1"/>
    <col min="3847" max="3859" width="12.5" style="102" customWidth="1"/>
    <col min="3860" max="3860" width="8.5" style="102" customWidth="1"/>
    <col min="3861" max="4099" width="10.6640625" style="102"/>
    <col min="4100" max="4100" width="13.1640625" style="102" customWidth="1"/>
    <col min="4101" max="4101" width="79" style="102" customWidth="1"/>
    <col min="4102" max="4102" width="3.83203125" style="102" customWidth="1"/>
    <col min="4103" max="4115" width="12.5" style="102" customWidth="1"/>
    <col min="4116" max="4116" width="8.5" style="102" customWidth="1"/>
    <col min="4117" max="4355" width="10.6640625" style="102"/>
    <col min="4356" max="4356" width="13.1640625" style="102" customWidth="1"/>
    <col min="4357" max="4357" width="79" style="102" customWidth="1"/>
    <col min="4358" max="4358" width="3.83203125" style="102" customWidth="1"/>
    <col min="4359" max="4371" width="12.5" style="102" customWidth="1"/>
    <col min="4372" max="4372" width="8.5" style="102" customWidth="1"/>
    <col min="4373" max="4611" width="10.6640625" style="102"/>
    <col min="4612" max="4612" width="13.1640625" style="102" customWidth="1"/>
    <col min="4613" max="4613" width="79" style="102" customWidth="1"/>
    <col min="4614" max="4614" width="3.83203125" style="102" customWidth="1"/>
    <col min="4615" max="4627" width="12.5" style="102" customWidth="1"/>
    <col min="4628" max="4628" width="8.5" style="102" customWidth="1"/>
    <col min="4629" max="4867" width="10.6640625" style="102"/>
    <col min="4868" max="4868" width="13.1640625" style="102" customWidth="1"/>
    <col min="4869" max="4869" width="79" style="102" customWidth="1"/>
    <col min="4870" max="4870" width="3.83203125" style="102" customWidth="1"/>
    <col min="4871" max="4883" width="12.5" style="102" customWidth="1"/>
    <col min="4884" max="4884" width="8.5" style="102" customWidth="1"/>
    <col min="4885" max="5123" width="10.6640625" style="102"/>
    <col min="5124" max="5124" width="13.1640625" style="102" customWidth="1"/>
    <col min="5125" max="5125" width="79" style="102" customWidth="1"/>
    <col min="5126" max="5126" width="3.83203125" style="102" customWidth="1"/>
    <col min="5127" max="5139" width="12.5" style="102" customWidth="1"/>
    <col min="5140" max="5140" width="8.5" style="102" customWidth="1"/>
    <col min="5141" max="5379" width="10.6640625" style="102"/>
    <col min="5380" max="5380" width="13.1640625" style="102" customWidth="1"/>
    <col min="5381" max="5381" width="79" style="102" customWidth="1"/>
    <col min="5382" max="5382" width="3.83203125" style="102" customWidth="1"/>
    <col min="5383" max="5395" width="12.5" style="102" customWidth="1"/>
    <col min="5396" max="5396" width="8.5" style="102" customWidth="1"/>
    <col min="5397" max="5635" width="10.6640625" style="102"/>
    <col min="5636" max="5636" width="13.1640625" style="102" customWidth="1"/>
    <col min="5637" max="5637" width="79" style="102" customWidth="1"/>
    <col min="5638" max="5638" width="3.83203125" style="102" customWidth="1"/>
    <col min="5639" max="5651" width="12.5" style="102" customWidth="1"/>
    <col min="5652" max="5652" width="8.5" style="102" customWidth="1"/>
    <col min="5653" max="5891" width="10.6640625" style="102"/>
    <col min="5892" max="5892" width="13.1640625" style="102" customWidth="1"/>
    <col min="5893" max="5893" width="79" style="102" customWidth="1"/>
    <col min="5894" max="5894" width="3.83203125" style="102" customWidth="1"/>
    <col min="5895" max="5907" width="12.5" style="102" customWidth="1"/>
    <col min="5908" max="5908" width="8.5" style="102" customWidth="1"/>
    <col min="5909" max="6147" width="10.6640625" style="102"/>
    <col min="6148" max="6148" width="13.1640625" style="102" customWidth="1"/>
    <col min="6149" max="6149" width="79" style="102" customWidth="1"/>
    <col min="6150" max="6150" width="3.83203125" style="102" customWidth="1"/>
    <col min="6151" max="6163" width="12.5" style="102" customWidth="1"/>
    <col min="6164" max="6164" width="8.5" style="102" customWidth="1"/>
    <col min="6165" max="6403" width="10.6640625" style="102"/>
    <col min="6404" max="6404" width="13.1640625" style="102" customWidth="1"/>
    <col min="6405" max="6405" width="79" style="102" customWidth="1"/>
    <col min="6406" max="6406" width="3.83203125" style="102" customWidth="1"/>
    <col min="6407" max="6419" width="12.5" style="102" customWidth="1"/>
    <col min="6420" max="6420" width="8.5" style="102" customWidth="1"/>
    <col min="6421" max="6659" width="10.6640625" style="102"/>
    <col min="6660" max="6660" width="13.1640625" style="102" customWidth="1"/>
    <col min="6661" max="6661" width="79" style="102" customWidth="1"/>
    <col min="6662" max="6662" width="3.83203125" style="102" customWidth="1"/>
    <col min="6663" max="6675" width="12.5" style="102" customWidth="1"/>
    <col min="6676" max="6676" width="8.5" style="102" customWidth="1"/>
    <col min="6677" max="6915" width="10.6640625" style="102"/>
    <col min="6916" max="6916" width="13.1640625" style="102" customWidth="1"/>
    <col min="6917" max="6917" width="79" style="102" customWidth="1"/>
    <col min="6918" max="6918" width="3.83203125" style="102" customWidth="1"/>
    <col min="6919" max="6931" width="12.5" style="102" customWidth="1"/>
    <col min="6932" max="6932" width="8.5" style="102" customWidth="1"/>
    <col min="6933" max="7171" width="10.6640625" style="102"/>
    <col min="7172" max="7172" width="13.1640625" style="102" customWidth="1"/>
    <col min="7173" max="7173" width="79" style="102" customWidth="1"/>
    <col min="7174" max="7174" width="3.83203125" style="102" customWidth="1"/>
    <col min="7175" max="7187" width="12.5" style="102" customWidth="1"/>
    <col min="7188" max="7188" width="8.5" style="102" customWidth="1"/>
    <col min="7189" max="7427" width="10.6640625" style="102"/>
    <col min="7428" max="7428" width="13.1640625" style="102" customWidth="1"/>
    <col min="7429" max="7429" width="79" style="102" customWidth="1"/>
    <col min="7430" max="7430" width="3.83203125" style="102" customWidth="1"/>
    <col min="7431" max="7443" width="12.5" style="102" customWidth="1"/>
    <col min="7444" max="7444" width="8.5" style="102" customWidth="1"/>
    <col min="7445" max="7683" width="10.6640625" style="102"/>
    <col min="7684" max="7684" width="13.1640625" style="102" customWidth="1"/>
    <col min="7685" max="7685" width="79" style="102" customWidth="1"/>
    <col min="7686" max="7686" width="3.83203125" style="102" customWidth="1"/>
    <col min="7687" max="7699" width="12.5" style="102" customWidth="1"/>
    <col min="7700" max="7700" width="8.5" style="102" customWidth="1"/>
    <col min="7701" max="7939" width="10.6640625" style="102"/>
    <col min="7940" max="7940" width="13.1640625" style="102" customWidth="1"/>
    <col min="7941" max="7941" width="79" style="102" customWidth="1"/>
    <col min="7942" max="7942" width="3.83203125" style="102" customWidth="1"/>
    <col min="7943" max="7955" width="12.5" style="102" customWidth="1"/>
    <col min="7956" max="7956" width="8.5" style="102" customWidth="1"/>
    <col min="7957" max="8195" width="10.6640625" style="102"/>
    <col min="8196" max="8196" width="13.1640625" style="102" customWidth="1"/>
    <col min="8197" max="8197" width="79" style="102" customWidth="1"/>
    <col min="8198" max="8198" width="3.83203125" style="102" customWidth="1"/>
    <col min="8199" max="8211" width="12.5" style="102" customWidth="1"/>
    <col min="8212" max="8212" width="8.5" style="102" customWidth="1"/>
    <col min="8213" max="8451" width="10.6640625" style="102"/>
    <col min="8452" max="8452" width="13.1640625" style="102" customWidth="1"/>
    <col min="8453" max="8453" width="79" style="102" customWidth="1"/>
    <col min="8454" max="8454" width="3.83203125" style="102" customWidth="1"/>
    <col min="8455" max="8467" width="12.5" style="102" customWidth="1"/>
    <col min="8468" max="8468" width="8.5" style="102" customWidth="1"/>
    <col min="8469" max="8707" width="10.6640625" style="102"/>
    <col min="8708" max="8708" width="13.1640625" style="102" customWidth="1"/>
    <col min="8709" max="8709" width="79" style="102" customWidth="1"/>
    <col min="8710" max="8710" width="3.83203125" style="102" customWidth="1"/>
    <col min="8711" max="8723" width="12.5" style="102" customWidth="1"/>
    <col min="8724" max="8724" width="8.5" style="102" customWidth="1"/>
    <col min="8725" max="8963" width="10.6640625" style="102"/>
    <col min="8964" max="8964" width="13.1640625" style="102" customWidth="1"/>
    <col min="8965" max="8965" width="79" style="102" customWidth="1"/>
    <col min="8966" max="8966" width="3.83203125" style="102" customWidth="1"/>
    <col min="8967" max="8979" width="12.5" style="102" customWidth="1"/>
    <col min="8980" max="8980" width="8.5" style="102" customWidth="1"/>
    <col min="8981" max="9219" width="10.6640625" style="102"/>
    <col min="9220" max="9220" width="13.1640625" style="102" customWidth="1"/>
    <col min="9221" max="9221" width="79" style="102" customWidth="1"/>
    <col min="9222" max="9222" width="3.83203125" style="102" customWidth="1"/>
    <col min="9223" max="9235" width="12.5" style="102" customWidth="1"/>
    <col min="9236" max="9236" width="8.5" style="102" customWidth="1"/>
    <col min="9237" max="9475" width="10.6640625" style="102"/>
    <col min="9476" max="9476" width="13.1640625" style="102" customWidth="1"/>
    <col min="9477" max="9477" width="79" style="102" customWidth="1"/>
    <col min="9478" max="9478" width="3.83203125" style="102" customWidth="1"/>
    <col min="9479" max="9491" width="12.5" style="102" customWidth="1"/>
    <col min="9492" max="9492" width="8.5" style="102" customWidth="1"/>
    <col min="9493" max="9731" width="10.6640625" style="102"/>
    <col min="9732" max="9732" width="13.1640625" style="102" customWidth="1"/>
    <col min="9733" max="9733" width="79" style="102" customWidth="1"/>
    <col min="9734" max="9734" width="3.83203125" style="102" customWidth="1"/>
    <col min="9735" max="9747" width="12.5" style="102" customWidth="1"/>
    <col min="9748" max="9748" width="8.5" style="102" customWidth="1"/>
    <col min="9749" max="9987" width="10.6640625" style="102"/>
    <col min="9988" max="9988" width="13.1640625" style="102" customWidth="1"/>
    <col min="9989" max="9989" width="79" style="102" customWidth="1"/>
    <col min="9990" max="9990" width="3.83203125" style="102" customWidth="1"/>
    <col min="9991" max="10003" width="12.5" style="102" customWidth="1"/>
    <col min="10004" max="10004" width="8.5" style="102" customWidth="1"/>
    <col min="10005" max="10243" width="10.6640625" style="102"/>
    <col min="10244" max="10244" width="13.1640625" style="102" customWidth="1"/>
    <col min="10245" max="10245" width="79" style="102" customWidth="1"/>
    <col min="10246" max="10246" width="3.83203125" style="102" customWidth="1"/>
    <col min="10247" max="10259" width="12.5" style="102" customWidth="1"/>
    <col min="10260" max="10260" width="8.5" style="102" customWidth="1"/>
    <col min="10261" max="10499" width="10.6640625" style="102"/>
    <col min="10500" max="10500" width="13.1640625" style="102" customWidth="1"/>
    <col min="10501" max="10501" width="79" style="102" customWidth="1"/>
    <col min="10502" max="10502" width="3.83203125" style="102" customWidth="1"/>
    <col min="10503" max="10515" width="12.5" style="102" customWidth="1"/>
    <col min="10516" max="10516" width="8.5" style="102" customWidth="1"/>
    <col min="10517" max="10755" width="10.6640625" style="102"/>
    <col min="10756" max="10756" width="13.1640625" style="102" customWidth="1"/>
    <col min="10757" max="10757" width="79" style="102" customWidth="1"/>
    <col min="10758" max="10758" width="3.83203125" style="102" customWidth="1"/>
    <col min="10759" max="10771" width="12.5" style="102" customWidth="1"/>
    <col min="10772" max="10772" width="8.5" style="102" customWidth="1"/>
    <col min="10773" max="11011" width="10.6640625" style="102"/>
    <col min="11012" max="11012" width="13.1640625" style="102" customWidth="1"/>
    <col min="11013" max="11013" width="79" style="102" customWidth="1"/>
    <col min="11014" max="11014" width="3.83203125" style="102" customWidth="1"/>
    <col min="11015" max="11027" width="12.5" style="102" customWidth="1"/>
    <col min="11028" max="11028" width="8.5" style="102" customWidth="1"/>
    <col min="11029" max="11267" width="10.6640625" style="102"/>
    <col min="11268" max="11268" width="13.1640625" style="102" customWidth="1"/>
    <col min="11269" max="11269" width="79" style="102" customWidth="1"/>
    <col min="11270" max="11270" width="3.83203125" style="102" customWidth="1"/>
    <col min="11271" max="11283" width="12.5" style="102" customWidth="1"/>
    <col min="11284" max="11284" width="8.5" style="102" customWidth="1"/>
    <col min="11285" max="11523" width="10.6640625" style="102"/>
    <col min="11524" max="11524" width="13.1640625" style="102" customWidth="1"/>
    <col min="11525" max="11525" width="79" style="102" customWidth="1"/>
    <col min="11526" max="11526" width="3.83203125" style="102" customWidth="1"/>
    <col min="11527" max="11539" width="12.5" style="102" customWidth="1"/>
    <col min="11540" max="11540" width="8.5" style="102" customWidth="1"/>
    <col min="11541" max="11779" width="10.6640625" style="102"/>
    <col min="11780" max="11780" width="13.1640625" style="102" customWidth="1"/>
    <col min="11781" max="11781" width="79" style="102" customWidth="1"/>
    <col min="11782" max="11782" width="3.83203125" style="102" customWidth="1"/>
    <col min="11783" max="11795" width="12.5" style="102" customWidth="1"/>
    <col min="11796" max="11796" width="8.5" style="102" customWidth="1"/>
    <col min="11797" max="12035" width="10.6640625" style="102"/>
    <col min="12036" max="12036" width="13.1640625" style="102" customWidth="1"/>
    <col min="12037" max="12037" width="79" style="102" customWidth="1"/>
    <col min="12038" max="12038" width="3.83203125" style="102" customWidth="1"/>
    <col min="12039" max="12051" width="12.5" style="102" customWidth="1"/>
    <col min="12052" max="12052" width="8.5" style="102" customWidth="1"/>
    <col min="12053" max="12291" width="10.6640625" style="102"/>
    <col min="12292" max="12292" width="13.1640625" style="102" customWidth="1"/>
    <col min="12293" max="12293" width="79" style="102" customWidth="1"/>
    <col min="12294" max="12294" width="3.83203125" style="102" customWidth="1"/>
    <col min="12295" max="12307" width="12.5" style="102" customWidth="1"/>
    <col min="12308" max="12308" width="8.5" style="102" customWidth="1"/>
    <col min="12309" max="12547" width="10.6640625" style="102"/>
    <col min="12548" max="12548" width="13.1640625" style="102" customWidth="1"/>
    <col min="12549" max="12549" width="79" style="102" customWidth="1"/>
    <col min="12550" max="12550" width="3.83203125" style="102" customWidth="1"/>
    <col min="12551" max="12563" width="12.5" style="102" customWidth="1"/>
    <col min="12564" max="12564" width="8.5" style="102" customWidth="1"/>
    <col min="12565" max="12803" width="10.6640625" style="102"/>
    <col min="12804" max="12804" width="13.1640625" style="102" customWidth="1"/>
    <col min="12805" max="12805" width="79" style="102" customWidth="1"/>
    <col min="12806" max="12806" width="3.83203125" style="102" customWidth="1"/>
    <col min="12807" max="12819" width="12.5" style="102" customWidth="1"/>
    <col min="12820" max="12820" width="8.5" style="102" customWidth="1"/>
    <col min="12821" max="13059" width="10.6640625" style="102"/>
    <col min="13060" max="13060" width="13.1640625" style="102" customWidth="1"/>
    <col min="13061" max="13061" width="79" style="102" customWidth="1"/>
    <col min="13062" max="13062" width="3.83203125" style="102" customWidth="1"/>
    <col min="13063" max="13075" width="12.5" style="102" customWidth="1"/>
    <col min="13076" max="13076" width="8.5" style="102" customWidth="1"/>
    <col min="13077" max="13315" width="10.6640625" style="102"/>
    <col min="13316" max="13316" width="13.1640625" style="102" customWidth="1"/>
    <col min="13317" max="13317" width="79" style="102" customWidth="1"/>
    <col min="13318" max="13318" width="3.83203125" style="102" customWidth="1"/>
    <col min="13319" max="13331" width="12.5" style="102" customWidth="1"/>
    <col min="13332" max="13332" width="8.5" style="102" customWidth="1"/>
    <col min="13333" max="13571" width="10.6640625" style="102"/>
    <col min="13572" max="13572" width="13.1640625" style="102" customWidth="1"/>
    <col min="13573" max="13573" width="79" style="102" customWidth="1"/>
    <col min="13574" max="13574" width="3.83203125" style="102" customWidth="1"/>
    <col min="13575" max="13587" width="12.5" style="102" customWidth="1"/>
    <col min="13588" max="13588" width="8.5" style="102" customWidth="1"/>
    <col min="13589" max="13827" width="10.6640625" style="102"/>
    <col min="13828" max="13828" width="13.1640625" style="102" customWidth="1"/>
    <col min="13829" max="13829" width="79" style="102" customWidth="1"/>
    <col min="13830" max="13830" width="3.83203125" style="102" customWidth="1"/>
    <col min="13831" max="13843" width="12.5" style="102" customWidth="1"/>
    <col min="13844" max="13844" width="8.5" style="102" customWidth="1"/>
    <col min="13845" max="14083" width="10.6640625" style="102"/>
    <col min="14084" max="14084" width="13.1640625" style="102" customWidth="1"/>
    <col min="14085" max="14085" width="79" style="102" customWidth="1"/>
    <col min="14086" max="14086" width="3.83203125" style="102" customWidth="1"/>
    <col min="14087" max="14099" width="12.5" style="102" customWidth="1"/>
    <col min="14100" max="14100" width="8.5" style="102" customWidth="1"/>
    <col min="14101" max="14339" width="10.6640625" style="102"/>
    <col min="14340" max="14340" width="13.1640625" style="102" customWidth="1"/>
    <col min="14341" max="14341" width="79" style="102" customWidth="1"/>
    <col min="14342" max="14342" width="3.83203125" style="102" customWidth="1"/>
    <col min="14343" max="14355" width="12.5" style="102" customWidth="1"/>
    <col min="14356" max="14356" width="8.5" style="102" customWidth="1"/>
    <col min="14357" max="14595" width="10.6640625" style="102"/>
    <col min="14596" max="14596" width="13.1640625" style="102" customWidth="1"/>
    <col min="14597" max="14597" width="79" style="102" customWidth="1"/>
    <col min="14598" max="14598" width="3.83203125" style="102" customWidth="1"/>
    <col min="14599" max="14611" width="12.5" style="102" customWidth="1"/>
    <col min="14612" max="14612" width="8.5" style="102" customWidth="1"/>
    <col min="14613" max="14851" width="10.6640625" style="102"/>
    <col min="14852" max="14852" width="13.1640625" style="102" customWidth="1"/>
    <col min="14853" max="14853" width="79" style="102" customWidth="1"/>
    <col min="14854" max="14854" width="3.83203125" style="102" customWidth="1"/>
    <col min="14855" max="14867" width="12.5" style="102" customWidth="1"/>
    <col min="14868" max="14868" width="8.5" style="102" customWidth="1"/>
    <col min="14869" max="15107" width="10.6640625" style="102"/>
    <col min="15108" max="15108" width="13.1640625" style="102" customWidth="1"/>
    <col min="15109" max="15109" width="79" style="102" customWidth="1"/>
    <col min="15110" max="15110" width="3.83203125" style="102" customWidth="1"/>
    <col min="15111" max="15123" width="12.5" style="102" customWidth="1"/>
    <col min="15124" max="15124" width="8.5" style="102" customWidth="1"/>
    <col min="15125" max="15363" width="10.6640625" style="102"/>
    <col min="15364" max="15364" width="13.1640625" style="102" customWidth="1"/>
    <col min="15365" max="15365" width="79" style="102" customWidth="1"/>
    <col min="15366" max="15366" width="3.83203125" style="102" customWidth="1"/>
    <col min="15367" max="15379" width="12.5" style="102" customWidth="1"/>
    <col min="15380" max="15380" width="8.5" style="102" customWidth="1"/>
    <col min="15381" max="15619" width="10.6640625" style="102"/>
    <col min="15620" max="15620" width="13.1640625" style="102" customWidth="1"/>
    <col min="15621" max="15621" width="79" style="102" customWidth="1"/>
    <col min="15622" max="15622" width="3.83203125" style="102" customWidth="1"/>
    <col min="15623" max="15635" width="12.5" style="102" customWidth="1"/>
    <col min="15636" max="15636" width="8.5" style="102" customWidth="1"/>
    <col min="15637" max="15875" width="10.6640625" style="102"/>
    <col min="15876" max="15876" width="13.1640625" style="102" customWidth="1"/>
    <col min="15877" max="15877" width="79" style="102" customWidth="1"/>
    <col min="15878" max="15878" width="3.83203125" style="102" customWidth="1"/>
    <col min="15879" max="15891" width="12.5" style="102" customWidth="1"/>
    <col min="15892" max="15892" width="8.5" style="102" customWidth="1"/>
    <col min="15893" max="16131" width="10.6640625" style="102"/>
    <col min="16132" max="16132" width="13.1640625" style="102" customWidth="1"/>
    <col min="16133" max="16133" width="79" style="102" customWidth="1"/>
    <col min="16134" max="16134" width="3.83203125" style="102" customWidth="1"/>
    <col min="16135" max="16147" width="12.5" style="102" customWidth="1"/>
    <col min="16148" max="16148" width="8.5" style="102" customWidth="1"/>
    <col min="16149" max="16384" width="10.6640625" style="102"/>
  </cols>
  <sheetData>
    <row r="1" spans="1:24" ht="26.25" x14ac:dyDescent="0.2">
      <c r="A1" s="166"/>
      <c r="B1" s="717" t="s">
        <v>1859</v>
      </c>
      <c r="C1" s="718" t="s">
        <v>925</v>
      </c>
      <c r="D1" s="718" t="s">
        <v>925</v>
      </c>
      <c r="E1" s="719"/>
      <c r="F1" s="718"/>
      <c r="G1" s="718"/>
      <c r="H1" s="720"/>
      <c r="I1" s="720"/>
      <c r="J1" s="720"/>
      <c r="K1" s="167" t="s">
        <v>864</v>
      </c>
      <c r="L1" s="720"/>
      <c r="M1" s="720"/>
      <c r="N1" s="721"/>
      <c r="O1" s="721"/>
      <c r="P1" s="720"/>
      <c r="Q1" s="720"/>
      <c r="R1" s="720"/>
      <c r="S1" s="720"/>
      <c r="T1" s="722"/>
    </row>
    <row r="2" spans="1:24" x14ac:dyDescent="0.2">
      <c r="A2" s="166"/>
      <c r="B2" s="724" t="s">
        <v>181</v>
      </c>
      <c r="C2" s="725" t="s">
        <v>2235</v>
      </c>
      <c r="D2" s="726"/>
      <c r="E2" s="726"/>
      <c r="F2" s="727" t="s">
        <v>182</v>
      </c>
      <c r="G2" s="728">
        <v>58</v>
      </c>
      <c r="H2" s="729" t="s">
        <v>926</v>
      </c>
      <c r="I2" s="730"/>
      <c r="J2" s="729" t="s">
        <v>927</v>
      </c>
      <c r="K2" s="730"/>
      <c r="L2" s="729" t="s">
        <v>928</v>
      </c>
      <c r="M2" s="731"/>
      <c r="N2" s="729" t="s">
        <v>929</v>
      </c>
      <c r="O2" s="730"/>
      <c r="P2" s="732" t="s">
        <v>930</v>
      </c>
      <c r="Q2" s="733"/>
      <c r="R2" s="733"/>
      <c r="S2" s="734">
        <v>2100000</v>
      </c>
      <c r="T2" s="1085"/>
    </row>
    <row r="3" spans="1:24" ht="15" customHeight="1" thickBot="1" x14ac:dyDescent="0.25">
      <c r="A3" s="166"/>
      <c r="B3" s="736" t="s">
        <v>183</v>
      </c>
      <c r="C3" s="737" t="s">
        <v>2259</v>
      </c>
      <c r="D3" s="738"/>
      <c r="E3" s="739"/>
      <c r="F3" s="740" t="s">
        <v>184</v>
      </c>
      <c r="G3" s="741">
        <v>1</v>
      </c>
      <c r="H3" s="742" t="s">
        <v>931</v>
      </c>
      <c r="I3" s="743">
        <f ca="1">TODAY()</f>
        <v>44441</v>
      </c>
      <c r="J3" s="742" t="s">
        <v>932</v>
      </c>
      <c r="K3" s="744">
        <f>80-10</f>
        <v>70</v>
      </c>
      <c r="L3" s="742" t="s">
        <v>931</v>
      </c>
      <c r="M3" s="745">
        <f ca="1">I3+K3+10</f>
        <v>44521</v>
      </c>
      <c r="N3" s="742" t="s">
        <v>933</v>
      </c>
      <c r="O3" s="746"/>
      <c r="P3" s="747" t="s">
        <v>934</v>
      </c>
      <c r="Q3" s="748"/>
      <c r="R3" s="749"/>
      <c r="S3" s="750">
        <v>812909.53000000026</v>
      </c>
      <c r="T3" s="751">
        <f>IF(S3=0,0,1-T2)</f>
        <v>1</v>
      </c>
      <c r="W3" s="1098">
        <f>S21-S2</f>
        <v>-227208.48999999976</v>
      </c>
    </row>
    <row r="4" spans="1:24" ht="18.75" thickBot="1" x14ac:dyDescent="0.25">
      <c r="A4" s="166"/>
      <c r="B4" s="752" t="s">
        <v>935</v>
      </c>
      <c r="C4" s="753">
        <f>'orc DER JAN 2021'!O2667</f>
        <v>9818.7900000000009</v>
      </c>
      <c r="D4" s="754"/>
      <c r="E4" s="755" t="s">
        <v>936</v>
      </c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7" t="s">
        <v>937</v>
      </c>
      <c r="Q4" s="758"/>
      <c r="R4" s="758"/>
      <c r="S4" s="759">
        <f>SUM(S2:S3)</f>
        <v>2912909.5300000003</v>
      </c>
      <c r="T4" s="760">
        <f>SUM(T2:T3)</f>
        <v>1</v>
      </c>
    </row>
    <row r="5" spans="1:24" ht="12.75" customHeight="1" thickBot="1" x14ac:dyDescent="0.25">
      <c r="A5" s="166"/>
      <c r="B5" s="761" t="s">
        <v>938</v>
      </c>
      <c r="C5" s="762" t="s">
        <v>939</v>
      </c>
      <c r="D5" s="763"/>
      <c r="E5" s="764" t="s">
        <v>78</v>
      </c>
      <c r="F5" s="765" t="s">
        <v>940</v>
      </c>
      <c r="G5" s="766"/>
      <c r="H5" s="766"/>
      <c r="I5" s="766"/>
      <c r="J5" s="766"/>
      <c r="K5" s="766"/>
      <c r="L5" s="766"/>
      <c r="M5" s="767"/>
      <c r="N5" s="767"/>
      <c r="O5" s="767"/>
      <c r="P5" s="768"/>
      <c r="Q5" s="769"/>
      <c r="R5" s="770"/>
      <c r="S5" s="771" t="s">
        <v>542</v>
      </c>
      <c r="T5" s="772" t="s">
        <v>941</v>
      </c>
      <c r="W5" s="723" t="s">
        <v>942</v>
      </c>
      <c r="X5" s="773" t="str">
        <f>IF(S4=S51,"OK","erro")</f>
        <v>erro</v>
      </c>
    </row>
    <row r="6" spans="1:24" ht="13.5" thickBot="1" x14ac:dyDescent="0.25">
      <c r="A6" s="166"/>
      <c r="B6" s="774" t="s">
        <v>943</v>
      </c>
      <c r="C6" s="775"/>
      <c r="D6" s="776"/>
      <c r="E6" s="777">
        <v>7</v>
      </c>
      <c r="F6" s="778">
        <f>IF(E6=0,0,1)</f>
        <v>1</v>
      </c>
      <c r="G6" s="778">
        <f>IF($E$6&lt;2,0,2)</f>
        <v>2</v>
      </c>
      <c r="H6" s="778">
        <f>IF($E$6&lt;3,0,3)</f>
        <v>3</v>
      </c>
      <c r="I6" s="778">
        <f>IF($E$6&lt;4,0,4)</f>
        <v>4</v>
      </c>
      <c r="J6" s="778">
        <f>IF($E$6&lt;5,0,5)</f>
        <v>5</v>
      </c>
      <c r="K6" s="778">
        <f>IF($E$6&lt;6,0,6)</f>
        <v>6</v>
      </c>
      <c r="L6" s="778">
        <f>IF($E$6&lt;7,0,7)</f>
        <v>7</v>
      </c>
      <c r="M6" s="778">
        <f>IF($E$6&lt;8,0,8)</f>
        <v>0</v>
      </c>
      <c r="N6" s="778">
        <f>IF($E$6&lt;9,0,9)</f>
        <v>0</v>
      </c>
      <c r="O6" s="778">
        <f>IF($E$6&lt;10,0,10)</f>
        <v>0</v>
      </c>
      <c r="P6" s="778">
        <f>IF($E$6&lt;11,0,11)</f>
        <v>0</v>
      </c>
      <c r="Q6" s="779">
        <f>IF($E$6&lt;12,0,12)</f>
        <v>0</v>
      </c>
      <c r="R6" s="780"/>
      <c r="S6" s="781" t="s">
        <v>944</v>
      </c>
      <c r="T6" s="782" t="s">
        <v>542</v>
      </c>
    </row>
    <row r="7" spans="1:24" ht="14.25" thickTop="1" thickBot="1" x14ac:dyDescent="0.25">
      <c r="A7" s="166"/>
      <c r="B7" s="774"/>
      <c r="C7" s="775" t="s">
        <v>945</v>
      </c>
      <c r="D7" s="776"/>
      <c r="E7" s="783"/>
      <c r="F7" s="784">
        <f ca="1">IF(E6=0,0,M3)</f>
        <v>44521</v>
      </c>
      <c r="G7" s="784">
        <f ca="1">IF(G6=0,0,F8+1)</f>
        <v>44552</v>
      </c>
      <c r="H7" s="784">
        <f ca="1">IF(H6=0,0,G8+1)</f>
        <v>44583</v>
      </c>
      <c r="I7" s="784">
        <f ca="1">IF(I6=0,0,H8+1)</f>
        <v>44614</v>
      </c>
      <c r="J7" s="784">
        <f ca="1">IF(J6=0,0,I8+1)</f>
        <v>44645</v>
      </c>
      <c r="K7" s="784">
        <f t="shared" ref="K7:Q7" ca="1" si="0">IF(K6=0,0,J8+1)</f>
        <v>44676</v>
      </c>
      <c r="L7" s="784">
        <f t="shared" ca="1" si="0"/>
        <v>44707</v>
      </c>
      <c r="M7" s="784">
        <f t="shared" si="0"/>
        <v>0</v>
      </c>
      <c r="N7" s="784">
        <f t="shared" si="0"/>
        <v>0</v>
      </c>
      <c r="O7" s="784">
        <f t="shared" si="0"/>
        <v>0</v>
      </c>
      <c r="P7" s="784">
        <f t="shared" si="0"/>
        <v>0</v>
      </c>
      <c r="Q7" s="785">
        <f t="shared" si="0"/>
        <v>0</v>
      </c>
      <c r="R7" s="786"/>
      <c r="S7" s="781"/>
      <c r="T7" s="782"/>
    </row>
    <row r="8" spans="1:24" ht="14.25" thickTop="1" thickBot="1" x14ac:dyDescent="0.25">
      <c r="A8" s="166"/>
      <c r="B8" s="774"/>
      <c r="C8" s="775" t="s">
        <v>946</v>
      </c>
      <c r="D8" s="776"/>
      <c r="E8" s="783"/>
      <c r="F8" s="784">
        <f ca="1">IF(E6=0,0,F7+30)</f>
        <v>44551</v>
      </c>
      <c r="G8" s="784">
        <f t="shared" ref="G8:I8" ca="1" si="1">IF(G6=0,0,G7+30)</f>
        <v>44582</v>
      </c>
      <c r="H8" s="784">
        <f t="shared" ca="1" si="1"/>
        <v>44613</v>
      </c>
      <c r="I8" s="784">
        <f t="shared" ca="1" si="1"/>
        <v>44644</v>
      </c>
      <c r="J8" s="784">
        <f ca="1">IF(J6=0,0,J7+30)</f>
        <v>44675</v>
      </c>
      <c r="K8" s="784">
        <f t="shared" ref="K8:Q8" ca="1" si="2">IF(K6=0,0,K7+30)</f>
        <v>44706</v>
      </c>
      <c r="L8" s="784">
        <f t="shared" ca="1" si="2"/>
        <v>44737</v>
      </c>
      <c r="M8" s="784">
        <f t="shared" si="2"/>
        <v>0</v>
      </c>
      <c r="N8" s="784">
        <f t="shared" si="2"/>
        <v>0</v>
      </c>
      <c r="O8" s="784">
        <f t="shared" si="2"/>
        <v>0</v>
      </c>
      <c r="P8" s="784">
        <f t="shared" si="2"/>
        <v>0</v>
      </c>
      <c r="Q8" s="785">
        <f t="shared" si="2"/>
        <v>0</v>
      </c>
      <c r="R8" s="786"/>
      <c r="S8" s="781"/>
      <c r="T8" s="782"/>
    </row>
    <row r="9" spans="1:24" ht="13.5" thickTop="1" x14ac:dyDescent="0.2">
      <c r="A9" s="168" t="str">
        <f>CONCATENATE($E$6,"|",B9)</f>
        <v>7|1</v>
      </c>
      <c r="B9" s="787">
        <v>1</v>
      </c>
      <c r="C9" s="788" t="s">
        <v>499</v>
      </c>
      <c r="D9" s="789"/>
      <c r="E9" s="790">
        <v>1</v>
      </c>
      <c r="F9" s="791">
        <v>20</v>
      </c>
      <c r="G9" s="791">
        <v>30</v>
      </c>
      <c r="H9" s="791">
        <v>30</v>
      </c>
      <c r="I9" s="791">
        <v>20</v>
      </c>
      <c r="J9" s="791">
        <v>0</v>
      </c>
      <c r="K9" s="791">
        <v>0</v>
      </c>
      <c r="L9" s="791">
        <v>0</v>
      </c>
      <c r="M9" s="791">
        <v>0</v>
      </c>
      <c r="N9" s="791">
        <v>0</v>
      </c>
      <c r="O9" s="791">
        <v>0</v>
      </c>
      <c r="P9" s="791">
        <v>0</v>
      </c>
      <c r="Q9" s="792">
        <v>0</v>
      </c>
      <c r="R9" s="793"/>
      <c r="S9" s="794">
        <f>'orc DER JAN 2021'!V18</f>
        <v>6097.39</v>
      </c>
      <c r="T9" s="795">
        <f t="shared" ref="T9:T19" si="3">IF($S$21=0,0,(S9/$S$21)*100)</f>
        <v>0.32557761862130608</v>
      </c>
      <c r="W9" s="796">
        <f t="shared" ref="W9:W19" si="4">SUM(F9:Q9)</f>
        <v>100</v>
      </c>
    </row>
    <row r="10" spans="1:24" x14ac:dyDescent="0.2">
      <c r="A10" s="168" t="str">
        <f t="shared" ref="A10:A19" si="5">CONCATENATE($E$6,"|",B10)</f>
        <v>7|2</v>
      </c>
      <c r="B10" s="797" t="s">
        <v>189</v>
      </c>
      <c r="C10" s="788" t="s">
        <v>495</v>
      </c>
      <c r="D10" s="789"/>
      <c r="E10" s="790">
        <v>2</v>
      </c>
      <c r="F10" s="791">
        <v>15</v>
      </c>
      <c r="G10" s="791">
        <v>25</v>
      </c>
      <c r="H10" s="791">
        <v>30</v>
      </c>
      <c r="I10" s="791">
        <v>25</v>
      </c>
      <c r="J10" s="791">
        <v>5</v>
      </c>
      <c r="K10" s="791">
        <v>0</v>
      </c>
      <c r="L10" s="791">
        <v>0</v>
      </c>
      <c r="M10" s="791">
        <v>0</v>
      </c>
      <c r="N10" s="791">
        <v>0</v>
      </c>
      <c r="O10" s="791">
        <v>0</v>
      </c>
      <c r="P10" s="791">
        <v>0</v>
      </c>
      <c r="Q10" s="792">
        <v>0</v>
      </c>
      <c r="R10" s="793"/>
      <c r="S10" s="794">
        <f>'orc DER JAN 2021'!V68</f>
        <v>20910.88</v>
      </c>
      <c r="T10" s="795">
        <f t="shared" si="3"/>
        <v>1.1165620886438128</v>
      </c>
      <c r="W10" s="796">
        <f t="shared" si="4"/>
        <v>100</v>
      </c>
    </row>
    <row r="11" spans="1:24" x14ac:dyDescent="0.2">
      <c r="A11" s="168" t="str">
        <f t="shared" si="5"/>
        <v>7|3</v>
      </c>
      <c r="B11" s="797" t="s">
        <v>213</v>
      </c>
      <c r="C11" s="788" t="s">
        <v>501</v>
      </c>
      <c r="D11" s="789"/>
      <c r="E11" s="790">
        <v>3</v>
      </c>
      <c r="F11" s="791">
        <v>5</v>
      </c>
      <c r="G11" s="791">
        <v>20</v>
      </c>
      <c r="H11" s="791">
        <v>30</v>
      </c>
      <c r="I11" s="791">
        <v>25</v>
      </c>
      <c r="J11" s="791">
        <v>20</v>
      </c>
      <c r="K11" s="791">
        <v>0</v>
      </c>
      <c r="L11" s="791">
        <v>0</v>
      </c>
      <c r="M11" s="791">
        <v>0</v>
      </c>
      <c r="N11" s="791">
        <v>0</v>
      </c>
      <c r="O11" s="791">
        <v>0</v>
      </c>
      <c r="P11" s="791">
        <v>0</v>
      </c>
      <c r="Q11" s="792">
        <v>0</v>
      </c>
      <c r="R11" s="793"/>
      <c r="S11" s="794">
        <f>'orc DER JAN 2021'!V113</f>
        <v>515253.24</v>
      </c>
      <c r="T11" s="795">
        <f t="shared" si="3"/>
        <v>27.512578802752042</v>
      </c>
      <c r="W11" s="796">
        <f t="shared" si="4"/>
        <v>100</v>
      </c>
    </row>
    <row r="12" spans="1:24" x14ac:dyDescent="0.2">
      <c r="A12" s="168" t="str">
        <f t="shared" si="5"/>
        <v>7|4</v>
      </c>
      <c r="B12" s="797" t="s">
        <v>231</v>
      </c>
      <c r="C12" s="788" t="s">
        <v>496</v>
      </c>
      <c r="D12" s="789"/>
      <c r="E12" s="790">
        <v>4</v>
      </c>
      <c r="F12" s="791">
        <v>0</v>
      </c>
      <c r="G12" s="791">
        <v>5</v>
      </c>
      <c r="H12" s="791">
        <v>20</v>
      </c>
      <c r="I12" s="791">
        <v>30</v>
      </c>
      <c r="J12" s="791">
        <v>25</v>
      </c>
      <c r="K12" s="791">
        <v>20</v>
      </c>
      <c r="L12" s="791">
        <v>0</v>
      </c>
      <c r="M12" s="791">
        <v>0</v>
      </c>
      <c r="N12" s="791">
        <v>0</v>
      </c>
      <c r="O12" s="791">
        <v>0</v>
      </c>
      <c r="P12" s="791">
        <v>0</v>
      </c>
      <c r="Q12" s="792">
        <v>0</v>
      </c>
      <c r="R12" s="793"/>
      <c r="S12" s="794">
        <f>'orc DER JAN 2021'!V223</f>
        <v>678892.08</v>
      </c>
      <c r="T12" s="795">
        <f t="shared" si="3"/>
        <v>36.250275397713644</v>
      </c>
      <c r="W12" s="796">
        <f t="shared" si="4"/>
        <v>100</v>
      </c>
    </row>
    <row r="13" spans="1:24" x14ac:dyDescent="0.2">
      <c r="A13" s="168" t="str">
        <f t="shared" si="5"/>
        <v>7|5</v>
      </c>
      <c r="B13" s="797" t="s">
        <v>188</v>
      </c>
      <c r="C13" s="788" t="s">
        <v>497</v>
      </c>
      <c r="D13" s="789"/>
      <c r="E13" s="790">
        <v>5</v>
      </c>
      <c r="F13" s="791">
        <v>0</v>
      </c>
      <c r="G13" s="791">
        <v>15</v>
      </c>
      <c r="H13" s="791">
        <v>30</v>
      </c>
      <c r="I13" s="791">
        <v>30</v>
      </c>
      <c r="J13" s="791">
        <v>25</v>
      </c>
      <c r="K13" s="791">
        <v>0</v>
      </c>
      <c r="L13" s="791">
        <v>0</v>
      </c>
      <c r="M13" s="791">
        <v>0</v>
      </c>
      <c r="N13" s="791">
        <v>0</v>
      </c>
      <c r="O13" s="791">
        <v>0</v>
      </c>
      <c r="P13" s="791">
        <v>0</v>
      </c>
      <c r="Q13" s="792">
        <v>0</v>
      </c>
      <c r="R13" s="793"/>
      <c r="S13" s="794">
        <f>'orc DER JAN 2021'!V467</f>
        <v>54029.08</v>
      </c>
      <c r="T13" s="795">
        <f t="shared" si="3"/>
        <v>2.884949003212856</v>
      </c>
      <c r="W13" s="796">
        <f t="shared" si="4"/>
        <v>100</v>
      </c>
    </row>
    <row r="14" spans="1:24" x14ac:dyDescent="0.2">
      <c r="A14" s="168" t="str">
        <f t="shared" si="5"/>
        <v>7|6</v>
      </c>
      <c r="B14" s="797" t="s">
        <v>233</v>
      </c>
      <c r="C14" s="788" t="s">
        <v>503</v>
      </c>
      <c r="D14" s="789"/>
      <c r="E14" s="790">
        <v>3</v>
      </c>
      <c r="F14" s="791">
        <v>0</v>
      </c>
      <c r="G14" s="791">
        <v>5</v>
      </c>
      <c r="H14" s="791">
        <v>10</v>
      </c>
      <c r="I14" s="791">
        <v>30</v>
      </c>
      <c r="J14" s="791">
        <v>30</v>
      </c>
      <c r="K14" s="791">
        <v>25</v>
      </c>
      <c r="L14" s="791">
        <v>0</v>
      </c>
      <c r="M14" s="791">
        <v>0</v>
      </c>
      <c r="N14" s="791">
        <v>0</v>
      </c>
      <c r="O14" s="791">
        <v>0</v>
      </c>
      <c r="P14" s="791">
        <v>0</v>
      </c>
      <c r="Q14" s="792">
        <v>0</v>
      </c>
      <c r="R14" s="793"/>
      <c r="S14" s="794">
        <f>'orc DER JAN 2021'!V522</f>
        <v>182134.95</v>
      </c>
      <c r="T14" s="795">
        <f t="shared" si="3"/>
        <v>9.7253190772954738</v>
      </c>
      <c r="W14" s="796">
        <f t="shared" si="4"/>
        <v>100</v>
      </c>
    </row>
    <row r="15" spans="1:24" x14ac:dyDescent="0.2">
      <c r="A15" s="168" t="str">
        <f t="shared" si="5"/>
        <v>7|7</v>
      </c>
      <c r="B15" s="797" t="s">
        <v>474</v>
      </c>
      <c r="C15" s="788" t="s">
        <v>504</v>
      </c>
      <c r="D15" s="789"/>
      <c r="E15" s="790">
        <v>5</v>
      </c>
      <c r="F15" s="791">
        <v>0</v>
      </c>
      <c r="G15" s="791">
        <v>0</v>
      </c>
      <c r="H15" s="791">
        <v>20</v>
      </c>
      <c r="I15" s="791">
        <v>20</v>
      </c>
      <c r="J15" s="791">
        <v>30</v>
      </c>
      <c r="K15" s="791">
        <v>30</v>
      </c>
      <c r="L15" s="791">
        <v>0</v>
      </c>
      <c r="M15" s="791">
        <v>0</v>
      </c>
      <c r="N15" s="791">
        <v>0</v>
      </c>
      <c r="O15" s="791">
        <v>0</v>
      </c>
      <c r="P15" s="791">
        <v>0</v>
      </c>
      <c r="Q15" s="792">
        <v>0</v>
      </c>
      <c r="R15" s="793"/>
      <c r="S15" s="794">
        <f>'orc DER JAN 2021'!V719</f>
        <v>55596.86</v>
      </c>
      <c r="T15" s="795">
        <f t="shared" si="3"/>
        <v>2.9686625394836392</v>
      </c>
      <c r="W15" s="796">
        <f t="shared" si="4"/>
        <v>100</v>
      </c>
    </row>
    <row r="16" spans="1:24" x14ac:dyDescent="0.2">
      <c r="A16" s="168" t="str">
        <f t="shared" si="5"/>
        <v>7|8</v>
      </c>
      <c r="B16" s="797" t="s">
        <v>340</v>
      </c>
      <c r="C16" s="788" t="s">
        <v>506</v>
      </c>
      <c r="D16" s="789"/>
      <c r="E16" s="790">
        <v>6</v>
      </c>
      <c r="F16" s="791">
        <v>0</v>
      </c>
      <c r="G16" s="791">
        <v>0</v>
      </c>
      <c r="H16" s="791">
        <v>20</v>
      </c>
      <c r="I16" s="791">
        <v>30</v>
      </c>
      <c r="J16" s="791">
        <v>30</v>
      </c>
      <c r="K16" s="791">
        <v>20</v>
      </c>
      <c r="L16" s="791">
        <v>0</v>
      </c>
      <c r="M16" s="791">
        <v>0</v>
      </c>
      <c r="N16" s="791">
        <v>0</v>
      </c>
      <c r="O16" s="791">
        <v>0</v>
      </c>
      <c r="P16" s="791">
        <v>0</v>
      </c>
      <c r="Q16" s="792">
        <v>0</v>
      </c>
      <c r="R16" s="793"/>
      <c r="S16" s="794">
        <f>'orc DER JAN 2021'!V779</f>
        <v>52935.519999999997</v>
      </c>
      <c r="T16" s="795">
        <f t="shared" si="3"/>
        <v>2.8265570255602017</v>
      </c>
      <c r="W16" s="796">
        <f t="shared" si="4"/>
        <v>100</v>
      </c>
    </row>
    <row r="17" spans="1:23" x14ac:dyDescent="0.2">
      <c r="A17" s="168" t="str">
        <f t="shared" si="5"/>
        <v>7|9</v>
      </c>
      <c r="B17" s="797" t="s">
        <v>507</v>
      </c>
      <c r="C17" s="788" t="s">
        <v>508</v>
      </c>
      <c r="D17" s="789"/>
      <c r="E17" s="790">
        <v>6</v>
      </c>
      <c r="F17" s="791">
        <v>5</v>
      </c>
      <c r="G17" s="791">
        <v>15</v>
      </c>
      <c r="H17" s="791">
        <v>25</v>
      </c>
      <c r="I17" s="791">
        <v>25</v>
      </c>
      <c r="J17" s="791">
        <v>20</v>
      </c>
      <c r="K17" s="791">
        <v>10</v>
      </c>
      <c r="L17" s="791">
        <v>0</v>
      </c>
      <c r="M17" s="791">
        <v>0</v>
      </c>
      <c r="N17" s="791">
        <v>0</v>
      </c>
      <c r="O17" s="791">
        <v>0</v>
      </c>
      <c r="P17" s="791">
        <v>0</v>
      </c>
      <c r="Q17" s="792">
        <v>0</v>
      </c>
      <c r="R17" s="793"/>
      <c r="S17" s="794"/>
      <c r="T17" s="795">
        <f t="shared" si="3"/>
        <v>0</v>
      </c>
      <c r="W17" s="796">
        <f t="shared" si="4"/>
        <v>100</v>
      </c>
    </row>
    <row r="18" spans="1:23" x14ac:dyDescent="0.2">
      <c r="A18" s="168" t="str">
        <f t="shared" si="5"/>
        <v>7|10</v>
      </c>
      <c r="B18" s="797" t="s">
        <v>509</v>
      </c>
      <c r="C18" s="788" t="s">
        <v>498</v>
      </c>
      <c r="D18" s="789"/>
      <c r="E18" s="790"/>
      <c r="F18" s="791">
        <v>20</v>
      </c>
      <c r="G18" s="791">
        <v>30</v>
      </c>
      <c r="H18" s="791">
        <v>30</v>
      </c>
      <c r="I18" s="791">
        <v>15</v>
      </c>
      <c r="J18" s="791">
        <v>5</v>
      </c>
      <c r="K18" s="791">
        <v>0</v>
      </c>
      <c r="L18" s="791">
        <v>0</v>
      </c>
      <c r="M18" s="791">
        <v>0</v>
      </c>
      <c r="N18" s="791">
        <v>0</v>
      </c>
      <c r="O18" s="791">
        <v>0</v>
      </c>
      <c r="P18" s="791">
        <v>0</v>
      </c>
      <c r="Q18" s="792">
        <v>0</v>
      </c>
      <c r="R18" s="793"/>
      <c r="S18" s="794">
        <f>'orc DER JAN 2021'!V1734</f>
        <v>278168.89</v>
      </c>
      <c r="T18" s="795">
        <f t="shared" si="3"/>
        <v>14.853169106901811</v>
      </c>
      <c r="W18" s="796">
        <f t="shared" si="4"/>
        <v>100</v>
      </c>
    </row>
    <row r="19" spans="1:23" x14ac:dyDescent="0.2">
      <c r="A19" s="168" t="str">
        <f t="shared" si="5"/>
        <v>7|11</v>
      </c>
      <c r="B19" s="797" t="s">
        <v>764</v>
      </c>
      <c r="C19" s="788" t="s">
        <v>803</v>
      </c>
      <c r="D19" s="789"/>
      <c r="E19" s="790"/>
      <c r="F19" s="791">
        <v>3</v>
      </c>
      <c r="G19" s="791">
        <v>12</v>
      </c>
      <c r="H19" s="791">
        <v>25</v>
      </c>
      <c r="I19" s="791">
        <v>28</v>
      </c>
      <c r="J19" s="791">
        <v>21</v>
      </c>
      <c r="K19" s="791">
        <v>11</v>
      </c>
      <c r="L19" s="791">
        <v>0</v>
      </c>
      <c r="M19" s="791">
        <v>0</v>
      </c>
      <c r="N19" s="791">
        <v>0</v>
      </c>
      <c r="O19" s="791">
        <v>0</v>
      </c>
      <c r="P19" s="791">
        <v>0</v>
      </c>
      <c r="Q19" s="792">
        <v>0</v>
      </c>
      <c r="R19" s="793"/>
      <c r="S19" s="794">
        <f>'orc DER JAN 2021'!V2611</f>
        <v>28772.620000000003</v>
      </c>
      <c r="T19" s="795">
        <f t="shared" si="3"/>
        <v>1.5363493398151937</v>
      </c>
      <c r="W19" s="796">
        <f t="shared" si="4"/>
        <v>100</v>
      </c>
    </row>
    <row r="20" spans="1:23" ht="13.5" thickBot="1" x14ac:dyDescent="0.25">
      <c r="A20" s="166"/>
      <c r="B20" s="798"/>
      <c r="C20" s="799"/>
      <c r="D20" s="799"/>
      <c r="E20" s="799"/>
      <c r="F20" s="800"/>
      <c r="G20" s="800"/>
      <c r="H20" s="800"/>
      <c r="I20" s="800"/>
      <c r="J20" s="800"/>
      <c r="K20" s="800"/>
      <c r="L20" s="800"/>
      <c r="M20" s="800"/>
      <c r="N20" s="800"/>
      <c r="O20" s="800"/>
      <c r="P20" s="800"/>
      <c r="Q20" s="800"/>
      <c r="R20" s="800"/>
      <c r="S20" s="801"/>
      <c r="T20" s="802"/>
    </row>
    <row r="21" spans="1:23" ht="14.25" thickTop="1" thickBot="1" x14ac:dyDescent="0.25">
      <c r="A21" s="166"/>
      <c r="B21" s="803"/>
      <c r="C21" s="804" t="s">
        <v>947</v>
      </c>
      <c r="D21" s="804" t="s">
        <v>947</v>
      </c>
      <c r="E21" s="805"/>
      <c r="F21" s="806"/>
      <c r="G21" s="806"/>
      <c r="H21" s="806"/>
      <c r="I21" s="806"/>
      <c r="J21" s="806"/>
      <c r="K21" s="806"/>
      <c r="L21" s="806"/>
      <c r="M21" s="806"/>
      <c r="N21" s="806"/>
      <c r="O21" s="806"/>
      <c r="P21" s="806"/>
      <c r="Q21" s="806"/>
      <c r="R21" s="806"/>
      <c r="S21" s="807">
        <f>SUM(S9:S20)</f>
        <v>1872791.5100000002</v>
      </c>
      <c r="T21" s="808">
        <f>SUM(T9:T19)</f>
        <v>100</v>
      </c>
    </row>
    <row r="22" spans="1:23" ht="18.75" thickTop="1" x14ac:dyDescent="0.2">
      <c r="A22" s="166"/>
      <c r="B22" s="809" t="s">
        <v>948</v>
      </c>
      <c r="C22" s="810"/>
      <c r="D22" s="810"/>
      <c r="E22" s="810"/>
      <c r="F22" s="811"/>
      <c r="G22" s="811"/>
      <c r="H22" s="811"/>
      <c r="I22" s="811"/>
      <c r="J22" s="811"/>
      <c r="K22" s="811"/>
      <c r="L22" s="811"/>
      <c r="M22" s="811"/>
      <c r="N22" s="811"/>
      <c r="O22" s="811"/>
      <c r="P22" s="811"/>
      <c r="Q22" s="811"/>
      <c r="R22" s="811"/>
      <c r="S22" s="811"/>
      <c r="T22" s="812"/>
    </row>
    <row r="23" spans="1:23" ht="13.5" thickBot="1" x14ac:dyDescent="0.25">
      <c r="A23" s="166"/>
      <c r="B23" s="813" t="s">
        <v>943</v>
      </c>
      <c r="C23" s="814"/>
      <c r="D23" s="814"/>
      <c r="E23" s="814"/>
      <c r="F23" s="815" t="s">
        <v>949</v>
      </c>
      <c r="G23" s="815"/>
      <c r="H23" s="815"/>
      <c r="I23" s="815"/>
      <c r="J23" s="815"/>
      <c r="K23" s="815"/>
      <c r="L23" s="815"/>
      <c r="M23" s="815"/>
      <c r="N23" s="815"/>
      <c r="O23" s="815"/>
      <c r="P23" s="815"/>
      <c r="Q23" s="816"/>
      <c r="R23" s="770" t="s">
        <v>950</v>
      </c>
      <c r="S23" s="817" t="s">
        <v>542</v>
      </c>
      <c r="T23" s="818" t="s">
        <v>941</v>
      </c>
    </row>
    <row r="24" spans="1:23" ht="13.5" thickTop="1" x14ac:dyDescent="0.2">
      <c r="A24" s="166"/>
      <c r="B24" s="819"/>
      <c r="C24" s="820"/>
      <c r="D24" s="821"/>
      <c r="E24" s="821"/>
      <c r="F24" s="822">
        <f t="shared" ref="F24:Q24" si="6">F6</f>
        <v>1</v>
      </c>
      <c r="G24" s="822">
        <f t="shared" si="6"/>
        <v>2</v>
      </c>
      <c r="H24" s="822">
        <f t="shared" si="6"/>
        <v>3</v>
      </c>
      <c r="I24" s="822">
        <f t="shared" si="6"/>
        <v>4</v>
      </c>
      <c r="J24" s="822">
        <f t="shared" si="6"/>
        <v>5</v>
      </c>
      <c r="K24" s="822">
        <f t="shared" si="6"/>
        <v>6</v>
      </c>
      <c r="L24" s="822">
        <f t="shared" si="6"/>
        <v>7</v>
      </c>
      <c r="M24" s="822">
        <f t="shared" si="6"/>
        <v>0</v>
      </c>
      <c r="N24" s="822">
        <f t="shared" si="6"/>
        <v>0</v>
      </c>
      <c r="O24" s="822">
        <f t="shared" si="6"/>
        <v>0</v>
      </c>
      <c r="P24" s="822">
        <f t="shared" si="6"/>
        <v>0</v>
      </c>
      <c r="Q24" s="823">
        <f t="shared" si="6"/>
        <v>0</v>
      </c>
      <c r="R24" s="824" t="s">
        <v>951</v>
      </c>
      <c r="S24" s="825" t="s">
        <v>943</v>
      </c>
      <c r="T24" s="826" t="s">
        <v>943</v>
      </c>
    </row>
    <row r="25" spans="1:23" x14ac:dyDescent="0.2">
      <c r="A25" s="166"/>
      <c r="B25" s="827" t="s">
        <v>952</v>
      </c>
      <c r="C25" s="828" t="s">
        <v>499</v>
      </c>
      <c r="D25" s="829" t="s">
        <v>953</v>
      </c>
      <c r="E25" s="830" t="s">
        <v>954</v>
      </c>
      <c r="F25" s="831">
        <f t="shared" ref="F25:Q25" si="7">((F9/100)*$S$9)*$T$2</f>
        <v>0</v>
      </c>
      <c r="G25" s="831">
        <f t="shared" si="7"/>
        <v>0</v>
      </c>
      <c r="H25" s="831">
        <f t="shared" si="7"/>
        <v>0</v>
      </c>
      <c r="I25" s="831">
        <f t="shared" si="7"/>
        <v>0</v>
      </c>
      <c r="J25" s="831">
        <f t="shared" si="7"/>
        <v>0</v>
      </c>
      <c r="K25" s="831">
        <f t="shared" si="7"/>
        <v>0</v>
      </c>
      <c r="L25" s="831">
        <f t="shared" si="7"/>
        <v>0</v>
      </c>
      <c r="M25" s="831">
        <f t="shared" si="7"/>
        <v>0</v>
      </c>
      <c r="N25" s="831">
        <f t="shared" si="7"/>
        <v>0</v>
      </c>
      <c r="O25" s="831">
        <f t="shared" si="7"/>
        <v>0</v>
      </c>
      <c r="P25" s="831">
        <f t="shared" si="7"/>
        <v>0</v>
      </c>
      <c r="Q25" s="832">
        <f t="shared" si="7"/>
        <v>0</v>
      </c>
      <c r="R25" s="833">
        <f>COUNTIF(F25:Q25,"&gt;0")</f>
        <v>0</v>
      </c>
      <c r="S25" s="834">
        <f t="shared" ref="S25:S46" si="8">SUM(F25:Q25)</f>
        <v>0</v>
      </c>
      <c r="T25" s="835">
        <f t="shared" ref="T25:T46" si="9">IF($S$51=0,0,(S25/$S$51))</f>
        <v>0</v>
      </c>
    </row>
    <row r="26" spans="1:23" x14ac:dyDescent="0.2">
      <c r="A26" s="166"/>
      <c r="B26" s="827" t="s">
        <v>955</v>
      </c>
      <c r="C26" s="836"/>
      <c r="D26" s="829" t="s">
        <v>956</v>
      </c>
      <c r="E26" s="830" t="s">
        <v>954</v>
      </c>
      <c r="F26" s="831">
        <f>((F9/100)*$S$9)*T3</f>
        <v>1219.4780000000001</v>
      </c>
      <c r="G26" s="831">
        <f t="shared" ref="G26:Q26" si="10">((G9/100)*$S$9)*$T$3</f>
        <v>1829.2170000000001</v>
      </c>
      <c r="H26" s="831">
        <f t="shared" si="10"/>
        <v>1829.2170000000001</v>
      </c>
      <c r="I26" s="831">
        <f t="shared" si="10"/>
        <v>1219.4780000000001</v>
      </c>
      <c r="J26" s="831">
        <f t="shared" si="10"/>
        <v>0</v>
      </c>
      <c r="K26" s="831">
        <f t="shared" si="10"/>
        <v>0</v>
      </c>
      <c r="L26" s="831">
        <f t="shared" si="10"/>
        <v>0</v>
      </c>
      <c r="M26" s="831">
        <f t="shared" si="10"/>
        <v>0</v>
      </c>
      <c r="N26" s="831">
        <f t="shared" si="10"/>
        <v>0</v>
      </c>
      <c r="O26" s="831">
        <f t="shared" si="10"/>
        <v>0</v>
      </c>
      <c r="P26" s="831">
        <f t="shared" si="10"/>
        <v>0</v>
      </c>
      <c r="Q26" s="832">
        <f t="shared" si="10"/>
        <v>0</v>
      </c>
      <c r="R26" s="837">
        <f t="shared" ref="R26:R46" si="11">COUNTIF(F26:Q26,"&gt;0")</f>
        <v>4</v>
      </c>
      <c r="S26" s="834">
        <f t="shared" si="8"/>
        <v>6097.39</v>
      </c>
      <c r="T26" s="835">
        <f t="shared" si="9"/>
        <v>3.2557761862130612E-3</v>
      </c>
      <c r="U26" s="838"/>
    </row>
    <row r="27" spans="1:23" x14ac:dyDescent="0.2">
      <c r="A27" s="166"/>
      <c r="B27" s="827" t="s">
        <v>957</v>
      </c>
      <c r="C27" s="839" t="s">
        <v>495</v>
      </c>
      <c r="D27" s="830" t="s">
        <v>953</v>
      </c>
      <c r="E27" s="830" t="s">
        <v>954</v>
      </c>
      <c r="F27" s="831">
        <f t="shared" ref="F27:Q27" si="12">((F10/100)*$S$10)*$T$2</f>
        <v>0</v>
      </c>
      <c r="G27" s="831">
        <f t="shared" si="12"/>
        <v>0</v>
      </c>
      <c r="H27" s="831">
        <f t="shared" si="12"/>
        <v>0</v>
      </c>
      <c r="I27" s="831">
        <f t="shared" si="12"/>
        <v>0</v>
      </c>
      <c r="J27" s="831">
        <f t="shared" si="12"/>
        <v>0</v>
      </c>
      <c r="K27" s="831">
        <f t="shared" si="12"/>
        <v>0</v>
      </c>
      <c r="L27" s="831">
        <f t="shared" si="12"/>
        <v>0</v>
      </c>
      <c r="M27" s="831">
        <f t="shared" si="12"/>
        <v>0</v>
      </c>
      <c r="N27" s="831">
        <f t="shared" si="12"/>
        <v>0</v>
      </c>
      <c r="O27" s="831">
        <f t="shared" si="12"/>
        <v>0</v>
      </c>
      <c r="P27" s="831">
        <f t="shared" si="12"/>
        <v>0</v>
      </c>
      <c r="Q27" s="832">
        <f t="shared" si="12"/>
        <v>0</v>
      </c>
      <c r="R27" s="837">
        <f t="shared" si="11"/>
        <v>0</v>
      </c>
      <c r="S27" s="834">
        <f t="shared" si="8"/>
        <v>0</v>
      </c>
      <c r="T27" s="835">
        <f t="shared" si="9"/>
        <v>0</v>
      </c>
    </row>
    <row r="28" spans="1:23" x14ac:dyDescent="0.2">
      <c r="A28" s="166"/>
      <c r="B28" s="827" t="s">
        <v>958</v>
      </c>
      <c r="C28" s="840"/>
      <c r="D28" s="830" t="s">
        <v>956</v>
      </c>
      <c r="E28" s="830" t="s">
        <v>954</v>
      </c>
      <c r="F28" s="831">
        <f t="shared" ref="F28:Q28" si="13">((F10/100)*$S$10)*$T$3</f>
        <v>3136.6320000000001</v>
      </c>
      <c r="G28" s="831">
        <f t="shared" si="13"/>
        <v>5227.72</v>
      </c>
      <c r="H28" s="831">
        <f t="shared" si="13"/>
        <v>6273.2640000000001</v>
      </c>
      <c r="I28" s="831">
        <f t="shared" si="13"/>
        <v>5227.72</v>
      </c>
      <c r="J28" s="831">
        <f t="shared" si="13"/>
        <v>1045.5440000000001</v>
      </c>
      <c r="K28" s="831">
        <f t="shared" si="13"/>
        <v>0</v>
      </c>
      <c r="L28" s="831">
        <f t="shared" si="13"/>
        <v>0</v>
      </c>
      <c r="M28" s="831">
        <f t="shared" si="13"/>
        <v>0</v>
      </c>
      <c r="N28" s="831">
        <f t="shared" si="13"/>
        <v>0</v>
      </c>
      <c r="O28" s="831">
        <f t="shared" si="13"/>
        <v>0</v>
      </c>
      <c r="P28" s="831">
        <f t="shared" si="13"/>
        <v>0</v>
      </c>
      <c r="Q28" s="832">
        <f t="shared" si="13"/>
        <v>0</v>
      </c>
      <c r="R28" s="837">
        <f t="shared" si="11"/>
        <v>5</v>
      </c>
      <c r="S28" s="834">
        <f t="shared" si="8"/>
        <v>20910.880000000005</v>
      </c>
      <c r="T28" s="835">
        <f t="shared" si="9"/>
        <v>1.1165620886438131E-2</v>
      </c>
      <c r="U28" s="838"/>
    </row>
    <row r="29" spans="1:23" x14ac:dyDescent="0.2">
      <c r="A29" s="166"/>
      <c r="B29" s="827" t="s">
        <v>959</v>
      </c>
      <c r="C29" s="839" t="s">
        <v>501</v>
      </c>
      <c r="D29" s="830" t="s">
        <v>953</v>
      </c>
      <c r="E29" s="830" t="s">
        <v>954</v>
      </c>
      <c r="F29" s="831">
        <f t="shared" ref="F29:Q29" si="14">((F11/100)*$S$11)*$T$2</f>
        <v>0</v>
      </c>
      <c r="G29" s="831">
        <f t="shared" si="14"/>
        <v>0</v>
      </c>
      <c r="H29" s="831">
        <f t="shared" si="14"/>
        <v>0</v>
      </c>
      <c r="I29" s="831">
        <f t="shared" si="14"/>
        <v>0</v>
      </c>
      <c r="J29" s="831">
        <f t="shared" si="14"/>
        <v>0</v>
      </c>
      <c r="K29" s="831">
        <f t="shared" si="14"/>
        <v>0</v>
      </c>
      <c r="L29" s="831">
        <f t="shared" si="14"/>
        <v>0</v>
      </c>
      <c r="M29" s="831">
        <f t="shared" si="14"/>
        <v>0</v>
      </c>
      <c r="N29" s="831">
        <f t="shared" si="14"/>
        <v>0</v>
      </c>
      <c r="O29" s="831">
        <f t="shared" si="14"/>
        <v>0</v>
      </c>
      <c r="P29" s="831">
        <f t="shared" si="14"/>
        <v>0</v>
      </c>
      <c r="Q29" s="832">
        <f t="shared" si="14"/>
        <v>0</v>
      </c>
      <c r="R29" s="837">
        <f t="shared" si="11"/>
        <v>0</v>
      </c>
      <c r="S29" s="834">
        <f t="shared" si="8"/>
        <v>0</v>
      </c>
      <c r="T29" s="835">
        <f t="shared" si="9"/>
        <v>0</v>
      </c>
    </row>
    <row r="30" spans="1:23" x14ac:dyDescent="0.2">
      <c r="A30" s="166"/>
      <c r="B30" s="827" t="s">
        <v>960</v>
      </c>
      <c r="C30" s="840"/>
      <c r="D30" s="830" t="s">
        <v>956</v>
      </c>
      <c r="E30" s="830" t="s">
        <v>954</v>
      </c>
      <c r="F30" s="831">
        <f t="shared" ref="F30:Q30" si="15">((F11/100)*$S$11)*$T$3</f>
        <v>25762.662</v>
      </c>
      <c r="G30" s="831">
        <f t="shared" si="15"/>
        <v>103050.648</v>
      </c>
      <c r="H30" s="831">
        <f t="shared" si="15"/>
        <v>154575.97199999998</v>
      </c>
      <c r="I30" s="831">
        <f t="shared" si="15"/>
        <v>128813.31</v>
      </c>
      <c r="J30" s="831">
        <f t="shared" si="15"/>
        <v>103050.648</v>
      </c>
      <c r="K30" s="831">
        <f t="shared" si="15"/>
        <v>0</v>
      </c>
      <c r="L30" s="831">
        <f t="shared" si="15"/>
        <v>0</v>
      </c>
      <c r="M30" s="831">
        <f t="shared" si="15"/>
        <v>0</v>
      </c>
      <c r="N30" s="831">
        <f t="shared" si="15"/>
        <v>0</v>
      </c>
      <c r="O30" s="831">
        <f t="shared" si="15"/>
        <v>0</v>
      </c>
      <c r="P30" s="831">
        <f t="shared" si="15"/>
        <v>0</v>
      </c>
      <c r="Q30" s="832">
        <f t="shared" si="15"/>
        <v>0</v>
      </c>
      <c r="R30" s="837">
        <f t="shared" si="11"/>
        <v>5</v>
      </c>
      <c r="S30" s="834">
        <f t="shared" si="8"/>
        <v>515253.24</v>
      </c>
      <c r="T30" s="835">
        <f t="shared" si="9"/>
        <v>0.27512578802752047</v>
      </c>
      <c r="U30" s="838"/>
    </row>
    <row r="31" spans="1:23" x14ac:dyDescent="0.2">
      <c r="A31" s="166"/>
      <c r="B31" s="827" t="s">
        <v>961</v>
      </c>
      <c r="C31" s="839" t="s">
        <v>496</v>
      </c>
      <c r="D31" s="830" t="s">
        <v>953</v>
      </c>
      <c r="E31" s="830" t="s">
        <v>954</v>
      </c>
      <c r="F31" s="831">
        <f>((F12/100)*$S$12)*T2</f>
        <v>0</v>
      </c>
      <c r="G31" s="831">
        <f t="shared" ref="G31:Q31" si="16">((G12/100)*$S$12)*$T$2</f>
        <v>0</v>
      </c>
      <c r="H31" s="831">
        <f t="shared" si="16"/>
        <v>0</v>
      </c>
      <c r="I31" s="831">
        <f t="shared" si="16"/>
        <v>0</v>
      </c>
      <c r="J31" s="831">
        <f t="shared" si="16"/>
        <v>0</v>
      </c>
      <c r="K31" s="831">
        <f t="shared" si="16"/>
        <v>0</v>
      </c>
      <c r="L31" s="831">
        <f t="shared" si="16"/>
        <v>0</v>
      </c>
      <c r="M31" s="831">
        <f t="shared" si="16"/>
        <v>0</v>
      </c>
      <c r="N31" s="831">
        <f t="shared" si="16"/>
        <v>0</v>
      </c>
      <c r="O31" s="831">
        <f t="shared" si="16"/>
        <v>0</v>
      </c>
      <c r="P31" s="831">
        <f t="shared" si="16"/>
        <v>0</v>
      </c>
      <c r="Q31" s="832">
        <f t="shared" si="16"/>
        <v>0</v>
      </c>
      <c r="R31" s="837">
        <f t="shared" si="11"/>
        <v>0</v>
      </c>
      <c r="S31" s="834">
        <f t="shared" si="8"/>
        <v>0</v>
      </c>
      <c r="T31" s="835">
        <f t="shared" si="9"/>
        <v>0</v>
      </c>
    </row>
    <row r="32" spans="1:23" x14ac:dyDescent="0.2">
      <c r="A32" s="166"/>
      <c r="B32" s="827" t="s">
        <v>962</v>
      </c>
      <c r="C32" s="840"/>
      <c r="D32" s="830" t="s">
        <v>956</v>
      </c>
      <c r="E32" s="830" t="s">
        <v>954</v>
      </c>
      <c r="F32" s="831">
        <f t="shared" ref="F32:Q32" si="17">((F12/100)*$S$12)*$T$3</f>
        <v>0</v>
      </c>
      <c r="G32" s="831">
        <f t="shared" si="17"/>
        <v>33944.603999999999</v>
      </c>
      <c r="H32" s="831">
        <f t="shared" si="17"/>
        <v>135778.416</v>
      </c>
      <c r="I32" s="831">
        <f t="shared" si="17"/>
        <v>203667.62399999998</v>
      </c>
      <c r="J32" s="831">
        <f t="shared" si="17"/>
        <v>169723.02</v>
      </c>
      <c r="K32" s="831">
        <f t="shared" si="17"/>
        <v>135778.416</v>
      </c>
      <c r="L32" s="831">
        <f t="shared" si="17"/>
        <v>0</v>
      </c>
      <c r="M32" s="831">
        <f t="shared" si="17"/>
        <v>0</v>
      </c>
      <c r="N32" s="831">
        <f t="shared" si="17"/>
        <v>0</v>
      </c>
      <c r="O32" s="831">
        <f t="shared" si="17"/>
        <v>0</v>
      </c>
      <c r="P32" s="831">
        <f t="shared" si="17"/>
        <v>0</v>
      </c>
      <c r="Q32" s="832">
        <f t="shared" si="17"/>
        <v>0</v>
      </c>
      <c r="R32" s="837">
        <f t="shared" si="11"/>
        <v>5</v>
      </c>
      <c r="S32" s="834">
        <f t="shared" si="8"/>
        <v>678892.08</v>
      </c>
      <c r="T32" s="835">
        <f t="shared" si="9"/>
        <v>0.36250275397713649</v>
      </c>
      <c r="U32" s="838"/>
    </row>
    <row r="33" spans="1:21" x14ac:dyDescent="0.2">
      <c r="A33" s="166"/>
      <c r="B33" s="827" t="s">
        <v>963</v>
      </c>
      <c r="C33" s="839" t="s">
        <v>497</v>
      </c>
      <c r="D33" s="830" t="s">
        <v>953</v>
      </c>
      <c r="E33" s="830" t="s">
        <v>954</v>
      </c>
      <c r="F33" s="831">
        <f t="shared" ref="F33:Q33" si="18">((F13/100)*$S$13)*$T$2</f>
        <v>0</v>
      </c>
      <c r="G33" s="831">
        <f t="shared" si="18"/>
        <v>0</v>
      </c>
      <c r="H33" s="831">
        <f t="shared" si="18"/>
        <v>0</v>
      </c>
      <c r="I33" s="831">
        <f t="shared" si="18"/>
        <v>0</v>
      </c>
      <c r="J33" s="831">
        <f t="shared" si="18"/>
        <v>0</v>
      </c>
      <c r="K33" s="831">
        <f t="shared" si="18"/>
        <v>0</v>
      </c>
      <c r="L33" s="831">
        <f t="shared" si="18"/>
        <v>0</v>
      </c>
      <c r="M33" s="831">
        <f t="shared" si="18"/>
        <v>0</v>
      </c>
      <c r="N33" s="831">
        <f t="shared" si="18"/>
        <v>0</v>
      </c>
      <c r="O33" s="831">
        <f t="shared" si="18"/>
        <v>0</v>
      </c>
      <c r="P33" s="831">
        <f t="shared" si="18"/>
        <v>0</v>
      </c>
      <c r="Q33" s="832">
        <f t="shared" si="18"/>
        <v>0</v>
      </c>
      <c r="R33" s="837">
        <f t="shared" si="11"/>
        <v>0</v>
      </c>
      <c r="S33" s="834">
        <f t="shared" si="8"/>
        <v>0</v>
      </c>
      <c r="T33" s="835">
        <f t="shared" si="9"/>
        <v>0</v>
      </c>
    </row>
    <row r="34" spans="1:21" x14ac:dyDescent="0.2">
      <c r="A34" s="166"/>
      <c r="B34" s="827" t="s">
        <v>964</v>
      </c>
      <c r="C34" s="840"/>
      <c r="D34" s="830" t="s">
        <v>956</v>
      </c>
      <c r="E34" s="830" t="s">
        <v>954</v>
      </c>
      <c r="F34" s="831">
        <f t="shared" ref="F34:Q34" si="19">((F13/100)*$S$13)*$T$3</f>
        <v>0</v>
      </c>
      <c r="G34" s="831">
        <f t="shared" si="19"/>
        <v>8104.3620000000001</v>
      </c>
      <c r="H34" s="831">
        <f t="shared" si="19"/>
        <v>16208.724</v>
      </c>
      <c r="I34" s="831">
        <f t="shared" si="19"/>
        <v>16208.724</v>
      </c>
      <c r="J34" s="831">
        <f t="shared" si="19"/>
        <v>13507.27</v>
      </c>
      <c r="K34" s="831">
        <f t="shared" si="19"/>
        <v>0</v>
      </c>
      <c r="L34" s="831">
        <f t="shared" si="19"/>
        <v>0</v>
      </c>
      <c r="M34" s="831">
        <f t="shared" si="19"/>
        <v>0</v>
      </c>
      <c r="N34" s="831">
        <f t="shared" si="19"/>
        <v>0</v>
      </c>
      <c r="O34" s="831">
        <f t="shared" si="19"/>
        <v>0</v>
      </c>
      <c r="P34" s="831">
        <f t="shared" si="19"/>
        <v>0</v>
      </c>
      <c r="Q34" s="832">
        <f t="shared" si="19"/>
        <v>0</v>
      </c>
      <c r="R34" s="837">
        <f t="shared" si="11"/>
        <v>4</v>
      </c>
      <c r="S34" s="834">
        <f t="shared" si="8"/>
        <v>54029.08</v>
      </c>
      <c r="T34" s="835">
        <f t="shared" si="9"/>
        <v>2.8849490032128562E-2</v>
      </c>
      <c r="U34" s="838"/>
    </row>
    <row r="35" spans="1:21" x14ac:dyDescent="0.2">
      <c r="A35" s="166"/>
      <c r="B35" s="827" t="s">
        <v>965</v>
      </c>
      <c r="C35" s="839" t="s">
        <v>503</v>
      </c>
      <c r="D35" s="830" t="s">
        <v>953</v>
      </c>
      <c r="E35" s="830" t="s">
        <v>954</v>
      </c>
      <c r="F35" s="831">
        <f t="shared" ref="F35:Q35" si="20">((F14/100)*$S$14)*$T$2</f>
        <v>0</v>
      </c>
      <c r="G35" s="831">
        <f t="shared" si="20"/>
        <v>0</v>
      </c>
      <c r="H35" s="831">
        <f t="shared" si="20"/>
        <v>0</v>
      </c>
      <c r="I35" s="831">
        <f t="shared" si="20"/>
        <v>0</v>
      </c>
      <c r="J35" s="831">
        <f t="shared" si="20"/>
        <v>0</v>
      </c>
      <c r="K35" s="831">
        <f t="shared" si="20"/>
        <v>0</v>
      </c>
      <c r="L35" s="831">
        <f t="shared" si="20"/>
        <v>0</v>
      </c>
      <c r="M35" s="831">
        <f t="shared" si="20"/>
        <v>0</v>
      </c>
      <c r="N35" s="831">
        <f t="shared" si="20"/>
        <v>0</v>
      </c>
      <c r="O35" s="831">
        <f t="shared" si="20"/>
        <v>0</v>
      </c>
      <c r="P35" s="831">
        <f t="shared" si="20"/>
        <v>0</v>
      </c>
      <c r="Q35" s="832">
        <f t="shared" si="20"/>
        <v>0</v>
      </c>
      <c r="R35" s="837">
        <f t="shared" si="11"/>
        <v>0</v>
      </c>
      <c r="S35" s="834">
        <f t="shared" si="8"/>
        <v>0</v>
      </c>
      <c r="T35" s="835">
        <f t="shared" si="9"/>
        <v>0</v>
      </c>
    </row>
    <row r="36" spans="1:21" x14ac:dyDescent="0.2">
      <c r="A36" s="166"/>
      <c r="B36" s="827" t="s">
        <v>966</v>
      </c>
      <c r="C36" s="840"/>
      <c r="D36" s="830" t="s">
        <v>956</v>
      </c>
      <c r="E36" s="830" t="s">
        <v>954</v>
      </c>
      <c r="F36" s="831">
        <f t="shared" ref="F36:Q36" si="21">((F14/100)*$S$14)*$T$3</f>
        <v>0</v>
      </c>
      <c r="G36" s="831">
        <f t="shared" si="21"/>
        <v>9106.7475000000013</v>
      </c>
      <c r="H36" s="831">
        <f t="shared" si="21"/>
        <v>18213.495000000003</v>
      </c>
      <c r="I36" s="831">
        <f t="shared" si="21"/>
        <v>54640.485000000001</v>
      </c>
      <c r="J36" s="831">
        <f t="shared" si="21"/>
        <v>54640.485000000001</v>
      </c>
      <c r="K36" s="831">
        <f t="shared" si="21"/>
        <v>45533.737500000003</v>
      </c>
      <c r="L36" s="831">
        <f t="shared" si="21"/>
        <v>0</v>
      </c>
      <c r="M36" s="831">
        <f t="shared" si="21"/>
        <v>0</v>
      </c>
      <c r="N36" s="831">
        <f t="shared" si="21"/>
        <v>0</v>
      </c>
      <c r="O36" s="831">
        <f t="shared" si="21"/>
        <v>0</v>
      </c>
      <c r="P36" s="831">
        <f t="shared" si="21"/>
        <v>0</v>
      </c>
      <c r="Q36" s="832">
        <f t="shared" si="21"/>
        <v>0</v>
      </c>
      <c r="R36" s="837">
        <f t="shared" si="11"/>
        <v>5</v>
      </c>
      <c r="S36" s="834">
        <f t="shared" si="8"/>
        <v>182134.95</v>
      </c>
      <c r="T36" s="835">
        <f t="shared" si="9"/>
        <v>9.7253190772954759E-2</v>
      </c>
      <c r="U36" s="838"/>
    </row>
    <row r="37" spans="1:21" x14ac:dyDescent="0.2">
      <c r="A37" s="166"/>
      <c r="B37" s="827" t="s">
        <v>967</v>
      </c>
      <c r="C37" s="839" t="s">
        <v>504</v>
      </c>
      <c r="D37" s="830" t="s">
        <v>953</v>
      </c>
      <c r="E37" s="830" t="s">
        <v>954</v>
      </c>
      <c r="F37" s="831">
        <f t="shared" ref="F37:Q37" si="22">((F15/100)*$S$15)*$T$2</f>
        <v>0</v>
      </c>
      <c r="G37" s="831">
        <f t="shared" si="22"/>
        <v>0</v>
      </c>
      <c r="H37" s="831">
        <f t="shared" si="22"/>
        <v>0</v>
      </c>
      <c r="I37" s="831">
        <f t="shared" si="22"/>
        <v>0</v>
      </c>
      <c r="J37" s="831">
        <f t="shared" si="22"/>
        <v>0</v>
      </c>
      <c r="K37" s="831">
        <f t="shared" si="22"/>
        <v>0</v>
      </c>
      <c r="L37" s="831">
        <f t="shared" si="22"/>
        <v>0</v>
      </c>
      <c r="M37" s="831">
        <f t="shared" si="22"/>
        <v>0</v>
      </c>
      <c r="N37" s="831">
        <f t="shared" si="22"/>
        <v>0</v>
      </c>
      <c r="O37" s="831">
        <f t="shared" si="22"/>
        <v>0</v>
      </c>
      <c r="P37" s="831">
        <f t="shared" si="22"/>
        <v>0</v>
      </c>
      <c r="Q37" s="832">
        <f t="shared" si="22"/>
        <v>0</v>
      </c>
      <c r="R37" s="837">
        <f t="shared" si="11"/>
        <v>0</v>
      </c>
      <c r="S37" s="834">
        <f t="shared" si="8"/>
        <v>0</v>
      </c>
      <c r="T37" s="835">
        <f t="shared" si="9"/>
        <v>0</v>
      </c>
    </row>
    <row r="38" spans="1:21" x14ac:dyDescent="0.2">
      <c r="A38" s="166"/>
      <c r="B38" s="827" t="s">
        <v>968</v>
      </c>
      <c r="C38" s="840"/>
      <c r="D38" s="830" t="s">
        <v>956</v>
      </c>
      <c r="E38" s="830" t="s">
        <v>954</v>
      </c>
      <c r="F38" s="831">
        <f t="shared" ref="F38:Q38" si="23">((F15/100)*$S$15)*$T$3</f>
        <v>0</v>
      </c>
      <c r="G38" s="831">
        <f t="shared" si="23"/>
        <v>0</v>
      </c>
      <c r="H38" s="831">
        <f t="shared" si="23"/>
        <v>11119.372000000001</v>
      </c>
      <c r="I38" s="831">
        <f t="shared" si="23"/>
        <v>11119.372000000001</v>
      </c>
      <c r="J38" s="831">
        <f t="shared" si="23"/>
        <v>16679.058000000001</v>
      </c>
      <c r="K38" s="831">
        <f t="shared" si="23"/>
        <v>16679.058000000001</v>
      </c>
      <c r="L38" s="831">
        <f t="shared" si="23"/>
        <v>0</v>
      </c>
      <c r="M38" s="831">
        <f t="shared" si="23"/>
        <v>0</v>
      </c>
      <c r="N38" s="831">
        <f t="shared" si="23"/>
        <v>0</v>
      </c>
      <c r="O38" s="831">
        <f t="shared" si="23"/>
        <v>0</v>
      </c>
      <c r="P38" s="831">
        <f t="shared" si="23"/>
        <v>0</v>
      </c>
      <c r="Q38" s="832">
        <f t="shared" si="23"/>
        <v>0</v>
      </c>
      <c r="R38" s="837">
        <f t="shared" si="11"/>
        <v>4</v>
      </c>
      <c r="S38" s="834">
        <f t="shared" si="8"/>
        <v>55596.86</v>
      </c>
      <c r="T38" s="835">
        <f t="shared" si="9"/>
        <v>2.9686625394836397E-2</v>
      </c>
      <c r="U38" s="838"/>
    </row>
    <row r="39" spans="1:21" x14ac:dyDescent="0.2">
      <c r="A39" s="166"/>
      <c r="B39" s="827" t="s">
        <v>969</v>
      </c>
      <c r="C39" s="839" t="s">
        <v>506</v>
      </c>
      <c r="D39" s="830" t="s">
        <v>953</v>
      </c>
      <c r="E39" s="830" t="s">
        <v>954</v>
      </c>
      <c r="F39" s="831">
        <f t="shared" ref="F39:Q39" si="24">((F16/100)*$S$16)*$T$2</f>
        <v>0</v>
      </c>
      <c r="G39" s="831">
        <f t="shared" si="24"/>
        <v>0</v>
      </c>
      <c r="H39" s="831">
        <f t="shared" si="24"/>
        <v>0</v>
      </c>
      <c r="I39" s="831">
        <f t="shared" si="24"/>
        <v>0</v>
      </c>
      <c r="J39" s="831">
        <f t="shared" si="24"/>
        <v>0</v>
      </c>
      <c r="K39" s="831">
        <f t="shared" si="24"/>
        <v>0</v>
      </c>
      <c r="L39" s="831">
        <f t="shared" si="24"/>
        <v>0</v>
      </c>
      <c r="M39" s="831">
        <f t="shared" si="24"/>
        <v>0</v>
      </c>
      <c r="N39" s="831">
        <f t="shared" si="24"/>
        <v>0</v>
      </c>
      <c r="O39" s="831">
        <f t="shared" si="24"/>
        <v>0</v>
      </c>
      <c r="P39" s="831">
        <f t="shared" si="24"/>
        <v>0</v>
      </c>
      <c r="Q39" s="832">
        <f t="shared" si="24"/>
        <v>0</v>
      </c>
      <c r="R39" s="837">
        <f t="shared" si="11"/>
        <v>0</v>
      </c>
      <c r="S39" s="834">
        <f t="shared" si="8"/>
        <v>0</v>
      </c>
      <c r="T39" s="835">
        <f t="shared" si="9"/>
        <v>0</v>
      </c>
    </row>
    <row r="40" spans="1:21" x14ac:dyDescent="0.2">
      <c r="A40" s="166"/>
      <c r="B40" s="827" t="s">
        <v>970</v>
      </c>
      <c r="C40" s="840"/>
      <c r="D40" s="830" t="s">
        <v>956</v>
      </c>
      <c r="E40" s="830" t="s">
        <v>954</v>
      </c>
      <c r="F40" s="831">
        <f t="shared" ref="F40:Q40" si="25">((F16/100)*$S$16)*$T$3</f>
        <v>0</v>
      </c>
      <c r="G40" s="831">
        <f t="shared" si="25"/>
        <v>0</v>
      </c>
      <c r="H40" s="831">
        <f t="shared" si="25"/>
        <v>10587.103999999999</v>
      </c>
      <c r="I40" s="831">
        <f t="shared" si="25"/>
        <v>15880.655999999999</v>
      </c>
      <c r="J40" s="831">
        <f t="shared" si="25"/>
        <v>15880.655999999999</v>
      </c>
      <c r="K40" s="831">
        <f t="shared" si="25"/>
        <v>10587.103999999999</v>
      </c>
      <c r="L40" s="831">
        <f t="shared" si="25"/>
        <v>0</v>
      </c>
      <c r="M40" s="831">
        <f t="shared" si="25"/>
        <v>0</v>
      </c>
      <c r="N40" s="831">
        <f t="shared" si="25"/>
        <v>0</v>
      </c>
      <c r="O40" s="831">
        <f t="shared" si="25"/>
        <v>0</v>
      </c>
      <c r="P40" s="831">
        <f t="shared" si="25"/>
        <v>0</v>
      </c>
      <c r="Q40" s="832">
        <f t="shared" si="25"/>
        <v>0</v>
      </c>
      <c r="R40" s="837">
        <f t="shared" si="11"/>
        <v>4</v>
      </c>
      <c r="S40" s="834">
        <f t="shared" si="8"/>
        <v>52935.519999999997</v>
      </c>
      <c r="T40" s="835">
        <f t="shared" si="9"/>
        <v>2.8265570255602022E-2</v>
      </c>
      <c r="U40" s="838"/>
    </row>
    <row r="41" spans="1:21" x14ac:dyDescent="0.2">
      <c r="A41" s="166"/>
      <c r="B41" s="827" t="s">
        <v>971</v>
      </c>
      <c r="C41" s="839" t="s">
        <v>508</v>
      </c>
      <c r="D41" s="830" t="s">
        <v>953</v>
      </c>
      <c r="E41" s="830" t="s">
        <v>954</v>
      </c>
      <c r="F41" s="831">
        <f t="shared" ref="F41:Q41" si="26">((F17/100)*$S$17)*$T$2</f>
        <v>0</v>
      </c>
      <c r="G41" s="831">
        <f t="shared" si="26"/>
        <v>0</v>
      </c>
      <c r="H41" s="831">
        <f t="shared" si="26"/>
        <v>0</v>
      </c>
      <c r="I41" s="831">
        <f t="shared" si="26"/>
        <v>0</v>
      </c>
      <c r="J41" s="831">
        <f t="shared" si="26"/>
        <v>0</v>
      </c>
      <c r="K41" s="831">
        <f t="shared" si="26"/>
        <v>0</v>
      </c>
      <c r="L41" s="831">
        <f t="shared" si="26"/>
        <v>0</v>
      </c>
      <c r="M41" s="831">
        <f t="shared" si="26"/>
        <v>0</v>
      </c>
      <c r="N41" s="831">
        <f t="shared" si="26"/>
        <v>0</v>
      </c>
      <c r="O41" s="831">
        <f t="shared" si="26"/>
        <v>0</v>
      </c>
      <c r="P41" s="831">
        <f t="shared" si="26"/>
        <v>0</v>
      </c>
      <c r="Q41" s="832">
        <f t="shared" si="26"/>
        <v>0</v>
      </c>
      <c r="R41" s="837">
        <f t="shared" si="11"/>
        <v>0</v>
      </c>
      <c r="S41" s="834">
        <f t="shared" si="8"/>
        <v>0</v>
      </c>
      <c r="T41" s="835">
        <f t="shared" si="9"/>
        <v>0</v>
      </c>
    </row>
    <row r="42" spans="1:21" x14ac:dyDescent="0.2">
      <c r="A42" s="166"/>
      <c r="B42" s="827" t="s">
        <v>972</v>
      </c>
      <c r="C42" s="840"/>
      <c r="D42" s="830" t="s">
        <v>956</v>
      </c>
      <c r="E42" s="830" t="s">
        <v>954</v>
      </c>
      <c r="F42" s="831">
        <f t="shared" ref="F42:Q42" si="27">((F17/100)*$S$17)*$T$3</f>
        <v>0</v>
      </c>
      <c r="G42" s="831">
        <f t="shared" si="27"/>
        <v>0</v>
      </c>
      <c r="H42" s="831">
        <f t="shared" si="27"/>
        <v>0</v>
      </c>
      <c r="I42" s="831">
        <f t="shared" si="27"/>
        <v>0</v>
      </c>
      <c r="J42" s="831">
        <f t="shared" si="27"/>
        <v>0</v>
      </c>
      <c r="K42" s="831">
        <f t="shared" si="27"/>
        <v>0</v>
      </c>
      <c r="L42" s="831">
        <f t="shared" si="27"/>
        <v>0</v>
      </c>
      <c r="M42" s="831">
        <f t="shared" si="27"/>
        <v>0</v>
      </c>
      <c r="N42" s="831">
        <f t="shared" si="27"/>
        <v>0</v>
      </c>
      <c r="O42" s="831">
        <f t="shared" si="27"/>
        <v>0</v>
      </c>
      <c r="P42" s="831">
        <f t="shared" si="27"/>
        <v>0</v>
      </c>
      <c r="Q42" s="832">
        <f t="shared" si="27"/>
        <v>0</v>
      </c>
      <c r="R42" s="837">
        <f t="shared" si="11"/>
        <v>0</v>
      </c>
      <c r="S42" s="834">
        <f t="shared" si="8"/>
        <v>0</v>
      </c>
      <c r="T42" s="835">
        <f t="shared" si="9"/>
        <v>0</v>
      </c>
      <c r="U42" s="838"/>
    </row>
    <row r="43" spans="1:21" x14ac:dyDescent="0.2">
      <c r="A43" s="166"/>
      <c r="B43" s="827" t="s">
        <v>973</v>
      </c>
      <c r="C43" s="839" t="s">
        <v>498</v>
      </c>
      <c r="D43" s="830" t="s">
        <v>953</v>
      </c>
      <c r="E43" s="830" t="s">
        <v>954</v>
      </c>
      <c r="F43" s="831">
        <f t="shared" ref="F43:Q43" si="28">((F18/100)*$S$18)*$T$2</f>
        <v>0</v>
      </c>
      <c r="G43" s="831">
        <f t="shared" si="28"/>
        <v>0</v>
      </c>
      <c r="H43" s="831">
        <f t="shared" si="28"/>
        <v>0</v>
      </c>
      <c r="I43" s="831">
        <f t="shared" si="28"/>
        <v>0</v>
      </c>
      <c r="J43" s="831">
        <f t="shared" si="28"/>
        <v>0</v>
      </c>
      <c r="K43" s="831">
        <f t="shared" si="28"/>
        <v>0</v>
      </c>
      <c r="L43" s="831">
        <f t="shared" si="28"/>
        <v>0</v>
      </c>
      <c r="M43" s="831">
        <f t="shared" si="28"/>
        <v>0</v>
      </c>
      <c r="N43" s="831">
        <f t="shared" si="28"/>
        <v>0</v>
      </c>
      <c r="O43" s="831">
        <f t="shared" si="28"/>
        <v>0</v>
      </c>
      <c r="P43" s="831">
        <f t="shared" si="28"/>
        <v>0</v>
      </c>
      <c r="Q43" s="832">
        <f t="shared" si="28"/>
        <v>0</v>
      </c>
      <c r="R43" s="837">
        <f t="shared" si="11"/>
        <v>0</v>
      </c>
      <c r="S43" s="834">
        <f t="shared" si="8"/>
        <v>0</v>
      </c>
      <c r="T43" s="835">
        <f t="shared" si="9"/>
        <v>0</v>
      </c>
    </row>
    <row r="44" spans="1:21" x14ac:dyDescent="0.2">
      <c r="A44" s="166"/>
      <c r="B44" s="827" t="s">
        <v>974</v>
      </c>
      <c r="C44" s="840"/>
      <c r="D44" s="830" t="s">
        <v>956</v>
      </c>
      <c r="E44" s="830" t="s">
        <v>954</v>
      </c>
      <c r="F44" s="831">
        <f t="shared" ref="F44:Q44" si="29">((F18/100)*$S$18)*$T$3</f>
        <v>55633.778000000006</v>
      </c>
      <c r="G44" s="831">
        <f t="shared" si="29"/>
        <v>83450.667000000001</v>
      </c>
      <c r="H44" s="831">
        <f t="shared" si="29"/>
        <v>83450.667000000001</v>
      </c>
      <c r="I44" s="831">
        <f t="shared" si="29"/>
        <v>41725.333500000001</v>
      </c>
      <c r="J44" s="831">
        <f t="shared" si="29"/>
        <v>13908.444500000001</v>
      </c>
      <c r="K44" s="831">
        <f t="shared" si="29"/>
        <v>0</v>
      </c>
      <c r="L44" s="831">
        <f t="shared" si="29"/>
        <v>0</v>
      </c>
      <c r="M44" s="831">
        <f t="shared" si="29"/>
        <v>0</v>
      </c>
      <c r="N44" s="831">
        <f t="shared" si="29"/>
        <v>0</v>
      </c>
      <c r="O44" s="831">
        <f t="shared" si="29"/>
        <v>0</v>
      </c>
      <c r="P44" s="831">
        <f t="shared" si="29"/>
        <v>0</v>
      </c>
      <c r="Q44" s="832">
        <f t="shared" si="29"/>
        <v>0</v>
      </c>
      <c r="R44" s="837">
        <f t="shared" si="11"/>
        <v>5</v>
      </c>
      <c r="S44" s="834">
        <f t="shared" si="8"/>
        <v>278168.89</v>
      </c>
      <c r="T44" s="835">
        <f t="shared" si="9"/>
        <v>0.14853169106901815</v>
      </c>
      <c r="U44" s="838"/>
    </row>
    <row r="45" spans="1:21" x14ac:dyDescent="0.2">
      <c r="A45" s="166"/>
      <c r="B45" s="827" t="s">
        <v>975</v>
      </c>
      <c r="C45" s="839" t="s">
        <v>803</v>
      </c>
      <c r="D45" s="830" t="s">
        <v>953</v>
      </c>
      <c r="E45" s="830" t="s">
        <v>954</v>
      </c>
      <c r="F45" s="831">
        <f t="shared" ref="F45:Q45" si="30">((F19/100)*$S$19)*$T$2</f>
        <v>0</v>
      </c>
      <c r="G45" s="831">
        <f t="shared" si="30"/>
        <v>0</v>
      </c>
      <c r="H45" s="831">
        <f t="shared" si="30"/>
        <v>0</v>
      </c>
      <c r="I45" s="831">
        <f t="shared" si="30"/>
        <v>0</v>
      </c>
      <c r="J45" s="831">
        <f t="shared" si="30"/>
        <v>0</v>
      </c>
      <c r="K45" s="831">
        <f t="shared" si="30"/>
        <v>0</v>
      </c>
      <c r="L45" s="831">
        <f t="shared" si="30"/>
        <v>0</v>
      </c>
      <c r="M45" s="831">
        <f t="shared" si="30"/>
        <v>0</v>
      </c>
      <c r="N45" s="831">
        <f t="shared" si="30"/>
        <v>0</v>
      </c>
      <c r="O45" s="831">
        <f t="shared" si="30"/>
        <v>0</v>
      </c>
      <c r="P45" s="831">
        <f t="shared" si="30"/>
        <v>0</v>
      </c>
      <c r="Q45" s="832">
        <f t="shared" si="30"/>
        <v>0</v>
      </c>
      <c r="R45" s="837">
        <f t="shared" si="11"/>
        <v>0</v>
      </c>
      <c r="S45" s="834">
        <f t="shared" si="8"/>
        <v>0</v>
      </c>
      <c r="T45" s="835">
        <f t="shared" si="9"/>
        <v>0</v>
      </c>
    </row>
    <row r="46" spans="1:21" x14ac:dyDescent="0.2">
      <c r="A46" s="166"/>
      <c r="B46" s="827" t="s">
        <v>976</v>
      </c>
      <c r="C46" s="840"/>
      <c r="D46" s="830" t="s">
        <v>956</v>
      </c>
      <c r="E46" s="830" t="s">
        <v>954</v>
      </c>
      <c r="F46" s="831">
        <f t="shared" ref="F46:Q46" si="31">((F19/100)*$S$19)*$T$3</f>
        <v>863.17860000000007</v>
      </c>
      <c r="G46" s="831">
        <f t="shared" si="31"/>
        <v>3452.7144000000003</v>
      </c>
      <c r="H46" s="831">
        <f t="shared" si="31"/>
        <v>7193.1550000000007</v>
      </c>
      <c r="I46" s="831">
        <f t="shared" si="31"/>
        <v>8056.3336000000018</v>
      </c>
      <c r="J46" s="831">
        <f t="shared" si="31"/>
        <v>6042.2502000000004</v>
      </c>
      <c r="K46" s="831">
        <f t="shared" si="31"/>
        <v>3164.9882000000002</v>
      </c>
      <c r="L46" s="831">
        <f t="shared" si="31"/>
        <v>0</v>
      </c>
      <c r="M46" s="831">
        <f t="shared" si="31"/>
        <v>0</v>
      </c>
      <c r="N46" s="831">
        <f t="shared" si="31"/>
        <v>0</v>
      </c>
      <c r="O46" s="831">
        <f t="shared" si="31"/>
        <v>0</v>
      </c>
      <c r="P46" s="831">
        <f t="shared" si="31"/>
        <v>0</v>
      </c>
      <c r="Q46" s="832">
        <f t="shared" si="31"/>
        <v>0</v>
      </c>
      <c r="R46" s="837">
        <f t="shared" si="11"/>
        <v>6</v>
      </c>
      <c r="S46" s="834">
        <f t="shared" si="8"/>
        <v>28772.620000000003</v>
      </c>
      <c r="T46" s="835">
        <f t="shared" si="9"/>
        <v>1.5363493398151939E-2</v>
      </c>
      <c r="U46" s="838"/>
    </row>
    <row r="47" spans="1:21" x14ac:dyDescent="0.2">
      <c r="A47" s="166"/>
      <c r="B47" s="841"/>
      <c r="C47" s="842"/>
      <c r="D47" s="842"/>
      <c r="E47" s="842"/>
      <c r="F47" s="843"/>
      <c r="G47" s="843"/>
      <c r="H47" s="843"/>
      <c r="I47" s="843"/>
      <c r="J47" s="843"/>
      <c r="K47" s="843"/>
      <c r="L47" s="843"/>
      <c r="M47" s="843"/>
      <c r="N47" s="843"/>
      <c r="O47" s="843"/>
      <c r="P47" s="843"/>
      <c r="Q47" s="844"/>
      <c r="R47" s="843"/>
      <c r="S47" s="843"/>
      <c r="T47" s="845"/>
    </row>
    <row r="48" spans="1:21" x14ac:dyDescent="0.2">
      <c r="A48" s="166"/>
      <c r="B48" s="827" t="s">
        <v>977</v>
      </c>
      <c r="C48" s="839" t="s">
        <v>947</v>
      </c>
      <c r="D48" s="836" t="s">
        <v>953</v>
      </c>
      <c r="E48" s="836" t="s">
        <v>954</v>
      </c>
      <c r="F48" s="846">
        <f t="shared" ref="F48:T48" si="32">SUMIF($D$25:$D$46,"TESOURO",F$25:F$46)</f>
        <v>0</v>
      </c>
      <c r="G48" s="846">
        <f t="shared" si="32"/>
        <v>0</v>
      </c>
      <c r="H48" s="846">
        <f t="shared" si="32"/>
        <v>0</v>
      </c>
      <c r="I48" s="846">
        <f t="shared" si="32"/>
        <v>0</v>
      </c>
      <c r="J48" s="846">
        <f t="shared" si="32"/>
        <v>0</v>
      </c>
      <c r="K48" s="846">
        <f t="shared" si="32"/>
        <v>0</v>
      </c>
      <c r="L48" s="846">
        <f t="shared" si="32"/>
        <v>0</v>
      </c>
      <c r="M48" s="846">
        <f t="shared" si="32"/>
        <v>0</v>
      </c>
      <c r="N48" s="846">
        <f t="shared" si="32"/>
        <v>0</v>
      </c>
      <c r="O48" s="846">
        <f t="shared" si="32"/>
        <v>0</v>
      </c>
      <c r="P48" s="846">
        <f t="shared" si="32"/>
        <v>0</v>
      </c>
      <c r="Q48" s="847">
        <f t="shared" si="32"/>
        <v>0</v>
      </c>
      <c r="R48" s="848"/>
      <c r="S48" s="849">
        <f t="shared" si="32"/>
        <v>0</v>
      </c>
      <c r="T48" s="850">
        <f t="shared" si="32"/>
        <v>0</v>
      </c>
    </row>
    <row r="49" spans="1:20" x14ac:dyDescent="0.2">
      <c r="A49" s="166"/>
      <c r="B49" s="827" t="s">
        <v>978</v>
      </c>
      <c r="C49" s="840"/>
      <c r="D49" s="851" t="s">
        <v>956</v>
      </c>
      <c r="E49" s="851" t="s">
        <v>954</v>
      </c>
      <c r="F49" s="846">
        <f t="shared" ref="F49:T49" si="33">SUMIF($D$25:$D$46,"CONTRAPARTIDA",F$25:F$46)</f>
        <v>86615.728600000002</v>
      </c>
      <c r="G49" s="846">
        <f t="shared" si="33"/>
        <v>248166.67989999999</v>
      </c>
      <c r="H49" s="846">
        <f t="shared" si="33"/>
        <v>445229.38599999994</v>
      </c>
      <c r="I49" s="846">
        <f t="shared" si="33"/>
        <v>486559.03609999997</v>
      </c>
      <c r="J49" s="846">
        <f t="shared" si="33"/>
        <v>394477.37570000003</v>
      </c>
      <c r="K49" s="846">
        <f t="shared" si="33"/>
        <v>211743.30369999999</v>
      </c>
      <c r="L49" s="846">
        <f t="shared" si="33"/>
        <v>0</v>
      </c>
      <c r="M49" s="846">
        <f t="shared" si="33"/>
        <v>0</v>
      </c>
      <c r="N49" s="846">
        <f t="shared" si="33"/>
        <v>0</v>
      </c>
      <c r="O49" s="846">
        <f t="shared" si="33"/>
        <v>0</v>
      </c>
      <c r="P49" s="846">
        <f t="shared" si="33"/>
        <v>0</v>
      </c>
      <c r="Q49" s="847">
        <f t="shared" si="33"/>
        <v>0</v>
      </c>
      <c r="R49" s="852"/>
      <c r="S49" s="849">
        <f t="shared" si="33"/>
        <v>1872791.5100000002</v>
      </c>
      <c r="T49" s="850">
        <f t="shared" si="33"/>
        <v>1</v>
      </c>
    </row>
    <row r="50" spans="1:20" x14ac:dyDescent="0.2">
      <c r="A50" s="166"/>
      <c r="B50" s="853"/>
      <c r="C50" s="842"/>
      <c r="D50" s="842"/>
      <c r="E50" s="842"/>
      <c r="F50" s="843"/>
      <c r="G50" s="843"/>
      <c r="H50" s="843"/>
      <c r="I50" s="843"/>
      <c r="J50" s="843"/>
      <c r="K50" s="843"/>
      <c r="L50" s="843"/>
      <c r="M50" s="843"/>
      <c r="N50" s="843"/>
      <c r="O50" s="843"/>
      <c r="P50" s="843"/>
      <c r="Q50" s="844"/>
      <c r="R50" s="843"/>
      <c r="S50" s="854"/>
      <c r="T50" s="855"/>
    </row>
    <row r="51" spans="1:20" ht="15" customHeight="1" thickBot="1" x14ac:dyDescent="0.25">
      <c r="A51" s="166"/>
      <c r="B51" s="856" t="s">
        <v>979</v>
      </c>
      <c r="C51" s="857"/>
      <c r="D51" s="857"/>
      <c r="E51" s="858" t="s">
        <v>954</v>
      </c>
      <c r="F51" s="859">
        <f t="shared" ref="F51:Q51" si="34">SUM(F48:F49)</f>
        <v>86615.728600000002</v>
      </c>
      <c r="G51" s="859">
        <f t="shared" si="34"/>
        <v>248166.67989999999</v>
      </c>
      <c r="H51" s="859">
        <f t="shared" si="34"/>
        <v>445229.38599999994</v>
      </c>
      <c r="I51" s="859">
        <f t="shared" si="34"/>
        <v>486559.03609999997</v>
      </c>
      <c r="J51" s="859">
        <f t="shared" si="34"/>
        <v>394477.37570000003</v>
      </c>
      <c r="K51" s="859">
        <f t="shared" si="34"/>
        <v>211743.30369999999</v>
      </c>
      <c r="L51" s="860">
        <f t="shared" si="34"/>
        <v>0</v>
      </c>
      <c r="M51" s="860">
        <f t="shared" si="34"/>
        <v>0</v>
      </c>
      <c r="N51" s="860">
        <f t="shared" si="34"/>
        <v>0</v>
      </c>
      <c r="O51" s="860">
        <f t="shared" si="34"/>
        <v>0</v>
      </c>
      <c r="P51" s="860">
        <f t="shared" si="34"/>
        <v>0</v>
      </c>
      <c r="Q51" s="861">
        <f t="shared" si="34"/>
        <v>0</v>
      </c>
      <c r="R51" s="862"/>
      <c r="S51" s="863">
        <f>SUM(F51:Q51)</f>
        <v>1872791.51</v>
      </c>
      <c r="T51" s="864">
        <f>SUM(T48:T49)</f>
        <v>1</v>
      </c>
    </row>
    <row r="52" spans="1:20" ht="15" customHeight="1" thickTop="1" thickBot="1" x14ac:dyDescent="0.25">
      <c r="A52" s="166"/>
      <c r="B52" s="865" t="s">
        <v>980</v>
      </c>
      <c r="C52" s="866"/>
      <c r="D52" s="866"/>
      <c r="E52" s="867" t="s">
        <v>954</v>
      </c>
      <c r="F52" s="868">
        <f t="shared" ref="F52:Q52" si="35">IF($S$51=0,0,F51/$S$51)</f>
        <v>4.6249530787332543E-2</v>
      </c>
      <c r="G52" s="868">
        <f t="shared" si="35"/>
        <v>0.13251164295378506</v>
      </c>
      <c r="H52" s="868">
        <f t="shared" si="35"/>
        <v>0.23773569221274393</v>
      </c>
      <c r="I52" s="868">
        <f t="shared" si="35"/>
        <v>0.25980416586788135</v>
      </c>
      <c r="J52" s="868">
        <f t="shared" si="35"/>
        <v>0.21063603374622306</v>
      </c>
      <c r="K52" s="868">
        <f t="shared" si="35"/>
        <v>0.11306293443203402</v>
      </c>
      <c r="L52" s="868">
        <f t="shared" si="35"/>
        <v>0</v>
      </c>
      <c r="M52" s="868">
        <f t="shared" si="35"/>
        <v>0</v>
      </c>
      <c r="N52" s="868">
        <f t="shared" si="35"/>
        <v>0</v>
      </c>
      <c r="O52" s="868">
        <f t="shared" si="35"/>
        <v>0</v>
      </c>
      <c r="P52" s="868">
        <f t="shared" si="35"/>
        <v>0</v>
      </c>
      <c r="Q52" s="869">
        <f t="shared" si="35"/>
        <v>0</v>
      </c>
      <c r="R52" s="870"/>
      <c r="S52" s="863">
        <f>S48+S49</f>
        <v>1872791.5100000002</v>
      </c>
      <c r="T52" s="871">
        <f>SUM(F52:Q52)</f>
        <v>1</v>
      </c>
    </row>
    <row r="53" spans="1:20" ht="15" customHeight="1" thickTop="1" thickBot="1" x14ac:dyDescent="0.25">
      <c r="A53" s="166"/>
      <c r="B53" s="872" t="s">
        <v>981</v>
      </c>
      <c r="C53" s="873"/>
      <c r="D53" s="873"/>
      <c r="E53" s="874" t="s">
        <v>954</v>
      </c>
      <c r="F53" s="875">
        <f>F52</f>
        <v>4.6249530787332543E-2</v>
      </c>
      <c r="G53" s="875">
        <f t="shared" ref="G53:H53" si="36">IF(G51=0,0,F53+G52)</f>
        <v>0.17876117374111761</v>
      </c>
      <c r="H53" s="875">
        <f t="shared" si="36"/>
        <v>0.41649686595386154</v>
      </c>
      <c r="I53" s="875">
        <f>IF(I51=0,0,H53+I52)</f>
        <v>0.67630103182174284</v>
      </c>
      <c r="J53" s="875">
        <f t="shared" ref="J53:Q53" si="37">IF(J51=0,0,I53+J52)</f>
        <v>0.88693706556796592</v>
      </c>
      <c r="K53" s="875">
        <f t="shared" si="37"/>
        <v>1</v>
      </c>
      <c r="L53" s="875">
        <f t="shared" si="37"/>
        <v>0</v>
      </c>
      <c r="M53" s="875">
        <f t="shared" si="37"/>
        <v>0</v>
      </c>
      <c r="N53" s="875">
        <f t="shared" si="37"/>
        <v>0</v>
      </c>
      <c r="O53" s="875">
        <f t="shared" si="37"/>
        <v>0</v>
      </c>
      <c r="P53" s="875">
        <f t="shared" si="37"/>
        <v>0</v>
      </c>
      <c r="Q53" s="876">
        <f t="shared" si="37"/>
        <v>0</v>
      </c>
      <c r="R53" s="877"/>
      <c r="S53" s="878" t="str">
        <f>IF(S51=S52,"OK","CORRIGIR")</f>
        <v>OK</v>
      </c>
      <c r="T53" s="879" t="str">
        <f>IF(T51=T52,"OK","CORRIGIR")</f>
        <v>OK</v>
      </c>
    </row>
    <row r="54" spans="1:20" ht="15" customHeight="1" x14ac:dyDescent="0.2">
      <c r="A54" s="166"/>
      <c r="B54" s="880" t="s">
        <v>982</v>
      </c>
      <c r="C54" s="881"/>
      <c r="D54" s="882"/>
      <c r="E54" s="883"/>
      <c r="F54" s="881" t="s">
        <v>983</v>
      </c>
      <c r="G54" s="169"/>
      <c r="H54" s="169"/>
      <c r="I54" s="170"/>
      <c r="J54" s="884" t="s">
        <v>984</v>
      </c>
      <c r="K54" s="885"/>
      <c r="L54" s="885"/>
      <c r="M54" s="886"/>
      <c r="N54" s="887" t="s">
        <v>983</v>
      </c>
      <c r="O54" s="171"/>
      <c r="P54" s="888"/>
      <c r="Q54" s="881" t="s">
        <v>985</v>
      </c>
      <c r="R54" s="889"/>
      <c r="S54" s="889"/>
      <c r="T54" s="890"/>
    </row>
    <row r="55" spans="1:20" ht="19.5" customHeight="1" thickBot="1" x14ac:dyDescent="0.25">
      <c r="A55" s="166"/>
      <c r="B55" s="172"/>
      <c r="C55" s="891"/>
      <c r="D55" s="892"/>
      <c r="E55" s="173"/>
      <c r="F55" s="173"/>
      <c r="G55" s="174" t="s">
        <v>986</v>
      </c>
      <c r="H55" s="173"/>
      <c r="I55" s="175"/>
      <c r="J55" s="176"/>
      <c r="K55" s="177"/>
      <c r="L55" s="893"/>
      <c r="M55" s="894"/>
      <c r="N55" s="178"/>
      <c r="O55" s="179" t="s">
        <v>987</v>
      </c>
      <c r="P55" s="180"/>
      <c r="Q55" s="181"/>
      <c r="R55" s="182"/>
      <c r="S55" s="182"/>
      <c r="T55" s="183"/>
    </row>
  </sheetData>
  <pageMargins left="0.78740157480314965" right="0.78740157480314965" top="0.78740157480314965" bottom="0.78740157480314965" header="0.51181102362204722" footer="0.51181102362204722"/>
  <pageSetup paperSize="8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1AEC-2AA3-484C-A35F-F37E2C3BFF91}">
  <sheetPr>
    <pageSetUpPr fitToPage="1"/>
  </sheetPr>
  <dimension ref="A1:X55"/>
  <sheetViews>
    <sheetView showZeros="0" tabSelected="1" topLeftCell="B1" zoomScaleNormal="100" workbookViewId="0">
      <selection activeCell="S3" sqref="S3"/>
    </sheetView>
  </sheetViews>
  <sheetFormatPr defaultColWidth="10.6640625" defaultRowHeight="12.75" x14ac:dyDescent="0.2"/>
  <cols>
    <col min="1" max="1" width="5" style="102" hidden="1" customWidth="1"/>
    <col min="2" max="2" width="13.6640625" style="723" customWidth="1"/>
    <col min="3" max="3" width="26.1640625" style="723" customWidth="1"/>
    <col min="4" max="4" width="17.6640625" style="723" customWidth="1"/>
    <col min="5" max="5" width="3.83203125" style="723" customWidth="1"/>
    <col min="6" max="15" width="12.5" style="723" customWidth="1"/>
    <col min="16" max="17" width="13.83203125" style="723" customWidth="1"/>
    <col min="18" max="18" width="8.33203125" style="723" bestFit="1" customWidth="1"/>
    <col min="19" max="19" width="14" style="723" customWidth="1"/>
    <col min="20" max="20" width="8.5" style="723" customWidth="1"/>
    <col min="21" max="22" width="0.6640625" style="723" customWidth="1"/>
    <col min="23" max="24" width="10.6640625" style="723"/>
    <col min="25" max="259" width="10.6640625" style="102"/>
    <col min="260" max="260" width="13.1640625" style="102" customWidth="1"/>
    <col min="261" max="261" width="79" style="102" customWidth="1"/>
    <col min="262" max="262" width="3.83203125" style="102" customWidth="1"/>
    <col min="263" max="275" width="12.5" style="102" customWidth="1"/>
    <col min="276" max="276" width="8.5" style="102" customWidth="1"/>
    <col min="277" max="515" width="10.6640625" style="102"/>
    <col min="516" max="516" width="13.1640625" style="102" customWidth="1"/>
    <col min="517" max="517" width="79" style="102" customWidth="1"/>
    <col min="518" max="518" width="3.83203125" style="102" customWidth="1"/>
    <col min="519" max="531" width="12.5" style="102" customWidth="1"/>
    <col min="532" max="532" width="8.5" style="102" customWidth="1"/>
    <col min="533" max="771" width="10.6640625" style="102"/>
    <col min="772" max="772" width="13.1640625" style="102" customWidth="1"/>
    <col min="773" max="773" width="79" style="102" customWidth="1"/>
    <col min="774" max="774" width="3.83203125" style="102" customWidth="1"/>
    <col min="775" max="787" width="12.5" style="102" customWidth="1"/>
    <col min="788" max="788" width="8.5" style="102" customWidth="1"/>
    <col min="789" max="1027" width="10.6640625" style="102"/>
    <col min="1028" max="1028" width="13.1640625" style="102" customWidth="1"/>
    <col min="1029" max="1029" width="79" style="102" customWidth="1"/>
    <col min="1030" max="1030" width="3.83203125" style="102" customWidth="1"/>
    <col min="1031" max="1043" width="12.5" style="102" customWidth="1"/>
    <col min="1044" max="1044" width="8.5" style="102" customWidth="1"/>
    <col min="1045" max="1283" width="10.6640625" style="102"/>
    <col min="1284" max="1284" width="13.1640625" style="102" customWidth="1"/>
    <col min="1285" max="1285" width="79" style="102" customWidth="1"/>
    <col min="1286" max="1286" width="3.83203125" style="102" customWidth="1"/>
    <col min="1287" max="1299" width="12.5" style="102" customWidth="1"/>
    <col min="1300" max="1300" width="8.5" style="102" customWidth="1"/>
    <col min="1301" max="1539" width="10.6640625" style="102"/>
    <col min="1540" max="1540" width="13.1640625" style="102" customWidth="1"/>
    <col min="1541" max="1541" width="79" style="102" customWidth="1"/>
    <col min="1542" max="1542" width="3.83203125" style="102" customWidth="1"/>
    <col min="1543" max="1555" width="12.5" style="102" customWidth="1"/>
    <col min="1556" max="1556" width="8.5" style="102" customWidth="1"/>
    <col min="1557" max="1795" width="10.6640625" style="102"/>
    <col min="1796" max="1796" width="13.1640625" style="102" customWidth="1"/>
    <col min="1797" max="1797" width="79" style="102" customWidth="1"/>
    <col min="1798" max="1798" width="3.83203125" style="102" customWidth="1"/>
    <col min="1799" max="1811" width="12.5" style="102" customWidth="1"/>
    <col min="1812" max="1812" width="8.5" style="102" customWidth="1"/>
    <col min="1813" max="2051" width="10.6640625" style="102"/>
    <col min="2052" max="2052" width="13.1640625" style="102" customWidth="1"/>
    <col min="2053" max="2053" width="79" style="102" customWidth="1"/>
    <col min="2054" max="2054" width="3.83203125" style="102" customWidth="1"/>
    <col min="2055" max="2067" width="12.5" style="102" customWidth="1"/>
    <col min="2068" max="2068" width="8.5" style="102" customWidth="1"/>
    <col min="2069" max="2307" width="10.6640625" style="102"/>
    <col min="2308" max="2308" width="13.1640625" style="102" customWidth="1"/>
    <col min="2309" max="2309" width="79" style="102" customWidth="1"/>
    <col min="2310" max="2310" width="3.83203125" style="102" customWidth="1"/>
    <col min="2311" max="2323" width="12.5" style="102" customWidth="1"/>
    <col min="2324" max="2324" width="8.5" style="102" customWidth="1"/>
    <col min="2325" max="2563" width="10.6640625" style="102"/>
    <col min="2564" max="2564" width="13.1640625" style="102" customWidth="1"/>
    <col min="2565" max="2565" width="79" style="102" customWidth="1"/>
    <col min="2566" max="2566" width="3.83203125" style="102" customWidth="1"/>
    <col min="2567" max="2579" width="12.5" style="102" customWidth="1"/>
    <col min="2580" max="2580" width="8.5" style="102" customWidth="1"/>
    <col min="2581" max="2819" width="10.6640625" style="102"/>
    <col min="2820" max="2820" width="13.1640625" style="102" customWidth="1"/>
    <col min="2821" max="2821" width="79" style="102" customWidth="1"/>
    <col min="2822" max="2822" width="3.83203125" style="102" customWidth="1"/>
    <col min="2823" max="2835" width="12.5" style="102" customWidth="1"/>
    <col min="2836" max="2836" width="8.5" style="102" customWidth="1"/>
    <col min="2837" max="3075" width="10.6640625" style="102"/>
    <col min="3076" max="3076" width="13.1640625" style="102" customWidth="1"/>
    <col min="3077" max="3077" width="79" style="102" customWidth="1"/>
    <col min="3078" max="3078" width="3.83203125" style="102" customWidth="1"/>
    <col min="3079" max="3091" width="12.5" style="102" customWidth="1"/>
    <col min="3092" max="3092" width="8.5" style="102" customWidth="1"/>
    <col min="3093" max="3331" width="10.6640625" style="102"/>
    <col min="3332" max="3332" width="13.1640625" style="102" customWidth="1"/>
    <col min="3333" max="3333" width="79" style="102" customWidth="1"/>
    <col min="3334" max="3334" width="3.83203125" style="102" customWidth="1"/>
    <col min="3335" max="3347" width="12.5" style="102" customWidth="1"/>
    <col min="3348" max="3348" width="8.5" style="102" customWidth="1"/>
    <col min="3349" max="3587" width="10.6640625" style="102"/>
    <col min="3588" max="3588" width="13.1640625" style="102" customWidth="1"/>
    <col min="3589" max="3589" width="79" style="102" customWidth="1"/>
    <col min="3590" max="3590" width="3.83203125" style="102" customWidth="1"/>
    <col min="3591" max="3603" width="12.5" style="102" customWidth="1"/>
    <col min="3604" max="3604" width="8.5" style="102" customWidth="1"/>
    <col min="3605" max="3843" width="10.6640625" style="102"/>
    <col min="3844" max="3844" width="13.1640625" style="102" customWidth="1"/>
    <col min="3845" max="3845" width="79" style="102" customWidth="1"/>
    <col min="3846" max="3846" width="3.83203125" style="102" customWidth="1"/>
    <col min="3847" max="3859" width="12.5" style="102" customWidth="1"/>
    <col min="3860" max="3860" width="8.5" style="102" customWidth="1"/>
    <col min="3861" max="4099" width="10.6640625" style="102"/>
    <col min="4100" max="4100" width="13.1640625" style="102" customWidth="1"/>
    <col min="4101" max="4101" width="79" style="102" customWidth="1"/>
    <col min="4102" max="4102" width="3.83203125" style="102" customWidth="1"/>
    <col min="4103" max="4115" width="12.5" style="102" customWidth="1"/>
    <col min="4116" max="4116" width="8.5" style="102" customWidth="1"/>
    <col min="4117" max="4355" width="10.6640625" style="102"/>
    <col min="4356" max="4356" width="13.1640625" style="102" customWidth="1"/>
    <col min="4357" max="4357" width="79" style="102" customWidth="1"/>
    <col min="4358" max="4358" width="3.83203125" style="102" customWidth="1"/>
    <col min="4359" max="4371" width="12.5" style="102" customWidth="1"/>
    <col min="4372" max="4372" width="8.5" style="102" customWidth="1"/>
    <col min="4373" max="4611" width="10.6640625" style="102"/>
    <col min="4612" max="4612" width="13.1640625" style="102" customWidth="1"/>
    <col min="4613" max="4613" width="79" style="102" customWidth="1"/>
    <col min="4614" max="4614" width="3.83203125" style="102" customWidth="1"/>
    <col min="4615" max="4627" width="12.5" style="102" customWidth="1"/>
    <col min="4628" max="4628" width="8.5" style="102" customWidth="1"/>
    <col min="4629" max="4867" width="10.6640625" style="102"/>
    <col min="4868" max="4868" width="13.1640625" style="102" customWidth="1"/>
    <col min="4869" max="4869" width="79" style="102" customWidth="1"/>
    <col min="4870" max="4870" width="3.83203125" style="102" customWidth="1"/>
    <col min="4871" max="4883" width="12.5" style="102" customWidth="1"/>
    <col min="4884" max="4884" width="8.5" style="102" customWidth="1"/>
    <col min="4885" max="5123" width="10.6640625" style="102"/>
    <col min="5124" max="5124" width="13.1640625" style="102" customWidth="1"/>
    <col min="5125" max="5125" width="79" style="102" customWidth="1"/>
    <col min="5126" max="5126" width="3.83203125" style="102" customWidth="1"/>
    <col min="5127" max="5139" width="12.5" style="102" customWidth="1"/>
    <col min="5140" max="5140" width="8.5" style="102" customWidth="1"/>
    <col min="5141" max="5379" width="10.6640625" style="102"/>
    <col min="5380" max="5380" width="13.1640625" style="102" customWidth="1"/>
    <col min="5381" max="5381" width="79" style="102" customWidth="1"/>
    <col min="5382" max="5382" width="3.83203125" style="102" customWidth="1"/>
    <col min="5383" max="5395" width="12.5" style="102" customWidth="1"/>
    <col min="5396" max="5396" width="8.5" style="102" customWidth="1"/>
    <col min="5397" max="5635" width="10.6640625" style="102"/>
    <col min="5636" max="5636" width="13.1640625" style="102" customWidth="1"/>
    <col min="5637" max="5637" width="79" style="102" customWidth="1"/>
    <col min="5638" max="5638" width="3.83203125" style="102" customWidth="1"/>
    <col min="5639" max="5651" width="12.5" style="102" customWidth="1"/>
    <col min="5652" max="5652" width="8.5" style="102" customWidth="1"/>
    <col min="5653" max="5891" width="10.6640625" style="102"/>
    <col min="5892" max="5892" width="13.1640625" style="102" customWidth="1"/>
    <col min="5893" max="5893" width="79" style="102" customWidth="1"/>
    <col min="5894" max="5894" width="3.83203125" style="102" customWidth="1"/>
    <col min="5895" max="5907" width="12.5" style="102" customWidth="1"/>
    <col min="5908" max="5908" width="8.5" style="102" customWidth="1"/>
    <col min="5909" max="6147" width="10.6640625" style="102"/>
    <col min="6148" max="6148" width="13.1640625" style="102" customWidth="1"/>
    <col min="6149" max="6149" width="79" style="102" customWidth="1"/>
    <col min="6150" max="6150" width="3.83203125" style="102" customWidth="1"/>
    <col min="6151" max="6163" width="12.5" style="102" customWidth="1"/>
    <col min="6164" max="6164" width="8.5" style="102" customWidth="1"/>
    <col min="6165" max="6403" width="10.6640625" style="102"/>
    <col min="6404" max="6404" width="13.1640625" style="102" customWidth="1"/>
    <col min="6405" max="6405" width="79" style="102" customWidth="1"/>
    <col min="6406" max="6406" width="3.83203125" style="102" customWidth="1"/>
    <col min="6407" max="6419" width="12.5" style="102" customWidth="1"/>
    <col min="6420" max="6420" width="8.5" style="102" customWidth="1"/>
    <col min="6421" max="6659" width="10.6640625" style="102"/>
    <col min="6660" max="6660" width="13.1640625" style="102" customWidth="1"/>
    <col min="6661" max="6661" width="79" style="102" customWidth="1"/>
    <col min="6662" max="6662" width="3.83203125" style="102" customWidth="1"/>
    <col min="6663" max="6675" width="12.5" style="102" customWidth="1"/>
    <col min="6676" max="6676" width="8.5" style="102" customWidth="1"/>
    <col min="6677" max="6915" width="10.6640625" style="102"/>
    <col min="6916" max="6916" width="13.1640625" style="102" customWidth="1"/>
    <col min="6917" max="6917" width="79" style="102" customWidth="1"/>
    <col min="6918" max="6918" width="3.83203125" style="102" customWidth="1"/>
    <col min="6919" max="6931" width="12.5" style="102" customWidth="1"/>
    <col min="6932" max="6932" width="8.5" style="102" customWidth="1"/>
    <col min="6933" max="7171" width="10.6640625" style="102"/>
    <col min="7172" max="7172" width="13.1640625" style="102" customWidth="1"/>
    <col min="7173" max="7173" width="79" style="102" customWidth="1"/>
    <col min="7174" max="7174" width="3.83203125" style="102" customWidth="1"/>
    <col min="7175" max="7187" width="12.5" style="102" customWidth="1"/>
    <col min="7188" max="7188" width="8.5" style="102" customWidth="1"/>
    <col min="7189" max="7427" width="10.6640625" style="102"/>
    <col min="7428" max="7428" width="13.1640625" style="102" customWidth="1"/>
    <col min="7429" max="7429" width="79" style="102" customWidth="1"/>
    <col min="7430" max="7430" width="3.83203125" style="102" customWidth="1"/>
    <col min="7431" max="7443" width="12.5" style="102" customWidth="1"/>
    <col min="7444" max="7444" width="8.5" style="102" customWidth="1"/>
    <col min="7445" max="7683" width="10.6640625" style="102"/>
    <col min="7684" max="7684" width="13.1640625" style="102" customWidth="1"/>
    <col min="7685" max="7685" width="79" style="102" customWidth="1"/>
    <col min="7686" max="7686" width="3.83203125" style="102" customWidth="1"/>
    <col min="7687" max="7699" width="12.5" style="102" customWidth="1"/>
    <col min="7700" max="7700" width="8.5" style="102" customWidth="1"/>
    <col min="7701" max="7939" width="10.6640625" style="102"/>
    <col min="7940" max="7940" width="13.1640625" style="102" customWidth="1"/>
    <col min="7941" max="7941" width="79" style="102" customWidth="1"/>
    <col min="7942" max="7942" width="3.83203125" style="102" customWidth="1"/>
    <col min="7943" max="7955" width="12.5" style="102" customWidth="1"/>
    <col min="7956" max="7956" width="8.5" style="102" customWidth="1"/>
    <col min="7957" max="8195" width="10.6640625" style="102"/>
    <col min="8196" max="8196" width="13.1640625" style="102" customWidth="1"/>
    <col min="8197" max="8197" width="79" style="102" customWidth="1"/>
    <col min="8198" max="8198" width="3.83203125" style="102" customWidth="1"/>
    <col min="8199" max="8211" width="12.5" style="102" customWidth="1"/>
    <col min="8212" max="8212" width="8.5" style="102" customWidth="1"/>
    <col min="8213" max="8451" width="10.6640625" style="102"/>
    <col min="8452" max="8452" width="13.1640625" style="102" customWidth="1"/>
    <col min="8453" max="8453" width="79" style="102" customWidth="1"/>
    <col min="8454" max="8454" width="3.83203125" style="102" customWidth="1"/>
    <col min="8455" max="8467" width="12.5" style="102" customWidth="1"/>
    <col min="8468" max="8468" width="8.5" style="102" customWidth="1"/>
    <col min="8469" max="8707" width="10.6640625" style="102"/>
    <col min="8708" max="8708" width="13.1640625" style="102" customWidth="1"/>
    <col min="8709" max="8709" width="79" style="102" customWidth="1"/>
    <col min="8710" max="8710" width="3.83203125" style="102" customWidth="1"/>
    <col min="8711" max="8723" width="12.5" style="102" customWidth="1"/>
    <col min="8724" max="8724" width="8.5" style="102" customWidth="1"/>
    <col min="8725" max="8963" width="10.6640625" style="102"/>
    <col min="8964" max="8964" width="13.1640625" style="102" customWidth="1"/>
    <col min="8965" max="8965" width="79" style="102" customWidth="1"/>
    <col min="8966" max="8966" width="3.83203125" style="102" customWidth="1"/>
    <col min="8967" max="8979" width="12.5" style="102" customWidth="1"/>
    <col min="8980" max="8980" width="8.5" style="102" customWidth="1"/>
    <col min="8981" max="9219" width="10.6640625" style="102"/>
    <col min="9220" max="9220" width="13.1640625" style="102" customWidth="1"/>
    <col min="9221" max="9221" width="79" style="102" customWidth="1"/>
    <col min="9222" max="9222" width="3.83203125" style="102" customWidth="1"/>
    <col min="9223" max="9235" width="12.5" style="102" customWidth="1"/>
    <col min="9236" max="9236" width="8.5" style="102" customWidth="1"/>
    <col min="9237" max="9475" width="10.6640625" style="102"/>
    <col min="9476" max="9476" width="13.1640625" style="102" customWidth="1"/>
    <col min="9477" max="9477" width="79" style="102" customWidth="1"/>
    <col min="9478" max="9478" width="3.83203125" style="102" customWidth="1"/>
    <col min="9479" max="9491" width="12.5" style="102" customWidth="1"/>
    <col min="9492" max="9492" width="8.5" style="102" customWidth="1"/>
    <col min="9493" max="9731" width="10.6640625" style="102"/>
    <col min="9732" max="9732" width="13.1640625" style="102" customWidth="1"/>
    <col min="9733" max="9733" width="79" style="102" customWidth="1"/>
    <col min="9734" max="9734" width="3.83203125" style="102" customWidth="1"/>
    <col min="9735" max="9747" width="12.5" style="102" customWidth="1"/>
    <col min="9748" max="9748" width="8.5" style="102" customWidth="1"/>
    <col min="9749" max="9987" width="10.6640625" style="102"/>
    <col min="9988" max="9988" width="13.1640625" style="102" customWidth="1"/>
    <col min="9989" max="9989" width="79" style="102" customWidth="1"/>
    <col min="9990" max="9990" width="3.83203125" style="102" customWidth="1"/>
    <col min="9991" max="10003" width="12.5" style="102" customWidth="1"/>
    <col min="10004" max="10004" width="8.5" style="102" customWidth="1"/>
    <col min="10005" max="10243" width="10.6640625" style="102"/>
    <col min="10244" max="10244" width="13.1640625" style="102" customWidth="1"/>
    <col min="10245" max="10245" width="79" style="102" customWidth="1"/>
    <col min="10246" max="10246" width="3.83203125" style="102" customWidth="1"/>
    <col min="10247" max="10259" width="12.5" style="102" customWidth="1"/>
    <col min="10260" max="10260" width="8.5" style="102" customWidth="1"/>
    <col min="10261" max="10499" width="10.6640625" style="102"/>
    <col min="10500" max="10500" width="13.1640625" style="102" customWidth="1"/>
    <col min="10501" max="10501" width="79" style="102" customWidth="1"/>
    <col min="10502" max="10502" width="3.83203125" style="102" customWidth="1"/>
    <col min="10503" max="10515" width="12.5" style="102" customWidth="1"/>
    <col min="10516" max="10516" width="8.5" style="102" customWidth="1"/>
    <col min="10517" max="10755" width="10.6640625" style="102"/>
    <col min="10756" max="10756" width="13.1640625" style="102" customWidth="1"/>
    <col min="10757" max="10757" width="79" style="102" customWidth="1"/>
    <col min="10758" max="10758" width="3.83203125" style="102" customWidth="1"/>
    <col min="10759" max="10771" width="12.5" style="102" customWidth="1"/>
    <col min="10772" max="10772" width="8.5" style="102" customWidth="1"/>
    <col min="10773" max="11011" width="10.6640625" style="102"/>
    <col min="11012" max="11012" width="13.1640625" style="102" customWidth="1"/>
    <col min="11013" max="11013" width="79" style="102" customWidth="1"/>
    <col min="11014" max="11014" width="3.83203125" style="102" customWidth="1"/>
    <col min="11015" max="11027" width="12.5" style="102" customWidth="1"/>
    <col min="11028" max="11028" width="8.5" style="102" customWidth="1"/>
    <col min="11029" max="11267" width="10.6640625" style="102"/>
    <col min="11268" max="11268" width="13.1640625" style="102" customWidth="1"/>
    <col min="11269" max="11269" width="79" style="102" customWidth="1"/>
    <col min="11270" max="11270" width="3.83203125" style="102" customWidth="1"/>
    <col min="11271" max="11283" width="12.5" style="102" customWidth="1"/>
    <col min="11284" max="11284" width="8.5" style="102" customWidth="1"/>
    <col min="11285" max="11523" width="10.6640625" style="102"/>
    <col min="11524" max="11524" width="13.1640625" style="102" customWidth="1"/>
    <col min="11525" max="11525" width="79" style="102" customWidth="1"/>
    <col min="11526" max="11526" width="3.83203125" style="102" customWidth="1"/>
    <col min="11527" max="11539" width="12.5" style="102" customWidth="1"/>
    <col min="11540" max="11540" width="8.5" style="102" customWidth="1"/>
    <col min="11541" max="11779" width="10.6640625" style="102"/>
    <col min="11780" max="11780" width="13.1640625" style="102" customWidth="1"/>
    <col min="11781" max="11781" width="79" style="102" customWidth="1"/>
    <col min="11782" max="11782" width="3.83203125" style="102" customWidth="1"/>
    <col min="11783" max="11795" width="12.5" style="102" customWidth="1"/>
    <col min="11796" max="11796" width="8.5" style="102" customWidth="1"/>
    <col min="11797" max="12035" width="10.6640625" style="102"/>
    <col min="12036" max="12036" width="13.1640625" style="102" customWidth="1"/>
    <col min="12037" max="12037" width="79" style="102" customWidth="1"/>
    <col min="12038" max="12038" width="3.83203125" style="102" customWidth="1"/>
    <col min="12039" max="12051" width="12.5" style="102" customWidth="1"/>
    <col min="12052" max="12052" width="8.5" style="102" customWidth="1"/>
    <col min="12053" max="12291" width="10.6640625" style="102"/>
    <col min="12292" max="12292" width="13.1640625" style="102" customWidth="1"/>
    <col min="12293" max="12293" width="79" style="102" customWidth="1"/>
    <col min="12294" max="12294" width="3.83203125" style="102" customWidth="1"/>
    <col min="12295" max="12307" width="12.5" style="102" customWidth="1"/>
    <col min="12308" max="12308" width="8.5" style="102" customWidth="1"/>
    <col min="12309" max="12547" width="10.6640625" style="102"/>
    <col min="12548" max="12548" width="13.1640625" style="102" customWidth="1"/>
    <col min="12549" max="12549" width="79" style="102" customWidth="1"/>
    <col min="12550" max="12550" width="3.83203125" style="102" customWidth="1"/>
    <col min="12551" max="12563" width="12.5" style="102" customWidth="1"/>
    <col min="12564" max="12564" width="8.5" style="102" customWidth="1"/>
    <col min="12565" max="12803" width="10.6640625" style="102"/>
    <col min="12804" max="12804" width="13.1640625" style="102" customWidth="1"/>
    <col min="12805" max="12805" width="79" style="102" customWidth="1"/>
    <col min="12806" max="12806" width="3.83203125" style="102" customWidth="1"/>
    <col min="12807" max="12819" width="12.5" style="102" customWidth="1"/>
    <col min="12820" max="12820" width="8.5" style="102" customWidth="1"/>
    <col min="12821" max="13059" width="10.6640625" style="102"/>
    <col min="13060" max="13060" width="13.1640625" style="102" customWidth="1"/>
    <col min="13061" max="13061" width="79" style="102" customWidth="1"/>
    <col min="13062" max="13062" width="3.83203125" style="102" customWidth="1"/>
    <col min="13063" max="13075" width="12.5" style="102" customWidth="1"/>
    <col min="13076" max="13076" width="8.5" style="102" customWidth="1"/>
    <col min="13077" max="13315" width="10.6640625" style="102"/>
    <col min="13316" max="13316" width="13.1640625" style="102" customWidth="1"/>
    <col min="13317" max="13317" width="79" style="102" customWidth="1"/>
    <col min="13318" max="13318" width="3.83203125" style="102" customWidth="1"/>
    <col min="13319" max="13331" width="12.5" style="102" customWidth="1"/>
    <col min="13332" max="13332" width="8.5" style="102" customWidth="1"/>
    <col min="13333" max="13571" width="10.6640625" style="102"/>
    <col min="13572" max="13572" width="13.1640625" style="102" customWidth="1"/>
    <col min="13573" max="13573" width="79" style="102" customWidth="1"/>
    <col min="13574" max="13574" width="3.83203125" style="102" customWidth="1"/>
    <col min="13575" max="13587" width="12.5" style="102" customWidth="1"/>
    <col min="13588" max="13588" width="8.5" style="102" customWidth="1"/>
    <col min="13589" max="13827" width="10.6640625" style="102"/>
    <col min="13828" max="13828" width="13.1640625" style="102" customWidth="1"/>
    <col min="13829" max="13829" width="79" style="102" customWidth="1"/>
    <col min="13830" max="13830" width="3.83203125" style="102" customWidth="1"/>
    <col min="13831" max="13843" width="12.5" style="102" customWidth="1"/>
    <col min="13844" max="13844" width="8.5" style="102" customWidth="1"/>
    <col min="13845" max="14083" width="10.6640625" style="102"/>
    <col min="14084" max="14084" width="13.1640625" style="102" customWidth="1"/>
    <col min="14085" max="14085" width="79" style="102" customWidth="1"/>
    <col min="14086" max="14086" width="3.83203125" style="102" customWidth="1"/>
    <col min="14087" max="14099" width="12.5" style="102" customWidth="1"/>
    <col min="14100" max="14100" width="8.5" style="102" customWidth="1"/>
    <col min="14101" max="14339" width="10.6640625" style="102"/>
    <col min="14340" max="14340" width="13.1640625" style="102" customWidth="1"/>
    <col min="14341" max="14341" width="79" style="102" customWidth="1"/>
    <col min="14342" max="14342" width="3.83203125" style="102" customWidth="1"/>
    <col min="14343" max="14355" width="12.5" style="102" customWidth="1"/>
    <col min="14356" max="14356" width="8.5" style="102" customWidth="1"/>
    <col min="14357" max="14595" width="10.6640625" style="102"/>
    <col min="14596" max="14596" width="13.1640625" style="102" customWidth="1"/>
    <col min="14597" max="14597" width="79" style="102" customWidth="1"/>
    <col min="14598" max="14598" width="3.83203125" style="102" customWidth="1"/>
    <col min="14599" max="14611" width="12.5" style="102" customWidth="1"/>
    <col min="14612" max="14612" width="8.5" style="102" customWidth="1"/>
    <col min="14613" max="14851" width="10.6640625" style="102"/>
    <col min="14852" max="14852" width="13.1640625" style="102" customWidth="1"/>
    <col min="14853" max="14853" width="79" style="102" customWidth="1"/>
    <col min="14854" max="14854" width="3.83203125" style="102" customWidth="1"/>
    <col min="14855" max="14867" width="12.5" style="102" customWidth="1"/>
    <col min="14868" max="14868" width="8.5" style="102" customWidth="1"/>
    <col min="14869" max="15107" width="10.6640625" style="102"/>
    <col min="15108" max="15108" width="13.1640625" style="102" customWidth="1"/>
    <col min="15109" max="15109" width="79" style="102" customWidth="1"/>
    <col min="15110" max="15110" width="3.83203125" style="102" customWidth="1"/>
    <col min="15111" max="15123" width="12.5" style="102" customWidth="1"/>
    <col min="15124" max="15124" width="8.5" style="102" customWidth="1"/>
    <col min="15125" max="15363" width="10.6640625" style="102"/>
    <col min="15364" max="15364" width="13.1640625" style="102" customWidth="1"/>
    <col min="15365" max="15365" width="79" style="102" customWidth="1"/>
    <col min="15366" max="15366" width="3.83203125" style="102" customWidth="1"/>
    <col min="15367" max="15379" width="12.5" style="102" customWidth="1"/>
    <col min="15380" max="15380" width="8.5" style="102" customWidth="1"/>
    <col min="15381" max="15619" width="10.6640625" style="102"/>
    <col min="15620" max="15620" width="13.1640625" style="102" customWidth="1"/>
    <col min="15621" max="15621" width="79" style="102" customWidth="1"/>
    <col min="15622" max="15622" width="3.83203125" style="102" customWidth="1"/>
    <col min="15623" max="15635" width="12.5" style="102" customWidth="1"/>
    <col min="15636" max="15636" width="8.5" style="102" customWidth="1"/>
    <col min="15637" max="15875" width="10.6640625" style="102"/>
    <col min="15876" max="15876" width="13.1640625" style="102" customWidth="1"/>
    <col min="15877" max="15877" width="79" style="102" customWidth="1"/>
    <col min="15878" max="15878" width="3.83203125" style="102" customWidth="1"/>
    <col min="15879" max="15891" width="12.5" style="102" customWidth="1"/>
    <col min="15892" max="15892" width="8.5" style="102" customWidth="1"/>
    <col min="15893" max="16131" width="10.6640625" style="102"/>
    <col min="16132" max="16132" width="13.1640625" style="102" customWidth="1"/>
    <col min="16133" max="16133" width="79" style="102" customWidth="1"/>
    <col min="16134" max="16134" width="3.83203125" style="102" customWidth="1"/>
    <col min="16135" max="16147" width="12.5" style="102" customWidth="1"/>
    <col min="16148" max="16148" width="8.5" style="102" customWidth="1"/>
    <col min="16149" max="16384" width="10.6640625" style="102"/>
  </cols>
  <sheetData>
    <row r="1" spans="1:24" ht="26.25" x14ac:dyDescent="0.2">
      <c r="A1" s="166"/>
      <c r="B1" s="717" t="s">
        <v>1860</v>
      </c>
      <c r="C1" s="718" t="s">
        <v>925</v>
      </c>
      <c r="D1" s="718" t="s">
        <v>925</v>
      </c>
      <c r="E1" s="719"/>
      <c r="F1" s="718"/>
      <c r="G1" s="718"/>
      <c r="H1" s="720"/>
      <c r="I1" s="720"/>
      <c r="J1" s="720"/>
      <c r="K1" s="167" t="s">
        <v>864</v>
      </c>
      <c r="L1" s="720"/>
      <c r="M1" s="720"/>
      <c r="N1" s="721"/>
      <c r="O1" s="721"/>
      <c r="P1" s="720"/>
      <c r="Q1" s="720"/>
      <c r="R1" s="720"/>
      <c r="S1" s="720"/>
      <c r="T1" s="722"/>
    </row>
    <row r="2" spans="1:24" x14ac:dyDescent="0.2">
      <c r="A2" s="166"/>
      <c r="B2" s="724" t="s">
        <v>181</v>
      </c>
      <c r="C2" s="725" t="s">
        <v>2235</v>
      </c>
      <c r="D2" s="726"/>
      <c r="E2" s="726"/>
      <c r="F2" s="727" t="s">
        <v>182</v>
      </c>
      <c r="G2" s="728">
        <v>58</v>
      </c>
      <c r="H2" s="729" t="s">
        <v>926</v>
      </c>
      <c r="I2" s="730"/>
      <c r="J2" s="729" t="s">
        <v>927</v>
      </c>
      <c r="K2" s="730"/>
      <c r="L2" s="729" t="s">
        <v>928</v>
      </c>
      <c r="M2" s="731"/>
      <c r="N2" s="895"/>
      <c r="O2" s="730"/>
      <c r="P2" s="732" t="s">
        <v>988</v>
      </c>
      <c r="Q2" s="733"/>
      <c r="R2" s="733"/>
      <c r="S2" s="734">
        <f>'orc DER JAN 2021'!V2659</f>
        <v>1872791.5100000002</v>
      </c>
      <c r="T2" s="735">
        <f>IF(S4=0,0,S2/S4)</f>
        <v>1</v>
      </c>
    </row>
    <row r="3" spans="1:24" ht="15" customHeight="1" thickBot="1" x14ac:dyDescent="0.25">
      <c r="A3" s="166"/>
      <c r="B3" s="736" t="s">
        <v>183</v>
      </c>
      <c r="C3" s="737" t="s">
        <v>2267</v>
      </c>
      <c r="D3" s="738"/>
      <c r="E3" s="739"/>
      <c r="F3" s="740" t="s">
        <v>184</v>
      </c>
      <c r="G3" s="741">
        <v>1</v>
      </c>
      <c r="H3" s="742" t="s">
        <v>931</v>
      </c>
      <c r="I3" s="743">
        <f ca="1">TODAY()</f>
        <v>44441</v>
      </c>
      <c r="J3" s="742" t="s">
        <v>932</v>
      </c>
      <c r="K3" s="744">
        <f>80-10</f>
        <v>70</v>
      </c>
      <c r="L3" s="742" t="s">
        <v>931</v>
      </c>
      <c r="M3" s="745">
        <f ca="1">I3+K3+10</f>
        <v>44521</v>
      </c>
      <c r="N3" s="742"/>
      <c r="O3" s="896"/>
      <c r="P3" s="747" t="s">
        <v>934</v>
      </c>
      <c r="Q3" s="748"/>
      <c r="R3" s="749"/>
      <c r="S3" s="750"/>
      <c r="T3" s="751">
        <f>IF(S3=0,0,1-T2)</f>
        <v>0</v>
      </c>
    </row>
    <row r="4" spans="1:24" ht="18.75" thickBot="1" x14ac:dyDescent="0.25">
      <c r="A4" s="166"/>
      <c r="B4" s="752" t="s">
        <v>935</v>
      </c>
      <c r="C4" s="753">
        <f>'orc DER JAN 2021'!O2667</f>
        <v>9818.7900000000009</v>
      </c>
      <c r="D4" s="754"/>
      <c r="E4" s="755" t="s">
        <v>936</v>
      </c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7" t="s">
        <v>937</v>
      </c>
      <c r="Q4" s="758"/>
      <c r="R4" s="758"/>
      <c r="S4" s="759">
        <f>SUM(S2:S3)</f>
        <v>1872791.5100000002</v>
      </c>
      <c r="T4" s="760">
        <f>SUM(T2:T3)</f>
        <v>1</v>
      </c>
    </row>
    <row r="5" spans="1:24" ht="12.75" customHeight="1" thickBot="1" x14ac:dyDescent="0.25">
      <c r="A5" s="166"/>
      <c r="B5" s="761" t="s">
        <v>938</v>
      </c>
      <c r="C5" s="762" t="s">
        <v>939</v>
      </c>
      <c r="D5" s="763"/>
      <c r="E5" s="764" t="s">
        <v>78</v>
      </c>
      <c r="F5" s="765" t="s">
        <v>940</v>
      </c>
      <c r="G5" s="766"/>
      <c r="H5" s="766"/>
      <c r="I5" s="766"/>
      <c r="J5" s="766"/>
      <c r="K5" s="766"/>
      <c r="L5" s="766"/>
      <c r="M5" s="767"/>
      <c r="N5" s="767"/>
      <c r="O5" s="767"/>
      <c r="P5" s="768"/>
      <c r="Q5" s="769"/>
      <c r="R5" s="770"/>
      <c r="S5" s="771" t="s">
        <v>542</v>
      </c>
      <c r="T5" s="772" t="s">
        <v>941</v>
      </c>
      <c r="W5" s="723" t="s">
        <v>942</v>
      </c>
      <c r="X5" s="773" t="str">
        <f>IF(S4=S51,"OK","erro")</f>
        <v>OK</v>
      </c>
    </row>
    <row r="6" spans="1:24" ht="13.5" thickBot="1" x14ac:dyDescent="0.25">
      <c r="A6" s="166"/>
      <c r="B6" s="774" t="s">
        <v>943</v>
      </c>
      <c r="C6" s="775"/>
      <c r="D6" s="776"/>
      <c r="E6" s="777">
        <v>6</v>
      </c>
      <c r="F6" s="778">
        <f>IF(E6=0,0,1)</f>
        <v>1</v>
      </c>
      <c r="G6" s="778">
        <f>IF($E$6&lt;2,0,2)</f>
        <v>2</v>
      </c>
      <c r="H6" s="778">
        <f>IF($E$6&lt;3,0,3)</f>
        <v>3</v>
      </c>
      <c r="I6" s="778">
        <f>IF($E$6&lt;4,0,4)</f>
        <v>4</v>
      </c>
      <c r="J6" s="778">
        <f>IF($E$6&lt;5,0,5)</f>
        <v>5</v>
      </c>
      <c r="K6" s="778">
        <f>IF($E$6&lt;6,0,6)</f>
        <v>6</v>
      </c>
      <c r="L6" s="778">
        <f>IF($E$6&lt;7,0,7)</f>
        <v>0</v>
      </c>
      <c r="M6" s="778">
        <f>IF($E$6&lt;8,0,8)</f>
        <v>0</v>
      </c>
      <c r="N6" s="778">
        <f>IF($E$6&lt;9,0,9)</f>
        <v>0</v>
      </c>
      <c r="O6" s="778">
        <f>IF($E$6&lt;10,0,10)</f>
        <v>0</v>
      </c>
      <c r="P6" s="778">
        <f>IF($E$6&lt;11,0,11)</f>
        <v>0</v>
      </c>
      <c r="Q6" s="779">
        <f>IF($E$6&lt;12,0,12)</f>
        <v>0</v>
      </c>
      <c r="R6" s="780"/>
      <c r="S6" s="781" t="s">
        <v>944</v>
      </c>
      <c r="T6" s="782" t="s">
        <v>542</v>
      </c>
    </row>
    <row r="7" spans="1:24" ht="14.25" thickTop="1" thickBot="1" x14ac:dyDescent="0.25">
      <c r="A7" s="166"/>
      <c r="B7" s="774"/>
      <c r="C7" s="775" t="s">
        <v>945</v>
      </c>
      <c r="D7" s="776"/>
      <c r="E7" s="783"/>
      <c r="F7" s="784">
        <f ca="1">IF(E6=0,0,M3)</f>
        <v>44521</v>
      </c>
      <c r="G7" s="784">
        <f ca="1">IF(G6=0,0,F8+1)</f>
        <v>44552</v>
      </c>
      <c r="H7" s="784">
        <f ca="1">IF(H6=0,0,G8+1)</f>
        <v>44583</v>
      </c>
      <c r="I7" s="784">
        <f ca="1">IF(I6=0,0,H8+1)</f>
        <v>44614</v>
      </c>
      <c r="J7" s="784">
        <f ca="1">IF(J6=0,0,I8+1)</f>
        <v>44645</v>
      </c>
      <c r="K7" s="784">
        <f t="shared" ref="K7:Q7" ca="1" si="0">IF(K6=0,0,J8+1)</f>
        <v>44676</v>
      </c>
      <c r="L7" s="784">
        <f t="shared" si="0"/>
        <v>0</v>
      </c>
      <c r="M7" s="784">
        <f t="shared" si="0"/>
        <v>0</v>
      </c>
      <c r="N7" s="784">
        <f t="shared" si="0"/>
        <v>0</v>
      </c>
      <c r="O7" s="784">
        <f t="shared" si="0"/>
        <v>0</v>
      </c>
      <c r="P7" s="784">
        <f t="shared" si="0"/>
        <v>0</v>
      </c>
      <c r="Q7" s="785">
        <f t="shared" si="0"/>
        <v>0</v>
      </c>
      <c r="R7" s="786"/>
      <c r="S7" s="781"/>
      <c r="T7" s="782"/>
    </row>
    <row r="8" spans="1:24" ht="14.25" thickTop="1" thickBot="1" x14ac:dyDescent="0.25">
      <c r="A8" s="166"/>
      <c r="B8" s="774"/>
      <c r="C8" s="775" t="s">
        <v>946</v>
      </c>
      <c r="D8" s="776"/>
      <c r="E8" s="783"/>
      <c r="F8" s="784">
        <f ca="1">IF(E6=0,0,F7+30)</f>
        <v>44551</v>
      </c>
      <c r="G8" s="784">
        <f t="shared" ref="G8:I8" ca="1" si="1">IF(G6=0,0,G7+30)</f>
        <v>44582</v>
      </c>
      <c r="H8" s="784">
        <f t="shared" ca="1" si="1"/>
        <v>44613</v>
      </c>
      <c r="I8" s="784">
        <f t="shared" ca="1" si="1"/>
        <v>44644</v>
      </c>
      <c r="J8" s="784">
        <f ca="1">IF(J6=0,0,J7+30)</f>
        <v>44675</v>
      </c>
      <c r="K8" s="784">
        <f t="shared" ref="K8:Q8" ca="1" si="2">IF(K6=0,0,K7+30)</f>
        <v>44706</v>
      </c>
      <c r="L8" s="784">
        <f t="shared" si="2"/>
        <v>0</v>
      </c>
      <c r="M8" s="784">
        <f t="shared" si="2"/>
        <v>0</v>
      </c>
      <c r="N8" s="784">
        <f t="shared" si="2"/>
        <v>0</v>
      </c>
      <c r="O8" s="784">
        <f t="shared" si="2"/>
        <v>0</v>
      </c>
      <c r="P8" s="784">
        <f t="shared" si="2"/>
        <v>0</v>
      </c>
      <c r="Q8" s="785">
        <f t="shared" si="2"/>
        <v>0</v>
      </c>
      <c r="R8" s="786"/>
      <c r="S8" s="781"/>
      <c r="T8" s="782"/>
    </row>
    <row r="9" spans="1:24" ht="13.5" thickTop="1" x14ac:dyDescent="0.2">
      <c r="A9" s="168" t="str">
        <f>CONCATENATE($E$6,"|",B9)</f>
        <v>6|1</v>
      </c>
      <c r="B9" s="787">
        <v>1</v>
      </c>
      <c r="C9" s="788" t="s">
        <v>499</v>
      </c>
      <c r="D9" s="789"/>
      <c r="E9" s="790">
        <v>1</v>
      </c>
      <c r="F9" s="791">
        <v>20</v>
      </c>
      <c r="G9" s="791">
        <v>30</v>
      </c>
      <c r="H9" s="791">
        <v>30</v>
      </c>
      <c r="I9" s="791">
        <v>20</v>
      </c>
      <c r="J9" s="791">
        <v>0</v>
      </c>
      <c r="K9" s="791">
        <v>0</v>
      </c>
      <c r="L9" s="791">
        <v>0</v>
      </c>
      <c r="M9" s="791">
        <v>0</v>
      </c>
      <c r="N9" s="791">
        <v>0</v>
      </c>
      <c r="O9" s="791">
        <v>0</v>
      </c>
      <c r="P9" s="791">
        <v>0</v>
      </c>
      <c r="Q9" s="792">
        <v>0</v>
      </c>
      <c r="R9" s="793"/>
      <c r="S9" s="794">
        <f>'orc DER JAN 2021'!V18</f>
        <v>6097.39</v>
      </c>
      <c r="T9" s="795">
        <f t="shared" ref="T9:T19" si="3">IF($S$21=0,0,(S9/$S$21)*100)</f>
        <v>0.32557761862130608</v>
      </c>
      <c r="W9" s="796">
        <f t="shared" ref="W9:W19" si="4">SUM(F9:Q9)</f>
        <v>100</v>
      </c>
    </row>
    <row r="10" spans="1:24" x14ac:dyDescent="0.2">
      <c r="A10" s="168" t="str">
        <f t="shared" ref="A10:A19" si="5">CONCATENATE($E$6,"|",B10)</f>
        <v>6|2</v>
      </c>
      <c r="B10" s="797" t="s">
        <v>189</v>
      </c>
      <c r="C10" s="788" t="s">
        <v>495</v>
      </c>
      <c r="D10" s="789"/>
      <c r="E10" s="790">
        <v>2</v>
      </c>
      <c r="F10" s="791">
        <v>15</v>
      </c>
      <c r="G10" s="791">
        <v>25</v>
      </c>
      <c r="H10" s="791">
        <v>30</v>
      </c>
      <c r="I10" s="791">
        <v>25</v>
      </c>
      <c r="J10" s="791">
        <v>5</v>
      </c>
      <c r="K10" s="791">
        <v>0</v>
      </c>
      <c r="L10" s="791">
        <v>0</v>
      </c>
      <c r="M10" s="791">
        <v>0</v>
      </c>
      <c r="N10" s="791">
        <v>0</v>
      </c>
      <c r="O10" s="791">
        <v>0</v>
      </c>
      <c r="P10" s="791">
        <v>0</v>
      </c>
      <c r="Q10" s="792">
        <v>0</v>
      </c>
      <c r="R10" s="793"/>
      <c r="S10" s="794">
        <f>'orc DER JAN 2021'!V68</f>
        <v>20910.88</v>
      </c>
      <c r="T10" s="795">
        <f t="shared" si="3"/>
        <v>1.1165620886438128</v>
      </c>
      <c r="W10" s="796">
        <f t="shared" si="4"/>
        <v>100</v>
      </c>
    </row>
    <row r="11" spans="1:24" x14ac:dyDescent="0.2">
      <c r="A11" s="168" t="str">
        <f t="shared" si="5"/>
        <v>6|3</v>
      </c>
      <c r="B11" s="797" t="s">
        <v>213</v>
      </c>
      <c r="C11" s="788" t="s">
        <v>501</v>
      </c>
      <c r="D11" s="789"/>
      <c r="E11" s="790">
        <v>3</v>
      </c>
      <c r="F11" s="791">
        <v>5</v>
      </c>
      <c r="G11" s="791">
        <v>20</v>
      </c>
      <c r="H11" s="791">
        <v>30</v>
      </c>
      <c r="I11" s="791">
        <v>25</v>
      </c>
      <c r="J11" s="791">
        <v>20</v>
      </c>
      <c r="K11" s="791">
        <v>0</v>
      </c>
      <c r="L11" s="791">
        <v>0</v>
      </c>
      <c r="M11" s="791">
        <v>0</v>
      </c>
      <c r="N11" s="791">
        <v>0</v>
      </c>
      <c r="O11" s="791">
        <v>0</v>
      </c>
      <c r="P11" s="791">
        <v>0</v>
      </c>
      <c r="Q11" s="792">
        <v>0</v>
      </c>
      <c r="R11" s="793"/>
      <c r="S11" s="794">
        <f>'orc DER JAN 2021'!V113</f>
        <v>515253.24</v>
      </c>
      <c r="T11" s="795">
        <f t="shared" si="3"/>
        <v>27.512578802752042</v>
      </c>
      <c r="W11" s="796">
        <f t="shared" si="4"/>
        <v>100</v>
      </c>
    </row>
    <row r="12" spans="1:24" x14ac:dyDescent="0.2">
      <c r="A12" s="168" t="str">
        <f t="shared" si="5"/>
        <v>6|4</v>
      </c>
      <c r="B12" s="797" t="s">
        <v>231</v>
      </c>
      <c r="C12" s="788" t="s">
        <v>496</v>
      </c>
      <c r="D12" s="789"/>
      <c r="E12" s="790">
        <v>4</v>
      </c>
      <c r="F12" s="791">
        <v>0</v>
      </c>
      <c r="G12" s="791">
        <v>5</v>
      </c>
      <c r="H12" s="791">
        <v>20</v>
      </c>
      <c r="I12" s="791">
        <v>30</v>
      </c>
      <c r="J12" s="791">
        <v>25</v>
      </c>
      <c r="K12" s="791">
        <v>20</v>
      </c>
      <c r="L12" s="791">
        <v>0</v>
      </c>
      <c r="M12" s="791">
        <v>0</v>
      </c>
      <c r="N12" s="791">
        <v>0</v>
      </c>
      <c r="O12" s="791">
        <v>0</v>
      </c>
      <c r="P12" s="791">
        <v>0</v>
      </c>
      <c r="Q12" s="792">
        <v>0</v>
      </c>
      <c r="R12" s="793"/>
      <c r="S12" s="794">
        <f>'orc DER JAN 2021'!V223</f>
        <v>678892.08</v>
      </c>
      <c r="T12" s="795">
        <f t="shared" si="3"/>
        <v>36.250275397713644</v>
      </c>
      <c r="W12" s="796">
        <f t="shared" si="4"/>
        <v>100</v>
      </c>
    </row>
    <row r="13" spans="1:24" x14ac:dyDescent="0.2">
      <c r="A13" s="168" t="str">
        <f t="shared" si="5"/>
        <v>6|5</v>
      </c>
      <c r="B13" s="797" t="s">
        <v>188</v>
      </c>
      <c r="C13" s="788" t="s">
        <v>497</v>
      </c>
      <c r="D13" s="789"/>
      <c r="E13" s="790">
        <v>5</v>
      </c>
      <c r="F13" s="791">
        <v>0</v>
      </c>
      <c r="G13" s="791">
        <v>15</v>
      </c>
      <c r="H13" s="791">
        <v>30</v>
      </c>
      <c r="I13" s="791">
        <v>30</v>
      </c>
      <c r="J13" s="791">
        <v>25</v>
      </c>
      <c r="K13" s="791">
        <v>0</v>
      </c>
      <c r="L13" s="791">
        <v>0</v>
      </c>
      <c r="M13" s="791">
        <v>0</v>
      </c>
      <c r="N13" s="791">
        <v>0</v>
      </c>
      <c r="O13" s="791">
        <v>0</v>
      </c>
      <c r="P13" s="791">
        <v>0</v>
      </c>
      <c r="Q13" s="792">
        <v>0</v>
      </c>
      <c r="R13" s="793"/>
      <c r="S13" s="794">
        <f>'orc DER JAN 2021'!V467</f>
        <v>54029.08</v>
      </c>
      <c r="T13" s="795">
        <f t="shared" si="3"/>
        <v>2.884949003212856</v>
      </c>
      <c r="W13" s="796">
        <f t="shared" si="4"/>
        <v>100</v>
      </c>
    </row>
    <row r="14" spans="1:24" x14ac:dyDescent="0.2">
      <c r="A14" s="168" t="str">
        <f t="shared" si="5"/>
        <v>6|6</v>
      </c>
      <c r="B14" s="797" t="s">
        <v>233</v>
      </c>
      <c r="C14" s="788" t="s">
        <v>503</v>
      </c>
      <c r="D14" s="789"/>
      <c r="E14" s="790">
        <v>3</v>
      </c>
      <c r="F14" s="791">
        <v>0</v>
      </c>
      <c r="G14" s="791">
        <v>5</v>
      </c>
      <c r="H14" s="791">
        <v>10</v>
      </c>
      <c r="I14" s="791">
        <v>30</v>
      </c>
      <c r="J14" s="791">
        <v>30</v>
      </c>
      <c r="K14" s="791">
        <v>25</v>
      </c>
      <c r="L14" s="791">
        <v>0</v>
      </c>
      <c r="M14" s="791">
        <v>0</v>
      </c>
      <c r="N14" s="791">
        <v>0</v>
      </c>
      <c r="O14" s="791">
        <v>0</v>
      </c>
      <c r="P14" s="791">
        <v>0</v>
      </c>
      <c r="Q14" s="792">
        <v>0</v>
      </c>
      <c r="R14" s="793"/>
      <c r="S14" s="794">
        <f>'orc DER JAN 2021'!V522</f>
        <v>182134.95</v>
      </c>
      <c r="T14" s="795">
        <f t="shared" si="3"/>
        <v>9.7253190772954738</v>
      </c>
      <c r="W14" s="796">
        <f t="shared" si="4"/>
        <v>100</v>
      </c>
    </row>
    <row r="15" spans="1:24" x14ac:dyDescent="0.2">
      <c r="A15" s="168" t="str">
        <f t="shared" si="5"/>
        <v>6|7</v>
      </c>
      <c r="B15" s="797" t="s">
        <v>474</v>
      </c>
      <c r="C15" s="788" t="s">
        <v>504</v>
      </c>
      <c r="D15" s="789"/>
      <c r="E15" s="790">
        <v>5</v>
      </c>
      <c r="F15" s="791">
        <v>0</v>
      </c>
      <c r="G15" s="791">
        <v>0</v>
      </c>
      <c r="H15" s="791">
        <v>20</v>
      </c>
      <c r="I15" s="791">
        <v>20</v>
      </c>
      <c r="J15" s="791">
        <v>30</v>
      </c>
      <c r="K15" s="791">
        <v>30</v>
      </c>
      <c r="L15" s="791">
        <v>0</v>
      </c>
      <c r="M15" s="791">
        <v>0</v>
      </c>
      <c r="N15" s="791">
        <v>0</v>
      </c>
      <c r="O15" s="791">
        <v>0</v>
      </c>
      <c r="P15" s="791">
        <v>0</v>
      </c>
      <c r="Q15" s="792">
        <v>0</v>
      </c>
      <c r="R15" s="793"/>
      <c r="S15" s="794">
        <f>'orc DER JAN 2021'!V719</f>
        <v>55596.86</v>
      </c>
      <c r="T15" s="795">
        <f t="shared" si="3"/>
        <v>2.9686625394836392</v>
      </c>
      <c r="W15" s="796">
        <f t="shared" si="4"/>
        <v>100</v>
      </c>
    </row>
    <row r="16" spans="1:24" x14ac:dyDescent="0.2">
      <c r="A16" s="168" t="str">
        <f t="shared" si="5"/>
        <v>6|8</v>
      </c>
      <c r="B16" s="797" t="s">
        <v>340</v>
      </c>
      <c r="C16" s="788" t="s">
        <v>506</v>
      </c>
      <c r="D16" s="789"/>
      <c r="E16" s="790">
        <v>6</v>
      </c>
      <c r="F16" s="791">
        <v>0</v>
      </c>
      <c r="G16" s="791">
        <v>0</v>
      </c>
      <c r="H16" s="791">
        <v>20</v>
      </c>
      <c r="I16" s="791">
        <v>30</v>
      </c>
      <c r="J16" s="791">
        <v>30</v>
      </c>
      <c r="K16" s="791">
        <v>20</v>
      </c>
      <c r="L16" s="791">
        <v>0</v>
      </c>
      <c r="M16" s="791">
        <v>0</v>
      </c>
      <c r="N16" s="791">
        <v>0</v>
      </c>
      <c r="O16" s="791">
        <v>0</v>
      </c>
      <c r="P16" s="791">
        <v>0</v>
      </c>
      <c r="Q16" s="792">
        <v>0</v>
      </c>
      <c r="R16" s="793"/>
      <c r="S16" s="794">
        <f>'orc DER JAN 2021'!V779</f>
        <v>52935.519999999997</v>
      </c>
      <c r="T16" s="795">
        <f t="shared" si="3"/>
        <v>2.8265570255602017</v>
      </c>
      <c r="W16" s="796">
        <f t="shared" si="4"/>
        <v>100</v>
      </c>
    </row>
    <row r="17" spans="1:23" x14ac:dyDescent="0.2">
      <c r="A17" s="168" t="str">
        <f t="shared" si="5"/>
        <v>6|9</v>
      </c>
      <c r="B17" s="797" t="s">
        <v>507</v>
      </c>
      <c r="C17" s="788" t="s">
        <v>508</v>
      </c>
      <c r="D17" s="789"/>
      <c r="E17" s="790">
        <v>6</v>
      </c>
      <c r="F17" s="791">
        <v>5</v>
      </c>
      <c r="G17" s="791">
        <v>15</v>
      </c>
      <c r="H17" s="791">
        <v>25</v>
      </c>
      <c r="I17" s="791">
        <v>25</v>
      </c>
      <c r="J17" s="791">
        <v>20</v>
      </c>
      <c r="K17" s="791">
        <v>10</v>
      </c>
      <c r="L17" s="791">
        <v>0</v>
      </c>
      <c r="M17" s="791">
        <v>0</v>
      </c>
      <c r="N17" s="791">
        <v>0</v>
      </c>
      <c r="O17" s="791">
        <v>0</v>
      </c>
      <c r="P17" s="791">
        <v>0</v>
      </c>
      <c r="Q17" s="792">
        <v>0</v>
      </c>
      <c r="R17" s="793"/>
      <c r="S17" s="794"/>
      <c r="T17" s="795">
        <f t="shared" si="3"/>
        <v>0</v>
      </c>
      <c r="W17" s="796">
        <f t="shared" si="4"/>
        <v>100</v>
      </c>
    </row>
    <row r="18" spans="1:23" x14ac:dyDescent="0.2">
      <c r="A18" s="168" t="str">
        <f t="shared" si="5"/>
        <v>6|10</v>
      </c>
      <c r="B18" s="797" t="s">
        <v>509</v>
      </c>
      <c r="C18" s="788" t="s">
        <v>498</v>
      </c>
      <c r="D18" s="789"/>
      <c r="E18" s="790"/>
      <c r="F18" s="791">
        <v>20</v>
      </c>
      <c r="G18" s="791">
        <v>30</v>
      </c>
      <c r="H18" s="791">
        <v>30</v>
      </c>
      <c r="I18" s="791">
        <v>15</v>
      </c>
      <c r="J18" s="791">
        <v>5</v>
      </c>
      <c r="K18" s="791">
        <v>0</v>
      </c>
      <c r="L18" s="791">
        <v>0</v>
      </c>
      <c r="M18" s="791">
        <v>0</v>
      </c>
      <c r="N18" s="791">
        <v>0</v>
      </c>
      <c r="O18" s="791">
        <v>0</v>
      </c>
      <c r="P18" s="791">
        <v>0</v>
      </c>
      <c r="Q18" s="792">
        <v>0</v>
      </c>
      <c r="R18" s="793"/>
      <c r="S18" s="794">
        <f>'orc DER JAN 2021'!V1734</f>
        <v>278168.89</v>
      </c>
      <c r="T18" s="795">
        <f t="shared" si="3"/>
        <v>14.853169106901811</v>
      </c>
      <c r="W18" s="796">
        <f t="shared" si="4"/>
        <v>100</v>
      </c>
    </row>
    <row r="19" spans="1:23" x14ac:dyDescent="0.2">
      <c r="A19" s="168" t="str">
        <f t="shared" si="5"/>
        <v>6|11</v>
      </c>
      <c r="B19" s="797" t="s">
        <v>764</v>
      </c>
      <c r="C19" s="788" t="s">
        <v>803</v>
      </c>
      <c r="D19" s="789"/>
      <c r="E19" s="790"/>
      <c r="F19" s="791">
        <v>3</v>
      </c>
      <c r="G19" s="791">
        <v>12</v>
      </c>
      <c r="H19" s="791">
        <v>25</v>
      </c>
      <c r="I19" s="791">
        <v>28</v>
      </c>
      <c r="J19" s="791">
        <v>21</v>
      </c>
      <c r="K19" s="791">
        <v>11</v>
      </c>
      <c r="L19" s="791">
        <v>0</v>
      </c>
      <c r="M19" s="791">
        <v>0</v>
      </c>
      <c r="N19" s="791">
        <v>0</v>
      </c>
      <c r="O19" s="791">
        <v>0</v>
      </c>
      <c r="P19" s="791">
        <v>0</v>
      </c>
      <c r="Q19" s="792">
        <v>0</v>
      </c>
      <c r="R19" s="793"/>
      <c r="S19" s="794">
        <f>'orc DER JAN 2021'!V2611</f>
        <v>28772.620000000003</v>
      </c>
      <c r="T19" s="795">
        <f t="shared" si="3"/>
        <v>1.5363493398151937</v>
      </c>
      <c r="W19" s="796">
        <f t="shared" si="4"/>
        <v>100</v>
      </c>
    </row>
    <row r="20" spans="1:23" ht="13.5" thickBot="1" x14ac:dyDescent="0.25">
      <c r="A20" s="166"/>
      <c r="B20" s="798"/>
      <c r="C20" s="799"/>
      <c r="D20" s="799"/>
      <c r="E20" s="799"/>
      <c r="F20" s="800"/>
      <c r="G20" s="800"/>
      <c r="H20" s="800"/>
      <c r="I20" s="800"/>
      <c r="J20" s="800"/>
      <c r="K20" s="800"/>
      <c r="L20" s="800"/>
      <c r="M20" s="800"/>
      <c r="N20" s="800"/>
      <c r="O20" s="800"/>
      <c r="P20" s="800"/>
      <c r="Q20" s="800"/>
      <c r="R20" s="800"/>
      <c r="S20" s="801"/>
      <c r="T20" s="802"/>
    </row>
    <row r="21" spans="1:23" ht="14.25" thickTop="1" thickBot="1" x14ac:dyDescent="0.25">
      <c r="A21" s="166"/>
      <c r="B21" s="803"/>
      <c r="C21" s="804" t="s">
        <v>947</v>
      </c>
      <c r="D21" s="804" t="s">
        <v>947</v>
      </c>
      <c r="E21" s="805"/>
      <c r="F21" s="806"/>
      <c r="G21" s="806"/>
      <c r="H21" s="806"/>
      <c r="I21" s="806"/>
      <c r="J21" s="806"/>
      <c r="K21" s="806"/>
      <c r="L21" s="806"/>
      <c r="M21" s="806"/>
      <c r="N21" s="806"/>
      <c r="O21" s="806"/>
      <c r="P21" s="806"/>
      <c r="Q21" s="806"/>
      <c r="R21" s="806"/>
      <c r="S21" s="807">
        <f>SUM(S9:S20)</f>
        <v>1872791.5100000002</v>
      </c>
      <c r="T21" s="808">
        <f>SUM(T9:T19)</f>
        <v>100</v>
      </c>
    </row>
    <row r="22" spans="1:23" ht="18.75" thickTop="1" x14ac:dyDescent="0.2">
      <c r="A22" s="166"/>
      <c r="B22" s="809" t="s">
        <v>989</v>
      </c>
      <c r="C22" s="810"/>
      <c r="D22" s="810"/>
      <c r="E22" s="810"/>
      <c r="F22" s="811"/>
      <c r="G22" s="811"/>
      <c r="H22" s="811"/>
      <c r="I22" s="811"/>
      <c r="J22" s="811"/>
      <c r="K22" s="811"/>
      <c r="L22" s="811"/>
      <c r="M22" s="811"/>
      <c r="N22" s="811"/>
      <c r="O22" s="811"/>
      <c r="P22" s="811"/>
      <c r="Q22" s="811"/>
      <c r="R22" s="811"/>
      <c r="S22" s="811"/>
      <c r="T22" s="812"/>
    </row>
    <row r="23" spans="1:23" ht="13.5" thickBot="1" x14ac:dyDescent="0.25">
      <c r="A23" s="166"/>
      <c r="B23" s="813" t="s">
        <v>943</v>
      </c>
      <c r="C23" s="814"/>
      <c r="D23" s="814"/>
      <c r="E23" s="814"/>
      <c r="F23" s="815" t="s">
        <v>949</v>
      </c>
      <c r="G23" s="815"/>
      <c r="H23" s="815"/>
      <c r="I23" s="815"/>
      <c r="J23" s="815"/>
      <c r="K23" s="815"/>
      <c r="L23" s="815"/>
      <c r="M23" s="815"/>
      <c r="N23" s="815"/>
      <c r="O23" s="815"/>
      <c r="P23" s="815"/>
      <c r="Q23" s="816"/>
      <c r="R23" s="770" t="s">
        <v>950</v>
      </c>
      <c r="S23" s="817" t="s">
        <v>542</v>
      </c>
      <c r="T23" s="818" t="s">
        <v>941</v>
      </c>
    </row>
    <row r="24" spans="1:23" ht="13.5" thickTop="1" x14ac:dyDescent="0.2">
      <c r="A24" s="166"/>
      <c r="B24" s="819"/>
      <c r="C24" s="820"/>
      <c r="D24" s="821"/>
      <c r="E24" s="821"/>
      <c r="F24" s="822">
        <f t="shared" ref="F24:Q24" si="6">F6</f>
        <v>1</v>
      </c>
      <c r="G24" s="822">
        <f t="shared" si="6"/>
        <v>2</v>
      </c>
      <c r="H24" s="822">
        <f t="shared" si="6"/>
        <v>3</v>
      </c>
      <c r="I24" s="822">
        <f t="shared" si="6"/>
        <v>4</v>
      </c>
      <c r="J24" s="822">
        <f t="shared" si="6"/>
        <v>5</v>
      </c>
      <c r="K24" s="822">
        <f t="shared" si="6"/>
        <v>6</v>
      </c>
      <c r="L24" s="822">
        <f t="shared" si="6"/>
        <v>0</v>
      </c>
      <c r="M24" s="822">
        <f t="shared" si="6"/>
        <v>0</v>
      </c>
      <c r="N24" s="822">
        <f t="shared" si="6"/>
        <v>0</v>
      </c>
      <c r="O24" s="822">
        <f t="shared" si="6"/>
        <v>0</v>
      </c>
      <c r="P24" s="822">
        <f t="shared" si="6"/>
        <v>0</v>
      </c>
      <c r="Q24" s="823">
        <f t="shared" si="6"/>
        <v>0</v>
      </c>
      <c r="R24" s="824" t="s">
        <v>951</v>
      </c>
      <c r="S24" s="825" t="s">
        <v>943</v>
      </c>
      <c r="T24" s="826" t="s">
        <v>943</v>
      </c>
    </row>
    <row r="25" spans="1:23" x14ac:dyDescent="0.2">
      <c r="A25" s="166"/>
      <c r="B25" s="827" t="s">
        <v>952</v>
      </c>
      <c r="C25" s="828" t="s">
        <v>499</v>
      </c>
      <c r="D25" s="829" t="s">
        <v>990</v>
      </c>
      <c r="E25" s="830" t="s">
        <v>954</v>
      </c>
      <c r="F25" s="831">
        <f t="shared" ref="F25:Q25" si="7">((F9/100)*$S$9)*$T$2</f>
        <v>1219.4780000000001</v>
      </c>
      <c r="G25" s="831">
        <f t="shared" si="7"/>
        <v>1829.2170000000001</v>
      </c>
      <c r="H25" s="831">
        <f t="shared" si="7"/>
        <v>1829.2170000000001</v>
      </c>
      <c r="I25" s="831">
        <f t="shared" si="7"/>
        <v>1219.4780000000001</v>
      </c>
      <c r="J25" s="831">
        <f t="shared" si="7"/>
        <v>0</v>
      </c>
      <c r="K25" s="831">
        <f t="shared" si="7"/>
        <v>0</v>
      </c>
      <c r="L25" s="831">
        <f t="shared" si="7"/>
        <v>0</v>
      </c>
      <c r="M25" s="831">
        <f t="shared" si="7"/>
        <v>0</v>
      </c>
      <c r="N25" s="831">
        <f t="shared" si="7"/>
        <v>0</v>
      </c>
      <c r="O25" s="831">
        <f t="shared" si="7"/>
        <v>0</v>
      </c>
      <c r="P25" s="831">
        <f t="shared" si="7"/>
        <v>0</v>
      </c>
      <c r="Q25" s="832">
        <f t="shared" si="7"/>
        <v>0</v>
      </c>
      <c r="R25" s="833">
        <f>COUNTIF(F25:Q25,"&gt;0")</f>
        <v>4</v>
      </c>
      <c r="S25" s="834">
        <f t="shared" ref="S25:S46" si="8">SUM(F25:Q25)</f>
        <v>6097.39</v>
      </c>
      <c r="T25" s="835">
        <f t="shared" ref="T25:T46" si="9">IF($S$51=0,0,(S25/$S$51))</f>
        <v>3.2557761862130612E-3</v>
      </c>
    </row>
    <row r="26" spans="1:23" x14ac:dyDescent="0.2">
      <c r="A26" s="166"/>
      <c r="B26" s="827" t="s">
        <v>955</v>
      </c>
      <c r="C26" s="836"/>
      <c r="D26" s="829" t="s">
        <v>956</v>
      </c>
      <c r="E26" s="830" t="s">
        <v>954</v>
      </c>
      <c r="F26" s="831">
        <f>((F9/100)*$S$9)*T3</f>
        <v>0</v>
      </c>
      <c r="G26" s="831">
        <f t="shared" ref="G26:Q26" si="10">((G9/100)*$S$9)*$T$3</f>
        <v>0</v>
      </c>
      <c r="H26" s="831">
        <f t="shared" si="10"/>
        <v>0</v>
      </c>
      <c r="I26" s="831">
        <f t="shared" si="10"/>
        <v>0</v>
      </c>
      <c r="J26" s="831">
        <f t="shared" si="10"/>
        <v>0</v>
      </c>
      <c r="K26" s="831">
        <f t="shared" si="10"/>
        <v>0</v>
      </c>
      <c r="L26" s="831">
        <f t="shared" si="10"/>
        <v>0</v>
      </c>
      <c r="M26" s="831">
        <f t="shared" si="10"/>
        <v>0</v>
      </c>
      <c r="N26" s="831">
        <f t="shared" si="10"/>
        <v>0</v>
      </c>
      <c r="O26" s="831">
        <f t="shared" si="10"/>
        <v>0</v>
      </c>
      <c r="P26" s="831">
        <f t="shared" si="10"/>
        <v>0</v>
      </c>
      <c r="Q26" s="832">
        <f t="shared" si="10"/>
        <v>0</v>
      </c>
      <c r="R26" s="837">
        <f t="shared" ref="R26:R46" si="11">COUNTIF(F26:Q26,"&gt;0")</f>
        <v>0</v>
      </c>
      <c r="S26" s="834">
        <f t="shared" si="8"/>
        <v>0</v>
      </c>
      <c r="T26" s="835">
        <f t="shared" si="9"/>
        <v>0</v>
      </c>
      <c r="U26" s="838"/>
    </row>
    <row r="27" spans="1:23" x14ac:dyDescent="0.2">
      <c r="A27" s="166"/>
      <c r="B27" s="827" t="s">
        <v>957</v>
      </c>
      <c r="C27" s="839" t="s">
        <v>495</v>
      </c>
      <c r="D27" s="830" t="s">
        <v>990</v>
      </c>
      <c r="E27" s="830" t="s">
        <v>954</v>
      </c>
      <c r="F27" s="831">
        <f t="shared" ref="F27:Q27" si="12">((F10/100)*$S$10)*$T$2</f>
        <v>3136.6320000000001</v>
      </c>
      <c r="G27" s="831">
        <f t="shared" si="12"/>
        <v>5227.72</v>
      </c>
      <c r="H27" s="831">
        <f t="shared" si="12"/>
        <v>6273.2640000000001</v>
      </c>
      <c r="I27" s="831">
        <f t="shared" si="12"/>
        <v>5227.72</v>
      </c>
      <c r="J27" s="831">
        <f t="shared" si="12"/>
        <v>1045.5440000000001</v>
      </c>
      <c r="K27" s="831">
        <f t="shared" si="12"/>
        <v>0</v>
      </c>
      <c r="L27" s="831">
        <f t="shared" si="12"/>
        <v>0</v>
      </c>
      <c r="M27" s="831">
        <f t="shared" si="12"/>
        <v>0</v>
      </c>
      <c r="N27" s="831">
        <f t="shared" si="12"/>
        <v>0</v>
      </c>
      <c r="O27" s="831">
        <f t="shared" si="12"/>
        <v>0</v>
      </c>
      <c r="P27" s="831">
        <f t="shared" si="12"/>
        <v>0</v>
      </c>
      <c r="Q27" s="832">
        <f t="shared" si="12"/>
        <v>0</v>
      </c>
      <c r="R27" s="837">
        <f t="shared" si="11"/>
        <v>5</v>
      </c>
      <c r="S27" s="834">
        <f t="shared" si="8"/>
        <v>20910.880000000005</v>
      </c>
      <c r="T27" s="835">
        <f t="shared" si="9"/>
        <v>1.1165620886438131E-2</v>
      </c>
    </row>
    <row r="28" spans="1:23" x14ac:dyDescent="0.2">
      <c r="A28" s="166"/>
      <c r="B28" s="827" t="s">
        <v>958</v>
      </c>
      <c r="C28" s="840"/>
      <c r="D28" s="830" t="s">
        <v>956</v>
      </c>
      <c r="E28" s="830" t="s">
        <v>954</v>
      </c>
      <c r="F28" s="831">
        <f t="shared" ref="F28:Q28" si="13">((F10/100)*$S$10)*$T$3</f>
        <v>0</v>
      </c>
      <c r="G28" s="831">
        <f t="shared" si="13"/>
        <v>0</v>
      </c>
      <c r="H28" s="831">
        <f t="shared" si="13"/>
        <v>0</v>
      </c>
      <c r="I28" s="831">
        <f t="shared" si="13"/>
        <v>0</v>
      </c>
      <c r="J28" s="831">
        <f t="shared" si="13"/>
        <v>0</v>
      </c>
      <c r="K28" s="831">
        <f t="shared" si="13"/>
        <v>0</v>
      </c>
      <c r="L28" s="831">
        <f t="shared" si="13"/>
        <v>0</v>
      </c>
      <c r="M28" s="831">
        <f t="shared" si="13"/>
        <v>0</v>
      </c>
      <c r="N28" s="831">
        <f t="shared" si="13"/>
        <v>0</v>
      </c>
      <c r="O28" s="831">
        <f t="shared" si="13"/>
        <v>0</v>
      </c>
      <c r="P28" s="831">
        <f t="shared" si="13"/>
        <v>0</v>
      </c>
      <c r="Q28" s="832">
        <f t="shared" si="13"/>
        <v>0</v>
      </c>
      <c r="R28" s="837">
        <f t="shared" si="11"/>
        <v>0</v>
      </c>
      <c r="S28" s="834">
        <f t="shared" si="8"/>
        <v>0</v>
      </c>
      <c r="T28" s="835">
        <f t="shared" si="9"/>
        <v>0</v>
      </c>
      <c r="U28" s="838"/>
    </row>
    <row r="29" spans="1:23" x14ac:dyDescent="0.2">
      <c r="A29" s="166"/>
      <c r="B29" s="827" t="s">
        <v>959</v>
      </c>
      <c r="C29" s="839" t="s">
        <v>501</v>
      </c>
      <c r="D29" s="830" t="s">
        <v>990</v>
      </c>
      <c r="E29" s="830" t="s">
        <v>954</v>
      </c>
      <c r="F29" s="831">
        <f t="shared" ref="F29:Q29" si="14">((F11/100)*$S$11)*$T$2</f>
        <v>25762.662</v>
      </c>
      <c r="G29" s="831">
        <f t="shared" si="14"/>
        <v>103050.648</v>
      </c>
      <c r="H29" s="831">
        <f t="shared" si="14"/>
        <v>154575.97199999998</v>
      </c>
      <c r="I29" s="831">
        <f t="shared" si="14"/>
        <v>128813.31</v>
      </c>
      <c r="J29" s="831">
        <f t="shared" si="14"/>
        <v>103050.648</v>
      </c>
      <c r="K29" s="831">
        <f t="shared" si="14"/>
        <v>0</v>
      </c>
      <c r="L29" s="831">
        <f t="shared" si="14"/>
        <v>0</v>
      </c>
      <c r="M29" s="831">
        <f t="shared" si="14"/>
        <v>0</v>
      </c>
      <c r="N29" s="831">
        <f t="shared" si="14"/>
        <v>0</v>
      </c>
      <c r="O29" s="831">
        <f t="shared" si="14"/>
        <v>0</v>
      </c>
      <c r="P29" s="831">
        <f t="shared" si="14"/>
        <v>0</v>
      </c>
      <c r="Q29" s="832">
        <f t="shared" si="14"/>
        <v>0</v>
      </c>
      <c r="R29" s="837">
        <f t="shared" si="11"/>
        <v>5</v>
      </c>
      <c r="S29" s="834">
        <f t="shared" si="8"/>
        <v>515253.24</v>
      </c>
      <c r="T29" s="835">
        <f t="shared" si="9"/>
        <v>0.27512578802752047</v>
      </c>
    </row>
    <row r="30" spans="1:23" x14ac:dyDescent="0.2">
      <c r="A30" s="166"/>
      <c r="B30" s="827" t="s">
        <v>960</v>
      </c>
      <c r="C30" s="840"/>
      <c r="D30" s="830" t="s">
        <v>956</v>
      </c>
      <c r="E30" s="830" t="s">
        <v>954</v>
      </c>
      <c r="F30" s="831">
        <f t="shared" ref="F30:Q30" si="15">((F11/100)*$S$11)*$T$3</f>
        <v>0</v>
      </c>
      <c r="G30" s="831">
        <f t="shared" si="15"/>
        <v>0</v>
      </c>
      <c r="H30" s="831">
        <f t="shared" si="15"/>
        <v>0</v>
      </c>
      <c r="I30" s="831">
        <f t="shared" si="15"/>
        <v>0</v>
      </c>
      <c r="J30" s="831">
        <f t="shared" si="15"/>
        <v>0</v>
      </c>
      <c r="K30" s="831">
        <f t="shared" si="15"/>
        <v>0</v>
      </c>
      <c r="L30" s="831">
        <f t="shared" si="15"/>
        <v>0</v>
      </c>
      <c r="M30" s="831">
        <f t="shared" si="15"/>
        <v>0</v>
      </c>
      <c r="N30" s="831">
        <f t="shared" si="15"/>
        <v>0</v>
      </c>
      <c r="O30" s="831">
        <f t="shared" si="15"/>
        <v>0</v>
      </c>
      <c r="P30" s="831">
        <f t="shared" si="15"/>
        <v>0</v>
      </c>
      <c r="Q30" s="832">
        <f t="shared" si="15"/>
        <v>0</v>
      </c>
      <c r="R30" s="837">
        <f t="shared" si="11"/>
        <v>0</v>
      </c>
      <c r="S30" s="834">
        <f t="shared" si="8"/>
        <v>0</v>
      </c>
      <c r="T30" s="835">
        <f t="shared" si="9"/>
        <v>0</v>
      </c>
      <c r="U30" s="838"/>
    </row>
    <row r="31" spans="1:23" x14ac:dyDescent="0.2">
      <c r="A31" s="166"/>
      <c r="B31" s="827" t="s">
        <v>961</v>
      </c>
      <c r="C31" s="839" t="s">
        <v>496</v>
      </c>
      <c r="D31" s="830" t="s">
        <v>990</v>
      </c>
      <c r="E31" s="830" t="s">
        <v>954</v>
      </c>
      <c r="F31" s="831">
        <f>((F12/100)*$S$12)*T2</f>
        <v>0</v>
      </c>
      <c r="G31" s="831">
        <f t="shared" ref="G31:Q31" si="16">((G12/100)*$S$12)*$T$2</f>
        <v>33944.603999999999</v>
      </c>
      <c r="H31" s="831">
        <f t="shared" si="16"/>
        <v>135778.416</v>
      </c>
      <c r="I31" s="831">
        <f t="shared" si="16"/>
        <v>203667.62399999998</v>
      </c>
      <c r="J31" s="831">
        <f t="shared" si="16"/>
        <v>169723.02</v>
      </c>
      <c r="K31" s="831">
        <f t="shared" si="16"/>
        <v>135778.416</v>
      </c>
      <c r="L31" s="831">
        <f t="shared" si="16"/>
        <v>0</v>
      </c>
      <c r="M31" s="831">
        <f t="shared" si="16"/>
        <v>0</v>
      </c>
      <c r="N31" s="831">
        <f t="shared" si="16"/>
        <v>0</v>
      </c>
      <c r="O31" s="831">
        <f t="shared" si="16"/>
        <v>0</v>
      </c>
      <c r="P31" s="831">
        <f t="shared" si="16"/>
        <v>0</v>
      </c>
      <c r="Q31" s="832">
        <f t="shared" si="16"/>
        <v>0</v>
      </c>
      <c r="R31" s="837">
        <f t="shared" si="11"/>
        <v>5</v>
      </c>
      <c r="S31" s="834">
        <f t="shared" si="8"/>
        <v>678892.08</v>
      </c>
      <c r="T31" s="835">
        <f t="shared" si="9"/>
        <v>0.36250275397713649</v>
      </c>
    </row>
    <row r="32" spans="1:23" x14ac:dyDescent="0.2">
      <c r="A32" s="166"/>
      <c r="B32" s="827" t="s">
        <v>962</v>
      </c>
      <c r="C32" s="840"/>
      <c r="D32" s="830" t="s">
        <v>956</v>
      </c>
      <c r="E32" s="830" t="s">
        <v>954</v>
      </c>
      <c r="F32" s="831">
        <f t="shared" ref="F32:Q32" si="17">((F12/100)*$S$12)*$T$3</f>
        <v>0</v>
      </c>
      <c r="G32" s="831">
        <f t="shared" si="17"/>
        <v>0</v>
      </c>
      <c r="H32" s="831">
        <f t="shared" si="17"/>
        <v>0</v>
      </c>
      <c r="I32" s="831">
        <f t="shared" si="17"/>
        <v>0</v>
      </c>
      <c r="J32" s="831">
        <f t="shared" si="17"/>
        <v>0</v>
      </c>
      <c r="K32" s="831">
        <f t="shared" si="17"/>
        <v>0</v>
      </c>
      <c r="L32" s="831">
        <f t="shared" si="17"/>
        <v>0</v>
      </c>
      <c r="M32" s="831">
        <f t="shared" si="17"/>
        <v>0</v>
      </c>
      <c r="N32" s="831">
        <f t="shared" si="17"/>
        <v>0</v>
      </c>
      <c r="O32" s="831">
        <f t="shared" si="17"/>
        <v>0</v>
      </c>
      <c r="P32" s="831">
        <f t="shared" si="17"/>
        <v>0</v>
      </c>
      <c r="Q32" s="832">
        <f t="shared" si="17"/>
        <v>0</v>
      </c>
      <c r="R32" s="837">
        <f t="shared" si="11"/>
        <v>0</v>
      </c>
      <c r="S32" s="834">
        <f t="shared" si="8"/>
        <v>0</v>
      </c>
      <c r="T32" s="835">
        <f t="shared" si="9"/>
        <v>0</v>
      </c>
      <c r="U32" s="838"/>
    </row>
    <row r="33" spans="1:21" x14ac:dyDescent="0.2">
      <c r="A33" s="166"/>
      <c r="B33" s="827" t="s">
        <v>963</v>
      </c>
      <c r="C33" s="839" t="s">
        <v>497</v>
      </c>
      <c r="D33" s="830" t="s">
        <v>990</v>
      </c>
      <c r="E33" s="830" t="s">
        <v>954</v>
      </c>
      <c r="F33" s="831">
        <f t="shared" ref="F33:Q33" si="18">((F13/100)*$S$13)*$T$2</f>
        <v>0</v>
      </c>
      <c r="G33" s="831">
        <f t="shared" si="18"/>
        <v>8104.3620000000001</v>
      </c>
      <c r="H33" s="831">
        <f t="shared" si="18"/>
        <v>16208.724</v>
      </c>
      <c r="I33" s="831">
        <f t="shared" si="18"/>
        <v>16208.724</v>
      </c>
      <c r="J33" s="831">
        <f t="shared" si="18"/>
        <v>13507.27</v>
      </c>
      <c r="K33" s="831">
        <f t="shared" si="18"/>
        <v>0</v>
      </c>
      <c r="L33" s="831">
        <f t="shared" si="18"/>
        <v>0</v>
      </c>
      <c r="M33" s="831">
        <f t="shared" si="18"/>
        <v>0</v>
      </c>
      <c r="N33" s="831">
        <f t="shared" si="18"/>
        <v>0</v>
      </c>
      <c r="O33" s="831">
        <f t="shared" si="18"/>
        <v>0</v>
      </c>
      <c r="P33" s="831">
        <f t="shared" si="18"/>
        <v>0</v>
      </c>
      <c r="Q33" s="832">
        <f t="shared" si="18"/>
        <v>0</v>
      </c>
      <c r="R33" s="837">
        <f t="shared" si="11"/>
        <v>4</v>
      </c>
      <c r="S33" s="834">
        <f t="shared" si="8"/>
        <v>54029.08</v>
      </c>
      <c r="T33" s="835">
        <f t="shared" si="9"/>
        <v>2.8849490032128562E-2</v>
      </c>
    </row>
    <row r="34" spans="1:21" x14ac:dyDescent="0.2">
      <c r="A34" s="166"/>
      <c r="B34" s="827" t="s">
        <v>964</v>
      </c>
      <c r="C34" s="840"/>
      <c r="D34" s="830" t="s">
        <v>956</v>
      </c>
      <c r="E34" s="830" t="s">
        <v>954</v>
      </c>
      <c r="F34" s="831">
        <f t="shared" ref="F34:Q34" si="19">((F13/100)*$S$13)*$T$3</f>
        <v>0</v>
      </c>
      <c r="G34" s="831">
        <f t="shared" si="19"/>
        <v>0</v>
      </c>
      <c r="H34" s="831">
        <f t="shared" si="19"/>
        <v>0</v>
      </c>
      <c r="I34" s="831">
        <f t="shared" si="19"/>
        <v>0</v>
      </c>
      <c r="J34" s="831">
        <f t="shared" si="19"/>
        <v>0</v>
      </c>
      <c r="K34" s="831">
        <f t="shared" si="19"/>
        <v>0</v>
      </c>
      <c r="L34" s="831">
        <f t="shared" si="19"/>
        <v>0</v>
      </c>
      <c r="M34" s="831">
        <f t="shared" si="19"/>
        <v>0</v>
      </c>
      <c r="N34" s="831">
        <f t="shared" si="19"/>
        <v>0</v>
      </c>
      <c r="O34" s="831">
        <f t="shared" si="19"/>
        <v>0</v>
      </c>
      <c r="P34" s="831">
        <f t="shared" si="19"/>
        <v>0</v>
      </c>
      <c r="Q34" s="832">
        <f t="shared" si="19"/>
        <v>0</v>
      </c>
      <c r="R34" s="837">
        <f t="shared" si="11"/>
        <v>0</v>
      </c>
      <c r="S34" s="834">
        <f t="shared" si="8"/>
        <v>0</v>
      </c>
      <c r="T34" s="835">
        <f t="shared" si="9"/>
        <v>0</v>
      </c>
      <c r="U34" s="838"/>
    </row>
    <row r="35" spans="1:21" x14ac:dyDescent="0.2">
      <c r="A35" s="166"/>
      <c r="B35" s="827" t="s">
        <v>965</v>
      </c>
      <c r="C35" s="839" t="s">
        <v>503</v>
      </c>
      <c r="D35" s="830" t="s">
        <v>990</v>
      </c>
      <c r="E35" s="830" t="s">
        <v>954</v>
      </c>
      <c r="F35" s="831">
        <f t="shared" ref="F35:Q35" si="20">((F14/100)*$S$14)*$T$2</f>
        <v>0</v>
      </c>
      <c r="G35" s="831">
        <f t="shared" si="20"/>
        <v>9106.7475000000013</v>
      </c>
      <c r="H35" s="831">
        <f t="shared" si="20"/>
        <v>18213.495000000003</v>
      </c>
      <c r="I35" s="831">
        <f t="shared" si="20"/>
        <v>54640.485000000001</v>
      </c>
      <c r="J35" s="831">
        <f t="shared" si="20"/>
        <v>54640.485000000001</v>
      </c>
      <c r="K35" s="831">
        <f t="shared" si="20"/>
        <v>45533.737500000003</v>
      </c>
      <c r="L35" s="831">
        <f t="shared" si="20"/>
        <v>0</v>
      </c>
      <c r="M35" s="831">
        <f t="shared" si="20"/>
        <v>0</v>
      </c>
      <c r="N35" s="831">
        <f t="shared" si="20"/>
        <v>0</v>
      </c>
      <c r="O35" s="831">
        <f t="shared" si="20"/>
        <v>0</v>
      </c>
      <c r="P35" s="831">
        <f t="shared" si="20"/>
        <v>0</v>
      </c>
      <c r="Q35" s="832">
        <f t="shared" si="20"/>
        <v>0</v>
      </c>
      <c r="R35" s="837">
        <f t="shared" si="11"/>
        <v>5</v>
      </c>
      <c r="S35" s="834">
        <f t="shared" si="8"/>
        <v>182134.95</v>
      </c>
      <c r="T35" s="835">
        <f t="shared" si="9"/>
        <v>9.7253190772954759E-2</v>
      </c>
    </row>
    <row r="36" spans="1:21" x14ac:dyDescent="0.2">
      <c r="A36" s="166"/>
      <c r="B36" s="827" t="s">
        <v>966</v>
      </c>
      <c r="C36" s="840"/>
      <c r="D36" s="830" t="s">
        <v>956</v>
      </c>
      <c r="E36" s="830" t="s">
        <v>954</v>
      </c>
      <c r="F36" s="831">
        <f t="shared" ref="F36:Q36" si="21">((F14/100)*$S$14)*$T$3</f>
        <v>0</v>
      </c>
      <c r="G36" s="831">
        <f t="shared" si="21"/>
        <v>0</v>
      </c>
      <c r="H36" s="831">
        <f t="shared" si="21"/>
        <v>0</v>
      </c>
      <c r="I36" s="831">
        <f t="shared" si="21"/>
        <v>0</v>
      </c>
      <c r="J36" s="831">
        <f t="shared" si="21"/>
        <v>0</v>
      </c>
      <c r="K36" s="831">
        <f t="shared" si="21"/>
        <v>0</v>
      </c>
      <c r="L36" s="831">
        <f t="shared" si="21"/>
        <v>0</v>
      </c>
      <c r="M36" s="831">
        <f t="shared" si="21"/>
        <v>0</v>
      </c>
      <c r="N36" s="831">
        <f t="shared" si="21"/>
        <v>0</v>
      </c>
      <c r="O36" s="831">
        <f t="shared" si="21"/>
        <v>0</v>
      </c>
      <c r="P36" s="831">
        <f t="shared" si="21"/>
        <v>0</v>
      </c>
      <c r="Q36" s="832">
        <f t="shared" si="21"/>
        <v>0</v>
      </c>
      <c r="R36" s="837">
        <f t="shared" si="11"/>
        <v>0</v>
      </c>
      <c r="S36" s="834">
        <f t="shared" si="8"/>
        <v>0</v>
      </c>
      <c r="T36" s="835">
        <f t="shared" si="9"/>
        <v>0</v>
      </c>
      <c r="U36" s="838"/>
    </row>
    <row r="37" spans="1:21" x14ac:dyDescent="0.2">
      <c r="A37" s="166"/>
      <c r="B37" s="827" t="s">
        <v>967</v>
      </c>
      <c r="C37" s="839" t="s">
        <v>504</v>
      </c>
      <c r="D37" s="830" t="s">
        <v>990</v>
      </c>
      <c r="E37" s="830" t="s">
        <v>954</v>
      </c>
      <c r="F37" s="831">
        <f t="shared" ref="F37:Q37" si="22">((F15/100)*$S$15)*$T$2</f>
        <v>0</v>
      </c>
      <c r="G37" s="831">
        <f t="shared" si="22"/>
        <v>0</v>
      </c>
      <c r="H37" s="831">
        <f t="shared" si="22"/>
        <v>11119.372000000001</v>
      </c>
      <c r="I37" s="831">
        <f t="shared" si="22"/>
        <v>11119.372000000001</v>
      </c>
      <c r="J37" s="831">
        <f t="shared" si="22"/>
        <v>16679.058000000001</v>
      </c>
      <c r="K37" s="831">
        <f t="shared" si="22"/>
        <v>16679.058000000001</v>
      </c>
      <c r="L37" s="831">
        <f t="shared" si="22"/>
        <v>0</v>
      </c>
      <c r="M37" s="831">
        <f t="shared" si="22"/>
        <v>0</v>
      </c>
      <c r="N37" s="831">
        <f t="shared" si="22"/>
        <v>0</v>
      </c>
      <c r="O37" s="831">
        <f t="shared" si="22"/>
        <v>0</v>
      </c>
      <c r="P37" s="831">
        <f t="shared" si="22"/>
        <v>0</v>
      </c>
      <c r="Q37" s="832">
        <f t="shared" si="22"/>
        <v>0</v>
      </c>
      <c r="R37" s="837">
        <f t="shared" si="11"/>
        <v>4</v>
      </c>
      <c r="S37" s="834">
        <f t="shared" si="8"/>
        <v>55596.86</v>
      </c>
      <c r="T37" s="835">
        <f t="shared" si="9"/>
        <v>2.9686625394836397E-2</v>
      </c>
    </row>
    <row r="38" spans="1:21" x14ac:dyDescent="0.2">
      <c r="A38" s="166"/>
      <c r="B38" s="827" t="s">
        <v>968</v>
      </c>
      <c r="C38" s="840"/>
      <c r="D38" s="830" t="s">
        <v>956</v>
      </c>
      <c r="E38" s="830" t="s">
        <v>954</v>
      </c>
      <c r="F38" s="831">
        <f t="shared" ref="F38:Q38" si="23">((F15/100)*$S$15)*$T$3</f>
        <v>0</v>
      </c>
      <c r="G38" s="831">
        <f t="shared" si="23"/>
        <v>0</v>
      </c>
      <c r="H38" s="831">
        <f t="shared" si="23"/>
        <v>0</v>
      </c>
      <c r="I38" s="831">
        <f t="shared" si="23"/>
        <v>0</v>
      </c>
      <c r="J38" s="831">
        <f t="shared" si="23"/>
        <v>0</v>
      </c>
      <c r="K38" s="831">
        <f t="shared" si="23"/>
        <v>0</v>
      </c>
      <c r="L38" s="831">
        <f t="shared" si="23"/>
        <v>0</v>
      </c>
      <c r="M38" s="831">
        <f t="shared" si="23"/>
        <v>0</v>
      </c>
      <c r="N38" s="831">
        <f t="shared" si="23"/>
        <v>0</v>
      </c>
      <c r="O38" s="831">
        <f t="shared" si="23"/>
        <v>0</v>
      </c>
      <c r="P38" s="831">
        <f t="shared" si="23"/>
        <v>0</v>
      </c>
      <c r="Q38" s="832">
        <f t="shared" si="23"/>
        <v>0</v>
      </c>
      <c r="R38" s="837">
        <f t="shared" si="11"/>
        <v>0</v>
      </c>
      <c r="S38" s="834">
        <f t="shared" si="8"/>
        <v>0</v>
      </c>
      <c r="T38" s="835">
        <f t="shared" si="9"/>
        <v>0</v>
      </c>
      <c r="U38" s="838"/>
    </row>
    <row r="39" spans="1:21" x14ac:dyDescent="0.2">
      <c r="A39" s="166"/>
      <c r="B39" s="827" t="s">
        <v>969</v>
      </c>
      <c r="C39" s="839" t="s">
        <v>506</v>
      </c>
      <c r="D39" s="830" t="s">
        <v>990</v>
      </c>
      <c r="E39" s="830" t="s">
        <v>954</v>
      </c>
      <c r="F39" s="831">
        <f t="shared" ref="F39:Q39" si="24">((F16/100)*$S$16)*$T$2</f>
        <v>0</v>
      </c>
      <c r="G39" s="831">
        <f t="shared" si="24"/>
        <v>0</v>
      </c>
      <c r="H39" s="831">
        <f t="shared" si="24"/>
        <v>10587.103999999999</v>
      </c>
      <c r="I39" s="831">
        <f t="shared" si="24"/>
        <v>15880.655999999999</v>
      </c>
      <c r="J39" s="831">
        <f t="shared" si="24"/>
        <v>15880.655999999999</v>
      </c>
      <c r="K39" s="831">
        <f t="shared" si="24"/>
        <v>10587.103999999999</v>
      </c>
      <c r="L39" s="831">
        <f t="shared" si="24"/>
        <v>0</v>
      </c>
      <c r="M39" s="831">
        <f t="shared" si="24"/>
        <v>0</v>
      </c>
      <c r="N39" s="831">
        <f t="shared" si="24"/>
        <v>0</v>
      </c>
      <c r="O39" s="831">
        <f t="shared" si="24"/>
        <v>0</v>
      </c>
      <c r="P39" s="831">
        <f t="shared" si="24"/>
        <v>0</v>
      </c>
      <c r="Q39" s="832">
        <f t="shared" si="24"/>
        <v>0</v>
      </c>
      <c r="R39" s="837">
        <f t="shared" si="11"/>
        <v>4</v>
      </c>
      <c r="S39" s="834">
        <f t="shared" si="8"/>
        <v>52935.519999999997</v>
      </c>
      <c r="T39" s="835">
        <f t="shared" si="9"/>
        <v>2.8265570255602022E-2</v>
      </c>
    </row>
    <row r="40" spans="1:21" x14ac:dyDescent="0.2">
      <c r="A40" s="166"/>
      <c r="B40" s="827" t="s">
        <v>970</v>
      </c>
      <c r="C40" s="840"/>
      <c r="D40" s="830" t="s">
        <v>956</v>
      </c>
      <c r="E40" s="830" t="s">
        <v>954</v>
      </c>
      <c r="F40" s="831">
        <f t="shared" ref="F40:Q40" si="25">((F16/100)*$S$16)*$T$3</f>
        <v>0</v>
      </c>
      <c r="G40" s="831">
        <f t="shared" si="25"/>
        <v>0</v>
      </c>
      <c r="H40" s="831">
        <f t="shared" si="25"/>
        <v>0</v>
      </c>
      <c r="I40" s="831">
        <f t="shared" si="25"/>
        <v>0</v>
      </c>
      <c r="J40" s="831">
        <f t="shared" si="25"/>
        <v>0</v>
      </c>
      <c r="K40" s="831">
        <f t="shared" si="25"/>
        <v>0</v>
      </c>
      <c r="L40" s="831">
        <f t="shared" si="25"/>
        <v>0</v>
      </c>
      <c r="M40" s="831">
        <f t="shared" si="25"/>
        <v>0</v>
      </c>
      <c r="N40" s="831">
        <f t="shared" si="25"/>
        <v>0</v>
      </c>
      <c r="O40" s="831">
        <f t="shared" si="25"/>
        <v>0</v>
      </c>
      <c r="P40" s="831">
        <f t="shared" si="25"/>
        <v>0</v>
      </c>
      <c r="Q40" s="832">
        <f t="shared" si="25"/>
        <v>0</v>
      </c>
      <c r="R40" s="837">
        <f t="shared" si="11"/>
        <v>0</v>
      </c>
      <c r="S40" s="834">
        <f t="shared" si="8"/>
        <v>0</v>
      </c>
      <c r="T40" s="835">
        <f t="shared" si="9"/>
        <v>0</v>
      </c>
      <c r="U40" s="838"/>
    </row>
    <row r="41" spans="1:21" x14ac:dyDescent="0.2">
      <c r="A41" s="166"/>
      <c r="B41" s="827" t="s">
        <v>971</v>
      </c>
      <c r="C41" s="839" t="s">
        <v>508</v>
      </c>
      <c r="D41" s="830" t="s">
        <v>990</v>
      </c>
      <c r="E41" s="830" t="s">
        <v>954</v>
      </c>
      <c r="F41" s="831">
        <f t="shared" ref="F41:Q41" si="26">((F17/100)*$S$17)*$T$2</f>
        <v>0</v>
      </c>
      <c r="G41" s="831">
        <f t="shared" si="26"/>
        <v>0</v>
      </c>
      <c r="H41" s="831">
        <f t="shared" si="26"/>
        <v>0</v>
      </c>
      <c r="I41" s="831">
        <f t="shared" si="26"/>
        <v>0</v>
      </c>
      <c r="J41" s="831">
        <f t="shared" si="26"/>
        <v>0</v>
      </c>
      <c r="K41" s="831">
        <f t="shared" si="26"/>
        <v>0</v>
      </c>
      <c r="L41" s="831">
        <f t="shared" si="26"/>
        <v>0</v>
      </c>
      <c r="M41" s="831">
        <f t="shared" si="26"/>
        <v>0</v>
      </c>
      <c r="N41" s="831">
        <f t="shared" si="26"/>
        <v>0</v>
      </c>
      <c r="O41" s="831">
        <f t="shared" si="26"/>
        <v>0</v>
      </c>
      <c r="P41" s="831">
        <f t="shared" si="26"/>
        <v>0</v>
      </c>
      <c r="Q41" s="832">
        <f t="shared" si="26"/>
        <v>0</v>
      </c>
      <c r="R41" s="837">
        <f t="shared" si="11"/>
        <v>0</v>
      </c>
      <c r="S41" s="834">
        <f t="shared" si="8"/>
        <v>0</v>
      </c>
      <c r="T41" s="835">
        <f t="shared" si="9"/>
        <v>0</v>
      </c>
    </row>
    <row r="42" spans="1:21" x14ac:dyDescent="0.2">
      <c r="A42" s="166"/>
      <c r="B42" s="827" t="s">
        <v>972</v>
      </c>
      <c r="C42" s="840"/>
      <c r="D42" s="830" t="s">
        <v>956</v>
      </c>
      <c r="E42" s="830" t="s">
        <v>954</v>
      </c>
      <c r="F42" s="831">
        <f t="shared" ref="F42:Q42" si="27">((F17/100)*$S$17)*$T$3</f>
        <v>0</v>
      </c>
      <c r="G42" s="831">
        <f t="shared" si="27"/>
        <v>0</v>
      </c>
      <c r="H42" s="831">
        <f t="shared" si="27"/>
        <v>0</v>
      </c>
      <c r="I42" s="831">
        <f t="shared" si="27"/>
        <v>0</v>
      </c>
      <c r="J42" s="831">
        <f t="shared" si="27"/>
        <v>0</v>
      </c>
      <c r="K42" s="831">
        <f t="shared" si="27"/>
        <v>0</v>
      </c>
      <c r="L42" s="831">
        <f t="shared" si="27"/>
        <v>0</v>
      </c>
      <c r="M42" s="831">
        <f t="shared" si="27"/>
        <v>0</v>
      </c>
      <c r="N42" s="831">
        <f t="shared" si="27"/>
        <v>0</v>
      </c>
      <c r="O42" s="831">
        <f t="shared" si="27"/>
        <v>0</v>
      </c>
      <c r="P42" s="831">
        <f t="shared" si="27"/>
        <v>0</v>
      </c>
      <c r="Q42" s="832">
        <f t="shared" si="27"/>
        <v>0</v>
      </c>
      <c r="R42" s="837">
        <f t="shared" si="11"/>
        <v>0</v>
      </c>
      <c r="S42" s="834">
        <f t="shared" si="8"/>
        <v>0</v>
      </c>
      <c r="T42" s="835">
        <f t="shared" si="9"/>
        <v>0</v>
      </c>
      <c r="U42" s="838"/>
    </row>
    <row r="43" spans="1:21" x14ac:dyDescent="0.2">
      <c r="A43" s="166"/>
      <c r="B43" s="827" t="s">
        <v>973</v>
      </c>
      <c r="C43" s="839" t="s">
        <v>498</v>
      </c>
      <c r="D43" s="830" t="s">
        <v>990</v>
      </c>
      <c r="E43" s="830" t="s">
        <v>954</v>
      </c>
      <c r="F43" s="831">
        <f t="shared" ref="F43:Q43" si="28">((F18/100)*$S$18)*$T$2</f>
        <v>55633.778000000006</v>
      </c>
      <c r="G43" s="831">
        <f t="shared" si="28"/>
        <v>83450.667000000001</v>
      </c>
      <c r="H43" s="831">
        <f t="shared" si="28"/>
        <v>83450.667000000001</v>
      </c>
      <c r="I43" s="831">
        <f t="shared" si="28"/>
        <v>41725.333500000001</v>
      </c>
      <c r="J43" s="831">
        <f t="shared" si="28"/>
        <v>13908.444500000001</v>
      </c>
      <c r="K43" s="831">
        <f t="shared" si="28"/>
        <v>0</v>
      </c>
      <c r="L43" s="831">
        <f t="shared" si="28"/>
        <v>0</v>
      </c>
      <c r="M43" s="831">
        <f t="shared" si="28"/>
        <v>0</v>
      </c>
      <c r="N43" s="831">
        <f t="shared" si="28"/>
        <v>0</v>
      </c>
      <c r="O43" s="831">
        <f t="shared" si="28"/>
        <v>0</v>
      </c>
      <c r="P43" s="831">
        <f t="shared" si="28"/>
        <v>0</v>
      </c>
      <c r="Q43" s="832">
        <f t="shared" si="28"/>
        <v>0</v>
      </c>
      <c r="R43" s="837">
        <f t="shared" si="11"/>
        <v>5</v>
      </c>
      <c r="S43" s="834">
        <f t="shared" si="8"/>
        <v>278168.89</v>
      </c>
      <c r="T43" s="835">
        <f t="shared" si="9"/>
        <v>0.14853169106901815</v>
      </c>
    </row>
    <row r="44" spans="1:21" x14ac:dyDescent="0.2">
      <c r="A44" s="166"/>
      <c r="B44" s="827" t="s">
        <v>974</v>
      </c>
      <c r="C44" s="840"/>
      <c r="D44" s="830" t="s">
        <v>956</v>
      </c>
      <c r="E44" s="830" t="s">
        <v>954</v>
      </c>
      <c r="F44" s="831">
        <f t="shared" ref="F44:Q44" si="29">((F18/100)*$S$18)*$T$3</f>
        <v>0</v>
      </c>
      <c r="G44" s="831">
        <f t="shared" si="29"/>
        <v>0</v>
      </c>
      <c r="H44" s="831">
        <f t="shared" si="29"/>
        <v>0</v>
      </c>
      <c r="I44" s="831">
        <f t="shared" si="29"/>
        <v>0</v>
      </c>
      <c r="J44" s="831">
        <f t="shared" si="29"/>
        <v>0</v>
      </c>
      <c r="K44" s="831">
        <f t="shared" si="29"/>
        <v>0</v>
      </c>
      <c r="L44" s="831">
        <f t="shared" si="29"/>
        <v>0</v>
      </c>
      <c r="M44" s="831">
        <f t="shared" si="29"/>
        <v>0</v>
      </c>
      <c r="N44" s="831">
        <f t="shared" si="29"/>
        <v>0</v>
      </c>
      <c r="O44" s="831">
        <f t="shared" si="29"/>
        <v>0</v>
      </c>
      <c r="P44" s="831">
        <f t="shared" si="29"/>
        <v>0</v>
      </c>
      <c r="Q44" s="832">
        <f t="shared" si="29"/>
        <v>0</v>
      </c>
      <c r="R44" s="837">
        <f t="shared" si="11"/>
        <v>0</v>
      </c>
      <c r="S44" s="834">
        <f t="shared" si="8"/>
        <v>0</v>
      </c>
      <c r="T44" s="835">
        <f t="shared" si="9"/>
        <v>0</v>
      </c>
      <c r="U44" s="838"/>
    </row>
    <row r="45" spans="1:21" x14ac:dyDescent="0.2">
      <c r="A45" s="166"/>
      <c r="B45" s="827" t="s">
        <v>975</v>
      </c>
      <c r="C45" s="839" t="s">
        <v>803</v>
      </c>
      <c r="D45" s="830" t="s">
        <v>990</v>
      </c>
      <c r="E45" s="830" t="s">
        <v>954</v>
      </c>
      <c r="F45" s="831">
        <f t="shared" ref="F45:Q45" si="30">((F19/100)*$S$19)*$T$2</f>
        <v>863.17860000000007</v>
      </c>
      <c r="G45" s="831">
        <f t="shared" si="30"/>
        <v>3452.7144000000003</v>
      </c>
      <c r="H45" s="831">
        <f t="shared" si="30"/>
        <v>7193.1550000000007</v>
      </c>
      <c r="I45" s="831">
        <f t="shared" si="30"/>
        <v>8056.3336000000018</v>
      </c>
      <c r="J45" s="831">
        <f t="shared" si="30"/>
        <v>6042.2502000000004</v>
      </c>
      <c r="K45" s="831">
        <f t="shared" si="30"/>
        <v>3164.9882000000002</v>
      </c>
      <c r="L45" s="831">
        <f t="shared" si="30"/>
        <v>0</v>
      </c>
      <c r="M45" s="831">
        <f t="shared" si="30"/>
        <v>0</v>
      </c>
      <c r="N45" s="831">
        <f t="shared" si="30"/>
        <v>0</v>
      </c>
      <c r="O45" s="831">
        <f t="shared" si="30"/>
        <v>0</v>
      </c>
      <c r="P45" s="831">
        <f t="shared" si="30"/>
        <v>0</v>
      </c>
      <c r="Q45" s="832">
        <f t="shared" si="30"/>
        <v>0</v>
      </c>
      <c r="R45" s="837">
        <f t="shared" si="11"/>
        <v>6</v>
      </c>
      <c r="S45" s="834">
        <f t="shared" si="8"/>
        <v>28772.620000000003</v>
      </c>
      <c r="T45" s="835">
        <f t="shared" si="9"/>
        <v>1.5363493398151939E-2</v>
      </c>
    </row>
    <row r="46" spans="1:21" x14ac:dyDescent="0.2">
      <c r="A46" s="166"/>
      <c r="B46" s="827" t="s">
        <v>976</v>
      </c>
      <c r="C46" s="840"/>
      <c r="D46" s="830" t="s">
        <v>956</v>
      </c>
      <c r="E46" s="830" t="s">
        <v>954</v>
      </c>
      <c r="F46" s="831">
        <f t="shared" ref="F46:Q46" si="31">((F19/100)*$S$19)*$T$3</f>
        <v>0</v>
      </c>
      <c r="G46" s="831">
        <f t="shared" si="31"/>
        <v>0</v>
      </c>
      <c r="H46" s="831">
        <f t="shared" si="31"/>
        <v>0</v>
      </c>
      <c r="I46" s="831">
        <f t="shared" si="31"/>
        <v>0</v>
      </c>
      <c r="J46" s="831">
        <f t="shared" si="31"/>
        <v>0</v>
      </c>
      <c r="K46" s="831">
        <f t="shared" si="31"/>
        <v>0</v>
      </c>
      <c r="L46" s="831">
        <f t="shared" si="31"/>
        <v>0</v>
      </c>
      <c r="M46" s="831">
        <f t="shared" si="31"/>
        <v>0</v>
      </c>
      <c r="N46" s="831">
        <f t="shared" si="31"/>
        <v>0</v>
      </c>
      <c r="O46" s="831">
        <f t="shared" si="31"/>
        <v>0</v>
      </c>
      <c r="P46" s="831">
        <f t="shared" si="31"/>
        <v>0</v>
      </c>
      <c r="Q46" s="832">
        <f t="shared" si="31"/>
        <v>0</v>
      </c>
      <c r="R46" s="837">
        <f t="shared" si="11"/>
        <v>0</v>
      </c>
      <c r="S46" s="834">
        <f t="shared" si="8"/>
        <v>0</v>
      </c>
      <c r="T46" s="835">
        <f t="shared" si="9"/>
        <v>0</v>
      </c>
      <c r="U46" s="838"/>
    </row>
    <row r="47" spans="1:21" x14ac:dyDescent="0.2">
      <c r="A47" s="166"/>
      <c r="B47" s="841"/>
      <c r="C47" s="842"/>
      <c r="D47" s="842"/>
      <c r="E47" s="842"/>
      <c r="F47" s="843"/>
      <c r="G47" s="843"/>
      <c r="H47" s="843"/>
      <c r="I47" s="843"/>
      <c r="J47" s="843"/>
      <c r="K47" s="843"/>
      <c r="L47" s="843"/>
      <c r="M47" s="843"/>
      <c r="N47" s="843"/>
      <c r="O47" s="843"/>
      <c r="P47" s="843"/>
      <c r="Q47" s="844"/>
      <c r="R47" s="843"/>
      <c r="S47" s="843"/>
      <c r="T47" s="845"/>
    </row>
    <row r="48" spans="1:21" x14ac:dyDescent="0.2">
      <c r="A48" s="166"/>
      <c r="B48" s="827" t="s">
        <v>977</v>
      </c>
      <c r="C48" s="839" t="s">
        <v>947</v>
      </c>
      <c r="D48" s="836" t="s">
        <v>990</v>
      </c>
      <c r="E48" s="836" t="s">
        <v>954</v>
      </c>
      <c r="F48" s="846">
        <f t="shared" ref="F48:Q48" si="32">SUMIF($D$25:$D$46,"FINANCIAMENTO",F$25:F$46)</f>
        <v>86615.728600000002</v>
      </c>
      <c r="G48" s="846">
        <f t="shared" si="32"/>
        <v>248166.67989999999</v>
      </c>
      <c r="H48" s="846">
        <f t="shared" si="32"/>
        <v>445229.38599999994</v>
      </c>
      <c r="I48" s="846">
        <f t="shared" si="32"/>
        <v>486559.03609999997</v>
      </c>
      <c r="J48" s="846">
        <f t="shared" si="32"/>
        <v>394477.37570000003</v>
      </c>
      <c r="K48" s="846">
        <f t="shared" si="32"/>
        <v>211743.30369999999</v>
      </c>
      <c r="L48" s="846">
        <f t="shared" si="32"/>
        <v>0</v>
      </c>
      <c r="M48" s="846">
        <f t="shared" si="32"/>
        <v>0</v>
      </c>
      <c r="N48" s="846">
        <f t="shared" si="32"/>
        <v>0</v>
      </c>
      <c r="O48" s="846">
        <f t="shared" si="32"/>
        <v>0</v>
      </c>
      <c r="P48" s="846">
        <f t="shared" si="32"/>
        <v>0</v>
      </c>
      <c r="Q48" s="847">
        <f t="shared" si="32"/>
        <v>0</v>
      </c>
      <c r="R48" s="848"/>
      <c r="S48" s="849">
        <f>SUMIF($D$25:$D$46,"FINANCIAMENTO",S$25:S$46)</f>
        <v>1872791.5100000002</v>
      </c>
      <c r="T48" s="850">
        <f>SUMIF($D$25:$D$46,"FINANCIAMENTO",T$25:T$46)</f>
        <v>1</v>
      </c>
    </row>
    <row r="49" spans="1:20" x14ac:dyDescent="0.2">
      <c r="A49" s="166"/>
      <c r="B49" s="827" t="s">
        <v>978</v>
      </c>
      <c r="C49" s="840"/>
      <c r="D49" s="851" t="s">
        <v>956</v>
      </c>
      <c r="E49" s="851" t="s">
        <v>954</v>
      </c>
      <c r="F49" s="846">
        <f t="shared" ref="F49:T49" si="33">SUMIF($D$25:$D$46,"CONTRAPARTIDA",F$25:F$46)</f>
        <v>0</v>
      </c>
      <c r="G49" s="846">
        <f t="shared" si="33"/>
        <v>0</v>
      </c>
      <c r="H49" s="846">
        <f t="shared" si="33"/>
        <v>0</v>
      </c>
      <c r="I49" s="846">
        <f t="shared" si="33"/>
        <v>0</v>
      </c>
      <c r="J49" s="846">
        <f t="shared" si="33"/>
        <v>0</v>
      </c>
      <c r="K49" s="846">
        <f t="shared" si="33"/>
        <v>0</v>
      </c>
      <c r="L49" s="846">
        <f t="shared" si="33"/>
        <v>0</v>
      </c>
      <c r="M49" s="846">
        <f t="shared" si="33"/>
        <v>0</v>
      </c>
      <c r="N49" s="846">
        <f t="shared" si="33"/>
        <v>0</v>
      </c>
      <c r="O49" s="846">
        <f t="shared" si="33"/>
        <v>0</v>
      </c>
      <c r="P49" s="846">
        <f t="shared" si="33"/>
        <v>0</v>
      </c>
      <c r="Q49" s="847">
        <f t="shared" si="33"/>
        <v>0</v>
      </c>
      <c r="R49" s="852"/>
      <c r="S49" s="849">
        <f t="shared" si="33"/>
        <v>0</v>
      </c>
      <c r="T49" s="850">
        <f t="shared" si="33"/>
        <v>0</v>
      </c>
    </row>
    <row r="50" spans="1:20" x14ac:dyDescent="0.2">
      <c r="A50" s="166"/>
      <c r="B50" s="853"/>
      <c r="C50" s="842"/>
      <c r="D50" s="842"/>
      <c r="E50" s="842"/>
      <c r="F50" s="843"/>
      <c r="G50" s="843"/>
      <c r="H50" s="843"/>
      <c r="I50" s="843"/>
      <c r="J50" s="843"/>
      <c r="K50" s="843"/>
      <c r="L50" s="843"/>
      <c r="M50" s="843"/>
      <c r="N50" s="843"/>
      <c r="O50" s="843"/>
      <c r="P50" s="843"/>
      <c r="Q50" s="844"/>
      <c r="R50" s="843"/>
      <c r="S50" s="854"/>
      <c r="T50" s="855"/>
    </row>
    <row r="51" spans="1:20" ht="15" customHeight="1" thickBot="1" x14ac:dyDescent="0.25">
      <c r="A51" s="166"/>
      <c r="B51" s="856" t="s">
        <v>979</v>
      </c>
      <c r="C51" s="857"/>
      <c r="D51" s="857"/>
      <c r="E51" s="858" t="s">
        <v>954</v>
      </c>
      <c r="F51" s="859">
        <f t="shared" ref="F51:Q51" si="34">SUM(F48:F49)</f>
        <v>86615.728600000002</v>
      </c>
      <c r="G51" s="859">
        <f t="shared" si="34"/>
        <v>248166.67989999999</v>
      </c>
      <c r="H51" s="859">
        <f t="shared" si="34"/>
        <v>445229.38599999994</v>
      </c>
      <c r="I51" s="859">
        <f t="shared" si="34"/>
        <v>486559.03609999997</v>
      </c>
      <c r="J51" s="859">
        <f t="shared" si="34"/>
        <v>394477.37570000003</v>
      </c>
      <c r="K51" s="859">
        <f t="shared" si="34"/>
        <v>211743.30369999999</v>
      </c>
      <c r="L51" s="860">
        <f t="shared" si="34"/>
        <v>0</v>
      </c>
      <c r="M51" s="860">
        <f t="shared" si="34"/>
        <v>0</v>
      </c>
      <c r="N51" s="860">
        <f t="shared" si="34"/>
        <v>0</v>
      </c>
      <c r="O51" s="860">
        <f t="shared" si="34"/>
        <v>0</v>
      </c>
      <c r="P51" s="860">
        <f t="shared" si="34"/>
        <v>0</v>
      </c>
      <c r="Q51" s="861">
        <f t="shared" si="34"/>
        <v>0</v>
      </c>
      <c r="R51" s="862"/>
      <c r="S51" s="863">
        <f>SUM(F51:Q51)</f>
        <v>1872791.51</v>
      </c>
      <c r="T51" s="864">
        <f>SUM(T48:T49)</f>
        <v>1</v>
      </c>
    </row>
    <row r="52" spans="1:20" ht="15" customHeight="1" thickTop="1" thickBot="1" x14ac:dyDescent="0.25">
      <c r="A52" s="166"/>
      <c r="B52" s="865" t="s">
        <v>980</v>
      </c>
      <c r="C52" s="866"/>
      <c r="D52" s="866"/>
      <c r="E52" s="867" t="s">
        <v>954</v>
      </c>
      <c r="F52" s="868">
        <f t="shared" ref="F52:Q52" si="35">IF($S$51=0,0,F51/$S$51)</f>
        <v>4.6249530787332543E-2</v>
      </c>
      <c r="G52" s="868">
        <f t="shared" si="35"/>
        <v>0.13251164295378506</v>
      </c>
      <c r="H52" s="868">
        <f t="shared" si="35"/>
        <v>0.23773569221274393</v>
      </c>
      <c r="I52" s="868">
        <f t="shared" si="35"/>
        <v>0.25980416586788135</v>
      </c>
      <c r="J52" s="868">
        <f t="shared" si="35"/>
        <v>0.21063603374622306</v>
      </c>
      <c r="K52" s="868">
        <f t="shared" si="35"/>
        <v>0.11306293443203402</v>
      </c>
      <c r="L52" s="868">
        <f t="shared" si="35"/>
        <v>0</v>
      </c>
      <c r="M52" s="868">
        <f t="shared" si="35"/>
        <v>0</v>
      </c>
      <c r="N52" s="868">
        <f t="shared" si="35"/>
        <v>0</v>
      </c>
      <c r="O52" s="868">
        <f t="shared" si="35"/>
        <v>0</v>
      </c>
      <c r="P52" s="868">
        <f t="shared" si="35"/>
        <v>0</v>
      </c>
      <c r="Q52" s="869">
        <f t="shared" si="35"/>
        <v>0</v>
      </c>
      <c r="R52" s="870"/>
      <c r="S52" s="863">
        <f>S48+S49</f>
        <v>1872791.5100000002</v>
      </c>
      <c r="T52" s="871">
        <f>SUM(F52:Q52)</f>
        <v>1</v>
      </c>
    </row>
    <row r="53" spans="1:20" ht="15" customHeight="1" thickTop="1" thickBot="1" x14ac:dyDescent="0.25">
      <c r="A53" s="166"/>
      <c r="B53" s="872" t="s">
        <v>981</v>
      </c>
      <c r="C53" s="873"/>
      <c r="D53" s="873"/>
      <c r="E53" s="874" t="s">
        <v>954</v>
      </c>
      <c r="F53" s="875">
        <f>F52</f>
        <v>4.6249530787332543E-2</v>
      </c>
      <c r="G53" s="875">
        <f t="shared" ref="G53:H53" si="36">IF(G51=0,0,F53+G52)</f>
        <v>0.17876117374111761</v>
      </c>
      <c r="H53" s="875">
        <f t="shared" si="36"/>
        <v>0.41649686595386154</v>
      </c>
      <c r="I53" s="875">
        <f>IF(I51=0,0,H53+I52)</f>
        <v>0.67630103182174284</v>
      </c>
      <c r="J53" s="875">
        <f t="shared" ref="J53:Q53" si="37">IF(J51=0,0,I53+J52)</f>
        <v>0.88693706556796592</v>
      </c>
      <c r="K53" s="875">
        <f t="shared" si="37"/>
        <v>1</v>
      </c>
      <c r="L53" s="875">
        <f t="shared" si="37"/>
        <v>0</v>
      </c>
      <c r="M53" s="875">
        <f t="shared" si="37"/>
        <v>0</v>
      </c>
      <c r="N53" s="875">
        <f t="shared" si="37"/>
        <v>0</v>
      </c>
      <c r="O53" s="875">
        <f t="shared" si="37"/>
        <v>0</v>
      </c>
      <c r="P53" s="875">
        <f t="shared" si="37"/>
        <v>0</v>
      </c>
      <c r="Q53" s="876">
        <f t="shared" si="37"/>
        <v>0</v>
      </c>
      <c r="R53" s="877"/>
      <c r="S53" s="878" t="str">
        <f>IF(S51=S52,"OK","CORRIGIR")</f>
        <v>OK</v>
      </c>
      <c r="T53" s="879" t="str">
        <f>IF(T51=T52,"OK","CORRIGIR")</f>
        <v>OK</v>
      </c>
    </row>
    <row r="54" spans="1:20" ht="15" customHeight="1" x14ac:dyDescent="0.2">
      <c r="A54" s="166"/>
      <c r="B54" s="880" t="s">
        <v>2268</v>
      </c>
      <c r="C54" s="881"/>
      <c r="D54" s="882"/>
      <c r="E54" s="883"/>
      <c r="F54" s="881" t="s">
        <v>983</v>
      </c>
      <c r="G54" s="169"/>
      <c r="H54" s="169"/>
      <c r="I54" s="170"/>
      <c r="J54" s="884" t="s">
        <v>2270</v>
      </c>
      <c r="K54" s="885"/>
      <c r="L54" s="885"/>
      <c r="M54" s="886"/>
      <c r="N54" s="887" t="s">
        <v>983</v>
      </c>
      <c r="O54" s="171"/>
      <c r="P54" s="888"/>
      <c r="Q54" s="881" t="s">
        <v>2271</v>
      </c>
      <c r="R54" s="889"/>
      <c r="S54" s="889"/>
      <c r="T54" s="890"/>
    </row>
    <row r="55" spans="1:20" ht="19.5" customHeight="1" thickBot="1" x14ac:dyDescent="0.25">
      <c r="A55" s="166"/>
      <c r="B55" s="1170" t="s">
        <v>2269</v>
      </c>
      <c r="C55" s="1171"/>
      <c r="D55" s="1172"/>
      <c r="E55" s="173"/>
      <c r="F55" s="173"/>
      <c r="G55" s="174" t="s">
        <v>986</v>
      </c>
      <c r="H55" s="173"/>
      <c r="I55" s="175"/>
      <c r="J55" s="176"/>
      <c r="K55" s="177"/>
      <c r="L55" s="893"/>
      <c r="M55" s="894"/>
      <c r="N55" s="178"/>
      <c r="O55" s="179" t="s">
        <v>987</v>
      </c>
      <c r="P55" s="180"/>
      <c r="Q55" s="181"/>
      <c r="R55" s="182"/>
      <c r="S55" s="182"/>
      <c r="T55" s="183"/>
    </row>
  </sheetData>
  <mergeCells count="1">
    <mergeCell ref="B55:D55"/>
  </mergeCells>
  <pageMargins left="0.78740157480314965" right="0.78740157480314965" top="0.78740157480314965" bottom="0.78740157480314965" header="0.51181102362204722" footer="0.51181102362204722"/>
  <pageSetup paperSize="8" scale="9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DE8B-444D-427B-A746-B1075F8558F1}">
  <sheetPr>
    <pageSetUpPr fitToPage="1"/>
  </sheetPr>
  <dimension ref="A1:AJ584"/>
  <sheetViews>
    <sheetView zoomScaleNormal="100" workbookViewId="0">
      <selection activeCell="H19" sqref="H19"/>
    </sheetView>
  </sheetViews>
  <sheetFormatPr defaultColWidth="14.6640625" defaultRowHeight="12.75" x14ac:dyDescent="0.2"/>
  <cols>
    <col min="1" max="1" width="53.5" style="186" customWidth="1"/>
    <col min="2" max="2" width="33.5" style="186" customWidth="1"/>
    <col min="3" max="3" width="20" style="186" customWidth="1"/>
    <col min="4" max="257" width="14.6640625" style="185"/>
    <col min="258" max="258" width="47.6640625" style="185" customWidth="1"/>
    <col min="259" max="259" width="43.83203125" style="185" customWidth="1"/>
    <col min="260" max="513" width="14.6640625" style="185"/>
    <col min="514" max="514" width="47.6640625" style="185" customWidth="1"/>
    <col min="515" max="515" width="43.83203125" style="185" customWidth="1"/>
    <col min="516" max="769" width="14.6640625" style="185"/>
    <col min="770" max="770" width="47.6640625" style="185" customWidth="1"/>
    <col min="771" max="771" width="43.83203125" style="185" customWidth="1"/>
    <col min="772" max="1025" width="14.6640625" style="185"/>
    <col min="1026" max="1026" width="47.6640625" style="185" customWidth="1"/>
    <col min="1027" max="1027" width="43.83203125" style="185" customWidth="1"/>
    <col min="1028" max="1281" width="14.6640625" style="185"/>
    <col min="1282" max="1282" width="47.6640625" style="185" customWidth="1"/>
    <col min="1283" max="1283" width="43.83203125" style="185" customWidth="1"/>
    <col min="1284" max="1537" width="14.6640625" style="185"/>
    <col min="1538" max="1538" width="47.6640625" style="185" customWidth="1"/>
    <col min="1539" max="1539" width="43.83203125" style="185" customWidth="1"/>
    <col min="1540" max="1793" width="14.6640625" style="185"/>
    <col min="1794" max="1794" width="47.6640625" style="185" customWidth="1"/>
    <col min="1795" max="1795" width="43.83203125" style="185" customWidth="1"/>
    <col min="1796" max="2049" width="14.6640625" style="185"/>
    <col min="2050" max="2050" width="47.6640625" style="185" customWidth="1"/>
    <col min="2051" max="2051" width="43.83203125" style="185" customWidth="1"/>
    <col min="2052" max="2305" width="14.6640625" style="185"/>
    <col min="2306" max="2306" width="47.6640625" style="185" customWidth="1"/>
    <col min="2307" max="2307" width="43.83203125" style="185" customWidth="1"/>
    <col min="2308" max="2561" width="14.6640625" style="185"/>
    <col min="2562" max="2562" width="47.6640625" style="185" customWidth="1"/>
    <col min="2563" max="2563" width="43.83203125" style="185" customWidth="1"/>
    <col min="2564" max="2817" width="14.6640625" style="185"/>
    <col min="2818" max="2818" width="47.6640625" style="185" customWidth="1"/>
    <col min="2819" max="2819" width="43.83203125" style="185" customWidth="1"/>
    <col min="2820" max="3073" width="14.6640625" style="185"/>
    <col min="3074" max="3074" width="47.6640625" style="185" customWidth="1"/>
    <col min="3075" max="3075" width="43.83203125" style="185" customWidth="1"/>
    <col min="3076" max="3329" width="14.6640625" style="185"/>
    <col min="3330" max="3330" width="47.6640625" style="185" customWidth="1"/>
    <col min="3331" max="3331" width="43.83203125" style="185" customWidth="1"/>
    <col min="3332" max="3585" width="14.6640625" style="185"/>
    <col min="3586" max="3586" width="47.6640625" style="185" customWidth="1"/>
    <col min="3587" max="3587" width="43.83203125" style="185" customWidth="1"/>
    <col min="3588" max="3841" width="14.6640625" style="185"/>
    <col min="3842" max="3842" width="47.6640625" style="185" customWidth="1"/>
    <col min="3843" max="3843" width="43.83203125" style="185" customWidth="1"/>
    <col min="3844" max="4097" width="14.6640625" style="185"/>
    <col min="4098" max="4098" width="47.6640625" style="185" customWidth="1"/>
    <col min="4099" max="4099" width="43.83203125" style="185" customWidth="1"/>
    <col min="4100" max="4353" width="14.6640625" style="185"/>
    <col min="4354" max="4354" width="47.6640625" style="185" customWidth="1"/>
    <col min="4355" max="4355" width="43.83203125" style="185" customWidth="1"/>
    <col min="4356" max="4609" width="14.6640625" style="185"/>
    <col min="4610" max="4610" width="47.6640625" style="185" customWidth="1"/>
    <col min="4611" max="4611" width="43.83203125" style="185" customWidth="1"/>
    <col min="4612" max="4865" width="14.6640625" style="185"/>
    <col min="4866" max="4866" width="47.6640625" style="185" customWidth="1"/>
    <col min="4867" max="4867" width="43.83203125" style="185" customWidth="1"/>
    <col min="4868" max="5121" width="14.6640625" style="185"/>
    <col min="5122" max="5122" width="47.6640625" style="185" customWidth="1"/>
    <col min="5123" max="5123" width="43.83203125" style="185" customWidth="1"/>
    <col min="5124" max="5377" width="14.6640625" style="185"/>
    <col min="5378" max="5378" width="47.6640625" style="185" customWidth="1"/>
    <col min="5379" max="5379" width="43.83203125" style="185" customWidth="1"/>
    <col min="5380" max="5633" width="14.6640625" style="185"/>
    <col min="5634" max="5634" width="47.6640625" style="185" customWidth="1"/>
    <col min="5635" max="5635" width="43.83203125" style="185" customWidth="1"/>
    <col min="5636" max="5889" width="14.6640625" style="185"/>
    <col min="5890" max="5890" width="47.6640625" style="185" customWidth="1"/>
    <col min="5891" max="5891" width="43.83203125" style="185" customWidth="1"/>
    <col min="5892" max="6145" width="14.6640625" style="185"/>
    <col min="6146" max="6146" width="47.6640625" style="185" customWidth="1"/>
    <col min="6147" max="6147" width="43.83203125" style="185" customWidth="1"/>
    <col min="6148" max="6401" width="14.6640625" style="185"/>
    <col min="6402" max="6402" width="47.6640625" style="185" customWidth="1"/>
    <col min="6403" max="6403" width="43.83203125" style="185" customWidth="1"/>
    <col min="6404" max="6657" width="14.6640625" style="185"/>
    <col min="6658" max="6658" width="47.6640625" style="185" customWidth="1"/>
    <col min="6659" max="6659" width="43.83203125" style="185" customWidth="1"/>
    <col min="6660" max="6913" width="14.6640625" style="185"/>
    <col min="6914" max="6914" width="47.6640625" style="185" customWidth="1"/>
    <col min="6915" max="6915" width="43.83203125" style="185" customWidth="1"/>
    <col min="6916" max="7169" width="14.6640625" style="185"/>
    <col min="7170" max="7170" width="47.6640625" style="185" customWidth="1"/>
    <col min="7171" max="7171" width="43.83203125" style="185" customWidth="1"/>
    <col min="7172" max="7425" width="14.6640625" style="185"/>
    <col min="7426" max="7426" width="47.6640625" style="185" customWidth="1"/>
    <col min="7427" max="7427" width="43.83203125" style="185" customWidth="1"/>
    <col min="7428" max="7681" width="14.6640625" style="185"/>
    <col min="7682" max="7682" width="47.6640625" style="185" customWidth="1"/>
    <col min="7683" max="7683" width="43.83203125" style="185" customWidth="1"/>
    <col min="7684" max="7937" width="14.6640625" style="185"/>
    <col min="7938" max="7938" width="47.6640625" style="185" customWidth="1"/>
    <col min="7939" max="7939" width="43.83203125" style="185" customWidth="1"/>
    <col min="7940" max="8193" width="14.6640625" style="185"/>
    <col min="8194" max="8194" width="47.6640625" style="185" customWidth="1"/>
    <col min="8195" max="8195" width="43.83203125" style="185" customWidth="1"/>
    <col min="8196" max="8449" width="14.6640625" style="185"/>
    <col min="8450" max="8450" width="47.6640625" style="185" customWidth="1"/>
    <col min="8451" max="8451" width="43.83203125" style="185" customWidth="1"/>
    <col min="8452" max="8705" width="14.6640625" style="185"/>
    <col min="8706" max="8706" width="47.6640625" style="185" customWidth="1"/>
    <col min="8707" max="8707" width="43.83203125" style="185" customWidth="1"/>
    <col min="8708" max="8961" width="14.6640625" style="185"/>
    <col min="8962" max="8962" width="47.6640625" style="185" customWidth="1"/>
    <col min="8963" max="8963" width="43.83203125" style="185" customWidth="1"/>
    <col min="8964" max="9217" width="14.6640625" style="185"/>
    <col min="9218" max="9218" width="47.6640625" style="185" customWidth="1"/>
    <col min="9219" max="9219" width="43.83203125" style="185" customWidth="1"/>
    <col min="9220" max="9473" width="14.6640625" style="185"/>
    <col min="9474" max="9474" width="47.6640625" style="185" customWidth="1"/>
    <col min="9475" max="9475" width="43.83203125" style="185" customWidth="1"/>
    <col min="9476" max="9729" width="14.6640625" style="185"/>
    <col min="9730" max="9730" width="47.6640625" style="185" customWidth="1"/>
    <col min="9731" max="9731" width="43.83203125" style="185" customWidth="1"/>
    <col min="9732" max="9985" width="14.6640625" style="185"/>
    <col min="9986" max="9986" width="47.6640625" style="185" customWidth="1"/>
    <col min="9987" max="9987" width="43.83203125" style="185" customWidth="1"/>
    <col min="9988" max="10241" width="14.6640625" style="185"/>
    <col min="10242" max="10242" width="47.6640625" style="185" customWidth="1"/>
    <col min="10243" max="10243" width="43.83203125" style="185" customWidth="1"/>
    <col min="10244" max="10497" width="14.6640625" style="185"/>
    <col min="10498" max="10498" width="47.6640625" style="185" customWidth="1"/>
    <col min="10499" max="10499" width="43.83203125" style="185" customWidth="1"/>
    <col min="10500" max="10753" width="14.6640625" style="185"/>
    <col min="10754" max="10754" width="47.6640625" style="185" customWidth="1"/>
    <col min="10755" max="10755" width="43.83203125" style="185" customWidth="1"/>
    <col min="10756" max="11009" width="14.6640625" style="185"/>
    <col min="11010" max="11010" width="47.6640625" style="185" customWidth="1"/>
    <col min="11011" max="11011" width="43.83203125" style="185" customWidth="1"/>
    <col min="11012" max="11265" width="14.6640625" style="185"/>
    <col min="11266" max="11266" width="47.6640625" style="185" customWidth="1"/>
    <col min="11267" max="11267" width="43.83203125" style="185" customWidth="1"/>
    <col min="11268" max="11521" width="14.6640625" style="185"/>
    <col min="11522" max="11522" width="47.6640625" style="185" customWidth="1"/>
    <col min="11523" max="11523" width="43.83203125" style="185" customWidth="1"/>
    <col min="11524" max="11777" width="14.6640625" style="185"/>
    <col min="11778" max="11778" width="47.6640625" style="185" customWidth="1"/>
    <col min="11779" max="11779" width="43.83203125" style="185" customWidth="1"/>
    <col min="11780" max="12033" width="14.6640625" style="185"/>
    <col min="12034" max="12034" width="47.6640625" style="185" customWidth="1"/>
    <col min="12035" max="12035" width="43.83203125" style="185" customWidth="1"/>
    <col min="12036" max="12289" width="14.6640625" style="185"/>
    <col min="12290" max="12290" width="47.6640625" style="185" customWidth="1"/>
    <col min="12291" max="12291" width="43.83203125" style="185" customWidth="1"/>
    <col min="12292" max="12545" width="14.6640625" style="185"/>
    <col min="12546" max="12546" width="47.6640625" style="185" customWidth="1"/>
    <col min="12547" max="12547" width="43.83203125" style="185" customWidth="1"/>
    <col min="12548" max="12801" width="14.6640625" style="185"/>
    <col min="12802" max="12802" width="47.6640625" style="185" customWidth="1"/>
    <col min="12803" max="12803" width="43.83203125" style="185" customWidth="1"/>
    <col min="12804" max="13057" width="14.6640625" style="185"/>
    <col min="13058" max="13058" width="47.6640625" style="185" customWidth="1"/>
    <col min="13059" max="13059" width="43.83203125" style="185" customWidth="1"/>
    <col min="13060" max="13313" width="14.6640625" style="185"/>
    <col min="13314" max="13314" width="47.6640625" style="185" customWidth="1"/>
    <col min="13315" max="13315" width="43.83203125" style="185" customWidth="1"/>
    <col min="13316" max="13569" width="14.6640625" style="185"/>
    <col min="13570" max="13570" width="47.6640625" style="185" customWidth="1"/>
    <col min="13571" max="13571" width="43.83203125" style="185" customWidth="1"/>
    <col min="13572" max="13825" width="14.6640625" style="185"/>
    <col min="13826" max="13826" width="47.6640625" style="185" customWidth="1"/>
    <col min="13827" max="13827" width="43.83203125" style="185" customWidth="1"/>
    <col min="13828" max="14081" width="14.6640625" style="185"/>
    <col min="14082" max="14082" width="47.6640625" style="185" customWidth="1"/>
    <col min="14083" max="14083" width="43.83203125" style="185" customWidth="1"/>
    <col min="14084" max="14337" width="14.6640625" style="185"/>
    <col min="14338" max="14338" width="47.6640625" style="185" customWidth="1"/>
    <col min="14339" max="14339" width="43.83203125" style="185" customWidth="1"/>
    <col min="14340" max="14593" width="14.6640625" style="185"/>
    <col min="14594" max="14594" width="47.6640625" style="185" customWidth="1"/>
    <col min="14595" max="14595" width="43.83203125" style="185" customWidth="1"/>
    <col min="14596" max="14849" width="14.6640625" style="185"/>
    <col min="14850" max="14850" width="47.6640625" style="185" customWidth="1"/>
    <col min="14851" max="14851" width="43.83203125" style="185" customWidth="1"/>
    <col min="14852" max="15105" width="14.6640625" style="185"/>
    <col min="15106" max="15106" width="47.6640625" style="185" customWidth="1"/>
    <col min="15107" max="15107" width="43.83203125" style="185" customWidth="1"/>
    <col min="15108" max="15361" width="14.6640625" style="185"/>
    <col min="15362" max="15362" width="47.6640625" style="185" customWidth="1"/>
    <col min="15363" max="15363" width="43.83203125" style="185" customWidth="1"/>
    <col min="15364" max="15617" width="14.6640625" style="185"/>
    <col min="15618" max="15618" width="47.6640625" style="185" customWidth="1"/>
    <col min="15619" max="15619" width="43.83203125" style="185" customWidth="1"/>
    <col min="15620" max="15873" width="14.6640625" style="185"/>
    <col min="15874" max="15874" width="47.6640625" style="185" customWidth="1"/>
    <col min="15875" max="15875" width="43.83203125" style="185" customWidth="1"/>
    <col min="15876" max="16129" width="14.6640625" style="185"/>
    <col min="16130" max="16130" width="47.6640625" style="185" customWidth="1"/>
    <col min="16131" max="16131" width="43.83203125" style="185" customWidth="1"/>
    <col min="16132" max="16384" width="14.6640625" style="185"/>
  </cols>
  <sheetData>
    <row r="1" spans="1:8" ht="45" customHeight="1" thickBot="1" x14ac:dyDescent="0.25">
      <c r="A1" s="1182" t="s">
        <v>2232</v>
      </c>
      <c r="B1" s="1183"/>
      <c r="C1" s="1184"/>
      <c r="D1" s="184"/>
      <c r="E1" s="328"/>
      <c r="F1" s="329"/>
      <c r="G1" s="329"/>
      <c r="H1" s="329"/>
    </row>
    <row r="2" spans="1:8" ht="18" x14ac:dyDescent="0.2">
      <c r="A2" s="1185" t="s">
        <v>541</v>
      </c>
      <c r="B2" s="330" t="s">
        <v>1067</v>
      </c>
      <c r="C2" s="331">
        <f>B26</f>
        <v>0.2</v>
      </c>
      <c r="D2" s="328"/>
      <c r="E2" s="332"/>
      <c r="F2" s="329"/>
      <c r="G2" s="329"/>
      <c r="H2" s="329"/>
    </row>
    <row r="3" spans="1:8" ht="18" x14ac:dyDescent="0.2">
      <c r="A3" s="1186"/>
      <c r="B3" s="330" t="s">
        <v>1068</v>
      </c>
      <c r="C3" s="331">
        <v>0.65</v>
      </c>
      <c r="D3" s="328"/>
      <c r="E3" s="328" t="s">
        <v>17</v>
      </c>
      <c r="F3" s="329"/>
      <c r="G3" s="329"/>
      <c r="H3" s="329"/>
    </row>
    <row r="4" spans="1:8" ht="18" x14ac:dyDescent="0.2">
      <c r="A4" s="1186"/>
      <c r="B4" s="330" t="s">
        <v>1069</v>
      </c>
      <c r="C4" s="331">
        <v>3</v>
      </c>
      <c r="D4" s="328"/>
      <c r="E4" s="328"/>
      <c r="F4" s="329"/>
      <c r="G4" s="329"/>
      <c r="H4" s="329"/>
    </row>
    <row r="5" spans="1:8" ht="18.75" thickBot="1" x14ac:dyDescent="0.25">
      <c r="A5" s="1186"/>
      <c r="B5" s="333" t="s">
        <v>1070</v>
      </c>
      <c r="C5" s="334">
        <v>0</v>
      </c>
      <c r="D5" s="328"/>
      <c r="E5" s="328" t="s">
        <v>17</v>
      </c>
      <c r="F5" s="329"/>
      <c r="G5" s="329"/>
      <c r="H5" s="329"/>
    </row>
    <row r="6" spans="1:8" ht="18.75" thickBot="1" x14ac:dyDescent="0.25">
      <c r="A6" s="1187"/>
      <c r="B6" s="335" t="s">
        <v>1071</v>
      </c>
      <c r="C6" s="336">
        <f>SUM(C2:C5)</f>
        <v>3.85</v>
      </c>
      <c r="D6" s="328"/>
      <c r="E6" s="328"/>
      <c r="F6" s="337"/>
      <c r="G6" s="329"/>
      <c r="H6" s="329"/>
    </row>
    <row r="7" spans="1:8" ht="18" x14ac:dyDescent="0.2">
      <c r="A7" s="338" t="s">
        <v>1072</v>
      </c>
      <c r="B7" s="339" t="s">
        <v>1073</v>
      </c>
      <c r="C7" s="340" t="s">
        <v>1074</v>
      </c>
      <c r="D7" s="328"/>
      <c r="E7" s="328"/>
      <c r="F7" s="329"/>
      <c r="G7" s="341" t="s">
        <v>187</v>
      </c>
      <c r="H7" s="329"/>
    </row>
    <row r="8" spans="1:8" ht="18" x14ac:dyDescent="0.2">
      <c r="A8" s="338" t="s">
        <v>1053</v>
      </c>
      <c r="B8" s="342">
        <v>4.67</v>
      </c>
      <c r="C8" s="343">
        <v>4.49</v>
      </c>
      <c r="D8" s="328"/>
      <c r="E8" s="344"/>
      <c r="F8" s="329"/>
      <c r="G8" s="329"/>
      <c r="H8" s="329"/>
    </row>
    <row r="9" spans="1:8" ht="18" x14ac:dyDescent="0.2">
      <c r="A9" s="345" t="s">
        <v>1054</v>
      </c>
      <c r="B9" s="346">
        <v>0.97</v>
      </c>
      <c r="C9" s="347">
        <v>0.82</v>
      </c>
      <c r="D9" s="328"/>
      <c r="E9" s="344"/>
      <c r="F9" s="329"/>
      <c r="G9" s="329"/>
      <c r="H9" s="329"/>
    </row>
    <row r="10" spans="1:8" ht="18" x14ac:dyDescent="0.2">
      <c r="A10" s="345" t="s">
        <v>1055</v>
      </c>
      <c r="B10" s="346">
        <v>0.74</v>
      </c>
      <c r="C10" s="347">
        <v>0.89</v>
      </c>
      <c r="D10" s="328"/>
      <c r="E10" s="344"/>
      <c r="F10" s="329"/>
      <c r="G10" s="329"/>
      <c r="H10" s="329"/>
    </row>
    <row r="11" spans="1:8" ht="18" x14ac:dyDescent="0.2">
      <c r="A11" s="345" t="s">
        <v>1056</v>
      </c>
      <c r="B11" s="346">
        <v>1.21</v>
      </c>
      <c r="C11" s="347">
        <v>1.1100000000000001</v>
      </c>
      <c r="D11" s="328"/>
      <c r="E11" s="344"/>
      <c r="F11" s="329"/>
      <c r="G11" s="329"/>
      <c r="H11" s="329"/>
    </row>
    <row r="12" spans="1:8" ht="18.75" thickBot="1" x14ac:dyDescent="0.25">
      <c r="A12" s="348" t="s">
        <v>543</v>
      </c>
      <c r="B12" s="349">
        <v>8.69</v>
      </c>
      <c r="C12" s="350">
        <v>6.22</v>
      </c>
      <c r="D12" s="328"/>
      <c r="E12" s="344"/>
      <c r="F12" s="329"/>
      <c r="G12" s="329"/>
      <c r="H12" s="329"/>
    </row>
    <row r="13" spans="1:8" ht="18.75" thickBot="1" x14ac:dyDescent="0.25">
      <c r="A13" s="351" t="s">
        <v>1075</v>
      </c>
      <c r="B13" s="352">
        <f>(((((1+(B8+B9+B10)/100)*(1+B11/100)*(1+B12/100))/(1-C6/100))-1)*100)</f>
        <v>21.709284977847098</v>
      </c>
      <c r="C13" s="336">
        <f>(((((1+(C8+C9+C10)/100)*(1+C11/100)*(1+C12/100))/(1-(C3+C4+C5)/100))-1)*100)</f>
        <v>18.378601560975618</v>
      </c>
      <c r="D13" s="353"/>
      <c r="E13" s="328"/>
      <c r="F13" s="329"/>
      <c r="G13" s="329"/>
      <c r="H13" s="329"/>
    </row>
    <row r="14" spans="1:8" ht="15.75" thickBot="1" x14ac:dyDescent="0.25">
      <c r="A14" s="1179" t="s">
        <v>1076</v>
      </c>
      <c r="B14" s="1180"/>
      <c r="C14" s="1181"/>
      <c r="D14" s="353"/>
      <c r="E14" s="328"/>
      <c r="F14" s="329"/>
      <c r="G14" s="329"/>
      <c r="H14" s="329"/>
    </row>
    <row r="15" spans="1:8" ht="18.75" thickBot="1" x14ac:dyDescent="0.25">
      <c r="A15" s="354" t="s">
        <v>1077</v>
      </c>
      <c r="B15" s="355">
        <f>IF(D15="X",0,ROUND(B13,2)/100)</f>
        <v>0.21710000000000002</v>
      </c>
      <c r="C15" s="356"/>
      <c r="D15" s="902"/>
      <c r="E15" s="357"/>
      <c r="F15" s="329" t="s">
        <v>811</v>
      </c>
      <c r="G15" s="329"/>
      <c r="H15" s="329"/>
    </row>
    <row r="16" spans="1:8" ht="7.9" customHeight="1" thickBot="1" x14ac:dyDescent="0.25">
      <c r="A16" s="903"/>
      <c r="B16" s="904"/>
      <c r="C16" s="905"/>
      <c r="D16" s="353"/>
      <c r="E16" s="328"/>
      <c r="F16" s="329"/>
      <c r="G16" s="329"/>
      <c r="H16" s="329"/>
    </row>
    <row r="17" spans="1:13" ht="18.75" thickBot="1" x14ac:dyDescent="0.25">
      <c r="A17" s="354" t="s">
        <v>1078</v>
      </c>
      <c r="B17" s="355">
        <f>IF(D15="X",0,ROUND(C13,2)/100)</f>
        <v>0.18379999999999999</v>
      </c>
      <c r="C17" s="356"/>
      <c r="D17" s="328"/>
      <c r="E17" s="357"/>
      <c r="F17" s="358"/>
      <c r="G17" s="358"/>
      <c r="H17" s="358"/>
      <c r="I17" s="359"/>
      <c r="J17" s="359"/>
      <c r="K17" s="359"/>
      <c r="L17" s="359"/>
      <c r="M17" s="359"/>
    </row>
    <row r="18" spans="1:13" ht="6.6" customHeight="1" x14ac:dyDescent="0.2">
      <c r="A18" s="360"/>
      <c r="B18" s="360"/>
      <c r="C18" s="360"/>
      <c r="D18" s="328"/>
      <c r="E18" s="328"/>
      <c r="F18" s="329"/>
      <c r="G18" s="329"/>
      <c r="H18" s="329"/>
    </row>
    <row r="19" spans="1:13" ht="147.75" customHeight="1" x14ac:dyDescent="0.2">
      <c r="A19" s="360"/>
      <c r="B19" s="360"/>
      <c r="C19" s="360"/>
      <c r="D19" s="328"/>
      <c r="E19" s="328"/>
      <c r="F19" s="329"/>
      <c r="G19" s="329"/>
      <c r="H19" s="329"/>
    </row>
    <row r="20" spans="1:13" ht="6.6" customHeight="1" x14ac:dyDescent="0.2">
      <c r="A20" s="360"/>
      <c r="B20" s="360"/>
      <c r="C20" s="360"/>
      <c r="D20" s="328"/>
      <c r="E20" s="328"/>
      <c r="F20" s="329"/>
      <c r="G20" s="329"/>
      <c r="H20" s="329"/>
    </row>
    <row r="21" spans="1:13" x14ac:dyDescent="0.2">
      <c r="A21" s="361"/>
      <c r="B21" s="361"/>
      <c r="C21" s="361"/>
      <c r="D21" s="328"/>
      <c r="E21" s="328"/>
      <c r="F21" s="329"/>
      <c r="G21" s="329"/>
      <c r="H21" s="329"/>
    </row>
    <row r="22" spans="1:13" ht="16.5" thickBot="1" x14ac:dyDescent="0.25">
      <c r="A22" s="362"/>
      <c r="B22" s="363" t="s">
        <v>1057</v>
      </c>
      <c r="C22" s="361"/>
      <c r="D22" s="328"/>
      <c r="E22" s="328"/>
      <c r="F22" s="329"/>
      <c r="G22" s="329"/>
      <c r="H22" s="329"/>
    </row>
    <row r="23" spans="1:13" ht="18.75" thickBot="1" x14ac:dyDescent="0.25">
      <c r="A23" s="364" t="s">
        <v>792</v>
      </c>
      <c r="B23" s="365">
        <v>2</v>
      </c>
      <c r="C23" s="366" t="s">
        <v>784</v>
      </c>
      <c r="D23" s="328"/>
      <c r="E23" s="332"/>
      <c r="F23" s="329"/>
      <c r="G23" s="329"/>
      <c r="H23" s="329"/>
    </row>
    <row r="24" spans="1:13" ht="18.75" thickBot="1" x14ac:dyDescent="0.25">
      <c r="A24" s="364" t="s">
        <v>793</v>
      </c>
      <c r="B24" s="365">
        <v>10</v>
      </c>
      <c r="C24" s="366" t="s">
        <v>784</v>
      </c>
      <c r="D24" s="328"/>
      <c r="E24" s="332"/>
      <c r="F24" s="329"/>
      <c r="G24" s="329"/>
      <c r="H24" s="329"/>
    </row>
    <row r="25" spans="1:13" ht="18" x14ac:dyDescent="0.2">
      <c r="A25" s="364" t="s">
        <v>1058</v>
      </c>
      <c r="B25" s="367" t="s">
        <v>805</v>
      </c>
      <c r="C25" s="366" t="s">
        <v>784</v>
      </c>
      <c r="D25" s="328"/>
      <c r="E25" s="328"/>
      <c r="F25" s="329"/>
      <c r="G25" s="329"/>
      <c r="H25" s="329"/>
    </row>
    <row r="26" spans="1:13" ht="18" x14ac:dyDescent="0.2">
      <c r="A26" s="364" t="s">
        <v>1059</v>
      </c>
      <c r="B26" s="368">
        <f>ROUND(B23*B24/100,4)</f>
        <v>0.2</v>
      </c>
      <c r="C26" s="366" t="s">
        <v>784</v>
      </c>
      <c r="D26" s="328"/>
      <c r="E26" s="328"/>
      <c r="F26" s="329"/>
      <c r="G26" s="329"/>
      <c r="H26" s="329"/>
    </row>
    <row r="27" spans="1:13" ht="13.5" thickBot="1" x14ac:dyDescent="0.25">
      <c r="A27" s="369"/>
      <c r="B27" s="370"/>
      <c r="C27" s="370"/>
      <c r="D27" s="328"/>
      <c r="E27" s="328"/>
      <c r="F27" s="329"/>
      <c r="G27" s="329"/>
      <c r="H27" s="329"/>
    </row>
    <row r="28" spans="1:13" ht="13.5" thickBot="1" x14ac:dyDescent="0.25">
      <c r="A28" s="1188" t="s">
        <v>1079</v>
      </c>
      <c r="B28" s="1189"/>
      <c r="C28" s="1189"/>
      <c r="D28" s="1190"/>
      <c r="E28" s="328"/>
      <c r="F28" s="329"/>
      <c r="G28" s="329"/>
      <c r="H28" s="329"/>
    </row>
    <row r="29" spans="1:13" ht="13.5" thickBot="1" x14ac:dyDescent="0.25">
      <c r="A29" s="371" t="s">
        <v>1080</v>
      </c>
      <c r="B29" s="372" t="s">
        <v>1081</v>
      </c>
      <c r="C29" s="373" t="s">
        <v>1082</v>
      </c>
      <c r="D29" s="374" t="s">
        <v>1083</v>
      </c>
      <c r="E29" s="328"/>
      <c r="F29" s="329"/>
      <c r="G29" s="329"/>
      <c r="H29" s="329"/>
    </row>
    <row r="30" spans="1:13" x14ac:dyDescent="0.2">
      <c r="A30" s="375" t="s">
        <v>1084</v>
      </c>
      <c r="B30" s="376">
        <v>0.2034</v>
      </c>
      <c r="C30" s="377">
        <v>0.22120000000000001</v>
      </c>
      <c r="D30" s="378">
        <v>0.25</v>
      </c>
      <c r="E30" s="328"/>
      <c r="F30" s="329"/>
      <c r="G30" s="329"/>
      <c r="H30" s="329"/>
    </row>
    <row r="31" spans="1:13" x14ac:dyDescent="0.2">
      <c r="A31" s="379" t="s">
        <v>1085</v>
      </c>
      <c r="B31" s="380">
        <v>0.19600000000000001</v>
      </c>
      <c r="C31" s="381">
        <v>0.20949999999999999</v>
      </c>
      <c r="D31" s="382">
        <v>0.24229999999999999</v>
      </c>
      <c r="E31" s="328"/>
      <c r="F31" s="329"/>
      <c r="G31" s="329"/>
      <c r="H31" s="329"/>
    </row>
    <row r="32" spans="1:13" ht="38.25" x14ac:dyDescent="0.2">
      <c r="A32" s="379" t="s">
        <v>1086</v>
      </c>
      <c r="B32" s="380">
        <v>0.20760000000000001</v>
      </c>
      <c r="C32" s="381">
        <v>0.24179999999999999</v>
      </c>
      <c r="D32" s="382">
        <v>0.26440000000000002</v>
      </c>
      <c r="E32" s="328"/>
      <c r="F32" s="329"/>
      <c r="G32" s="329"/>
      <c r="H32" s="329"/>
    </row>
    <row r="33" spans="1:17" ht="38.25" x14ac:dyDescent="0.2">
      <c r="A33" s="379" t="s">
        <v>1087</v>
      </c>
      <c r="B33" s="380">
        <v>0.24</v>
      </c>
      <c r="C33" s="381">
        <v>0.25840000000000002</v>
      </c>
      <c r="D33" s="382">
        <v>0.27860000000000001</v>
      </c>
      <c r="E33" s="328"/>
      <c r="F33" s="329"/>
      <c r="G33" s="329"/>
      <c r="H33" s="329"/>
    </row>
    <row r="34" spans="1:17" ht="13.5" thickBot="1" x14ac:dyDescent="0.25">
      <c r="A34" s="383" t="s">
        <v>1088</v>
      </c>
      <c r="B34" s="384">
        <v>0.22800000000000001</v>
      </c>
      <c r="C34" s="385">
        <v>0.27479999999999999</v>
      </c>
      <c r="D34" s="386">
        <v>0.3095</v>
      </c>
      <c r="E34" s="328"/>
      <c r="F34" s="329"/>
      <c r="G34" s="329"/>
      <c r="H34" s="329"/>
    </row>
    <row r="35" spans="1:17" x14ac:dyDescent="0.2">
      <c r="A35" s="387"/>
      <c r="B35" s="370"/>
      <c r="C35" s="370"/>
      <c r="D35" s="328"/>
      <c r="E35" s="328"/>
      <c r="F35" s="329"/>
      <c r="G35" s="329"/>
      <c r="H35" s="329"/>
    </row>
    <row r="36" spans="1:17" ht="13.5" thickBot="1" x14ac:dyDescent="0.25">
      <c r="A36" s="387"/>
      <c r="B36" s="370"/>
      <c r="C36" s="370"/>
      <c r="D36" s="328"/>
      <c r="E36" s="328"/>
      <c r="F36" s="329"/>
      <c r="G36" s="329"/>
      <c r="H36" s="329"/>
    </row>
    <row r="37" spans="1:17" ht="13.5" thickBot="1" x14ac:dyDescent="0.25">
      <c r="A37" s="1191" t="s">
        <v>1089</v>
      </c>
      <c r="B37" s="372" t="s">
        <v>1081</v>
      </c>
      <c r="C37" s="373" t="s">
        <v>1082</v>
      </c>
      <c r="D37" s="374" t="s">
        <v>1083</v>
      </c>
      <c r="E37" s="328"/>
      <c r="F37" s="329"/>
      <c r="G37" s="329"/>
      <c r="H37" s="329"/>
    </row>
    <row r="38" spans="1:17" ht="13.5" thickBot="1" x14ac:dyDescent="0.25">
      <c r="A38" s="1192"/>
      <c r="B38" s="388">
        <v>0.111</v>
      </c>
      <c r="C38" s="389">
        <v>0.14019999999999999</v>
      </c>
      <c r="D38" s="390">
        <v>0.16800000000000001</v>
      </c>
      <c r="E38" s="328"/>
      <c r="F38" s="329"/>
      <c r="G38" s="329"/>
      <c r="H38" s="329"/>
    </row>
    <row r="39" spans="1:17" x14ac:dyDescent="0.2">
      <c r="A39" s="387"/>
      <c r="B39" s="370"/>
      <c r="C39" s="370"/>
      <c r="D39" s="328"/>
      <c r="E39" s="328"/>
      <c r="F39" s="329"/>
      <c r="G39" s="329"/>
      <c r="H39" s="329"/>
    </row>
    <row r="40" spans="1:17" ht="13.5" thickBot="1" x14ac:dyDescent="0.25">
      <c r="A40" s="387"/>
      <c r="B40" s="370"/>
      <c r="C40" s="370"/>
      <c r="D40" s="328"/>
      <c r="E40" s="328"/>
      <c r="F40" s="328"/>
      <c r="G40" s="328"/>
      <c r="H40" s="328"/>
      <c r="I40" s="88"/>
      <c r="J40" s="88"/>
      <c r="K40" s="88"/>
      <c r="L40" s="88"/>
      <c r="M40" s="88"/>
      <c r="N40" s="88"/>
      <c r="O40" s="88"/>
      <c r="P40" s="88"/>
      <c r="Q40" s="88"/>
    </row>
    <row r="41" spans="1:17" ht="13.5" thickBot="1" x14ac:dyDescent="0.25">
      <c r="A41" s="1195" t="s">
        <v>1080</v>
      </c>
      <c r="B41" s="1176" t="s">
        <v>1053</v>
      </c>
      <c r="C41" s="1177"/>
      <c r="D41" s="1178"/>
      <c r="E41" s="1176" t="s">
        <v>1090</v>
      </c>
      <c r="F41" s="1177"/>
      <c r="G41" s="1178"/>
      <c r="H41" s="1176" t="s">
        <v>1091</v>
      </c>
      <c r="I41" s="1177"/>
      <c r="J41" s="1178"/>
      <c r="K41" s="1176" t="s">
        <v>1092</v>
      </c>
      <c r="L41" s="1193"/>
      <c r="M41" s="1194"/>
      <c r="N41" s="1176" t="s">
        <v>543</v>
      </c>
      <c r="O41" s="1193"/>
      <c r="P41" s="1194"/>
      <c r="Q41" s="88"/>
    </row>
    <row r="42" spans="1:17" ht="13.5" thickBot="1" x14ac:dyDescent="0.25">
      <c r="A42" s="1196"/>
      <c r="B42" s="372" t="s">
        <v>1081</v>
      </c>
      <c r="C42" s="373" t="s">
        <v>1082</v>
      </c>
      <c r="D42" s="374" t="s">
        <v>1083</v>
      </c>
      <c r="E42" s="372" t="s">
        <v>1081</v>
      </c>
      <c r="F42" s="373" t="s">
        <v>1082</v>
      </c>
      <c r="G42" s="374" t="s">
        <v>1083</v>
      </c>
      <c r="H42" s="372" t="s">
        <v>1081</v>
      </c>
      <c r="I42" s="373" t="s">
        <v>1082</v>
      </c>
      <c r="J42" s="374" t="s">
        <v>1083</v>
      </c>
      <c r="K42" s="372" t="s">
        <v>1081</v>
      </c>
      <c r="L42" s="373" t="s">
        <v>1082</v>
      </c>
      <c r="M42" s="374" t="s">
        <v>1083</v>
      </c>
      <c r="N42" s="372" t="s">
        <v>1081</v>
      </c>
      <c r="O42" s="373" t="s">
        <v>1082</v>
      </c>
      <c r="P42" s="374" t="s">
        <v>1083</v>
      </c>
      <c r="Q42" s="88"/>
    </row>
    <row r="43" spans="1:17" x14ac:dyDescent="0.2">
      <c r="A43" s="375" t="s">
        <v>1084</v>
      </c>
      <c r="B43" s="376">
        <v>0.03</v>
      </c>
      <c r="C43" s="377">
        <v>0.04</v>
      </c>
      <c r="D43" s="378">
        <v>5.5E-2</v>
      </c>
      <c r="E43" s="376">
        <v>9.7000000000000003E-3</v>
      </c>
      <c r="F43" s="377">
        <v>1.2699999999999999E-2</v>
      </c>
      <c r="G43" s="378">
        <v>1.2699999999999999E-2</v>
      </c>
      <c r="H43" s="376">
        <v>8.0000000000000002E-3</v>
      </c>
      <c r="I43" s="377">
        <v>8.0000000000000002E-3</v>
      </c>
      <c r="J43" s="378">
        <v>0.01</v>
      </c>
      <c r="K43" s="376">
        <v>5.8999999999999999E-3</v>
      </c>
      <c r="L43" s="377">
        <v>1.23E-2</v>
      </c>
      <c r="M43" s="378">
        <v>1.3899999999999999E-2</v>
      </c>
      <c r="N43" s="376">
        <v>6.1600000000000002E-2</v>
      </c>
      <c r="O43" s="377">
        <v>7.3999999999999996E-2</v>
      </c>
      <c r="P43" s="378">
        <v>8.9599999999999999E-2</v>
      </c>
      <c r="Q43" s="88"/>
    </row>
    <row r="44" spans="1:17" x14ac:dyDescent="0.2">
      <c r="A44" s="379" t="s">
        <v>1085</v>
      </c>
      <c r="B44" s="380">
        <v>3.7999999999999999E-2</v>
      </c>
      <c r="C44" s="381">
        <v>4.0099999999999997E-2</v>
      </c>
      <c r="D44" s="382">
        <v>4.6699999999999998E-2</v>
      </c>
      <c r="E44" s="380">
        <v>5.0000000000000001E-3</v>
      </c>
      <c r="F44" s="381">
        <v>5.5999999999999999E-3</v>
      </c>
      <c r="G44" s="382">
        <v>9.7000000000000003E-3</v>
      </c>
      <c r="H44" s="380">
        <v>3.2000000000000002E-3</v>
      </c>
      <c r="I44" s="381">
        <v>4.0000000000000001E-3</v>
      </c>
      <c r="J44" s="382">
        <v>7.4000000000000003E-3</v>
      </c>
      <c r="K44" s="380">
        <v>1.0200000000000001E-2</v>
      </c>
      <c r="L44" s="381">
        <v>1.11E-2</v>
      </c>
      <c r="M44" s="382">
        <v>1.21E-2</v>
      </c>
      <c r="N44" s="380">
        <v>6.6400000000000001E-2</v>
      </c>
      <c r="O44" s="381">
        <v>7.2999999999999995E-2</v>
      </c>
      <c r="P44" s="382">
        <v>8.6900000000000005E-2</v>
      </c>
      <c r="Q44" s="88"/>
    </row>
    <row r="45" spans="1:17" ht="38.25" x14ac:dyDescent="0.2">
      <c r="A45" s="379" t="s">
        <v>1086</v>
      </c>
      <c r="B45" s="380">
        <v>3.4299999999999997E-2</v>
      </c>
      <c r="C45" s="381">
        <v>4.9299999999999997E-2</v>
      </c>
      <c r="D45" s="382">
        <v>6.7100000000000007E-2</v>
      </c>
      <c r="E45" s="380">
        <v>0.01</v>
      </c>
      <c r="F45" s="381">
        <v>1.3899999999999999E-2</v>
      </c>
      <c r="G45" s="382">
        <v>1.7399999999999999E-2</v>
      </c>
      <c r="H45" s="380">
        <v>2.8E-3</v>
      </c>
      <c r="I45" s="381">
        <v>4.8999999999999998E-3</v>
      </c>
      <c r="J45" s="382">
        <v>7.4999999999999997E-3</v>
      </c>
      <c r="K45" s="380">
        <v>9.4000000000000004E-3</v>
      </c>
      <c r="L45" s="381">
        <v>9.9000000000000008E-3</v>
      </c>
      <c r="M45" s="382">
        <v>1.17E-2</v>
      </c>
      <c r="N45" s="380">
        <v>6.7400000000000002E-2</v>
      </c>
      <c r="O45" s="381">
        <v>8.0399999999999999E-2</v>
      </c>
      <c r="P45" s="382">
        <v>9.4E-2</v>
      </c>
      <c r="Q45" s="88"/>
    </row>
    <row r="46" spans="1:17" ht="38.25" x14ac:dyDescent="0.2">
      <c r="A46" s="379" t="s">
        <v>1087</v>
      </c>
      <c r="B46" s="380">
        <v>5.2900000000000003E-2</v>
      </c>
      <c r="C46" s="381">
        <v>5.9200000000000003E-2</v>
      </c>
      <c r="D46" s="382">
        <v>7.9299999999999995E-2</v>
      </c>
      <c r="E46" s="380">
        <v>0.01</v>
      </c>
      <c r="F46" s="381">
        <v>1.4800000000000001E-2</v>
      </c>
      <c r="G46" s="382">
        <v>1.9699999999999999E-2</v>
      </c>
      <c r="H46" s="380">
        <v>2.5000000000000001E-3</v>
      </c>
      <c r="I46" s="381">
        <v>5.1000000000000004E-3</v>
      </c>
      <c r="J46" s="382">
        <v>5.5999999999999999E-3</v>
      </c>
      <c r="K46" s="380">
        <v>1.01E-2</v>
      </c>
      <c r="L46" s="381">
        <v>1.0699999999999999E-2</v>
      </c>
      <c r="M46" s="382">
        <v>1.11E-2</v>
      </c>
      <c r="N46" s="380">
        <v>0.08</v>
      </c>
      <c r="O46" s="381">
        <v>8.3099999999999993E-2</v>
      </c>
      <c r="P46" s="382">
        <v>9.5100000000000004E-2</v>
      </c>
      <c r="Q46" s="88"/>
    </row>
    <row r="47" spans="1:17" ht="13.5" thickBot="1" x14ac:dyDescent="0.25">
      <c r="A47" s="383" t="s">
        <v>1088</v>
      </c>
      <c r="B47" s="384">
        <v>0.04</v>
      </c>
      <c r="C47" s="385">
        <v>5.5199999999999999E-2</v>
      </c>
      <c r="D47" s="386">
        <v>7.85E-2</v>
      </c>
      <c r="E47" s="384">
        <v>1.46E-2</v>
      </c>
      <c r="F47" s="385">
        <v>2.3199999999999998E-2</v>
      </c>
      <c r="G47" s="386">
        <v>3.1600000000000003E-2</v>
      </c>
      <c r="H47" s="384">
        <v>8.0999999999999996E-3</v>
      </c>
      <c r="I47" s="385">
        <v>1.2200000000000001E-2</v>
      </c>
      <c r="J47" s="386">
        <v>1.9900000000000001E-2</v>
      </c>
      <c r="K47" s="384">
        <v>9.4000000000000004E-3</v>
      </c>
      <c r="L47" s="385">
        <v>1.0200000000000001E-2</v>
      </c>
      <c r="M47" s="386">
        <v>1.3299999999999999E-2</v>
      </c>
      <c r="N47" s="384">
        <v>7.1400000000000005E-2</v>
      </c>
      <c r="O47" s="385">
        <v>8.4000000000000005E-2</v>
      </c>
      <c r="P47" s="386">
        <v>0.1043</v>
      </c>
      <c r="Q47" s="88"/>
    </row>
    <row r="48" spans="1:17" x14ac:dyDescent="0.2">
      <c r="A48" s="370"/>
      <c r="B48" s="370"/>
      <c r="C48" s="370"/>
      <c r="D48" s="328"/>
      <c r="E48" s="328"/>
      <c r="F48" s="329"/>
      <c r="G48" s="329"/>
      <c r="H48" s="329"/>
    </row>
    <row r="49" spans="1:36" ht="13.5" thickBot="1" x14ac:dyDescent="0.25">
      <c r="A49" s="370"/>
      <c r="B49" s="370"/>
      <c r="C49" s="370"/>
      <c r="D49" s="328"/>
      <c r="E49" s="328"/>
      <c r="F49" s="329"/>
      <c r="G49" s="329"/>
      <c r="H49" s="329"/>
    </row>
    <row r="50" spans="1:36" ht="13.5" thickBot="1" x14ac:dyDescent="0.25">
      <c r="A50" s="1176" t="s">
        <v>1093</v>
      </c>
      <c r="B50" s="1183"/>
      <c r="C50" s="1183"/>
      <c r="D50" s="1184"/>
      <c r="E50" s="328"/>
      <c r="F50" s="329"/>
      <c r="G50" s="329"/>
    </row>
    <row r="51" spans="1:36" ht="13.5" thickBot="1" x14ac:dyDescent="0.25">
      <c r="A51" s="391" t="s">
        <v>1094</v>
      </c>
      <c r="B51" s="392" t="s">
        <v>1081</v>
      </c>
      <c r="C51" s="393" t="s">
        <v>1082</v>
      </c>
      <c r="D51" s="394" t="s">
        <v>1083</v>
      </c>
      <c r="E51" s="328"/>
      <c r="F51" s="329"/>
      <c r="G51" s="329"/>
    </row>
    <row r="52" spans="1:36" x14ac:dyDescent="0.2">
      <c r="A52" s="375" t="s">
        <v>1053</v>
      </c>
      <c r="B52" s="376">
        <v>1.4999999999999999E-2</v>
      </c>
      <c r="C52" s="377">
        <v>3.4500000000000003E-2</v>
      </c>
      <c r="D52" s="378">
        <v>4.4900000000000002E-2</v>
      </c>
      <c r="E52" s="328"/>
      <c r="F52" s="329"/>
      <c r="G52" s="329"/>
    </row>
    <row r="53" spans="1:36" x14ac:dyDescent="0.2">
      <c r="A53" s="379" t="s">
        <v>1091</v>
      </c>
      <c r="B53" s="380">
        <v>3.0000000000000001E-3</v>
      </c>
      <c r="C53" s="381">
        <v>4.7999999999999996E-3</v>
      </c>
      <c r="D53" s="382">
        <v>8.2000000000000007E-3</v>
      </c>
      <c r="E53" s="328"/>
      <c r="F53" s="329"/>
      <c r="G53" s="329"/>
    </row>
    <row r="54" spans="1:36" x14ac:dyDescent="0.2">
      <c r="A54" s="379" t="s">
        <v>1090</v>
      </c>
      <c r="B54" s="380">
        <v>5.5999999999999999E-3</v>
      </c>
      <c r="C54" s="381">
        <v>8.5000000000000006E-3</v>
      </c>
      <c r="D54" s="382">
        <v>8.8999999999999999E-3</v>
      </c>
      <c r="E54" s="328"/>
      <c r="F54" s="329"/>
      <c r="G54" s="329"/>
    </row>
    <row r="55" spans="1:36" x14ac:dyDescent="0.2">
      <c r="A55" s="379" t="s">
        <v>1092</v>
      </c>
      <c r="B55" s="380">
        <v>8.5000000000000006E-3</v>
      </c>
      <c r="C55" s="381">
        <v>8.5000000000000006E-3</v>
      </c>
      <c r="D55" s="382">
        <v>1.11E-2</v>
      </c>
      <c r="E55" s="328"/>
      <c r="F55" s="329"/>
      <c r="G55" s="329"/>
    </row>
    <row r="56" spans="1:36" ht="13.5" thickBot="1" x14ac:dyDescent="0.25">
      <c r="A56" s="383" t="s">
        <v>543</v>
      </c>
      <c r="B56" s="384">
        <v>3.5000000000000003E-2</v>
      </c>
      <c r="C56" s="385">
        <v>5.11E-2</v>
      </c>
      <c r="D56" s="386">
        <v>6.2199999999999998E-2</v>
      </c>
      <c r="E56" s="328"/>
      <c r="F56" s="329"/>
      <c r="G56" s="329"/>
    </row>
    <row r="57" spans="1:36" x14ac:dyDescent="0.2">
      <c r="A57" s="370"/>
      <c r="B57" s="370"/>
      <c r="C57" s="395"/>
      <c r="D57" s="328"/>
      <c r="E57" s="396"/>
      <c r="F57" s="329"/>
      <c r="G57" s="329"/>
      <c r="H57" s="329"/>
    </row>
    <row r="58" spans="1:36" ht="13.5" thickBot="1" x14ac:dyDescent="0.25">
      <c r="A58" s="370"/>
      <c r="B58" s="370"/>
      <c r="C58" s="370"/>
      <c r="D58" s="328"/>
      <c r="E58" s="328"/>
      <c r="F58" s="329"/>
      <c r="G58" s="329"/>
      <c r="H58" s="329"/>
    </row>
    <row r="59" spans="1:36" ht="13.5" thickBot="1" x14ac:dyDescent="0.25">
      <c r="A59" s="1176" t="s">
        <v>1095</v>
      </c>
      <c r="B59" s="1183"/>
      <c r="C59" s="1183"/>
      <c r="D59" s="1184"/>
      <c r="E59" s="328"/>
      <c r="F59" s="329"/>
      <c r="G59" s="329"/>
      <c r="H59" s="329"/>
    </row>
    <row r="60" spans="1:36" ht="13.5" thickBot="1" x14ac:dyDescent="0.25">
      <c r="A60" s="397" t="s">
        <v>1080</v>
      </c>
      <c r="B60" s="372" t="s">
        <v>1081</v>
      </c>
      <c r="C60" s="373" t="s">
        <v>1082</v>
      </c>
      <c r="D60" s="374" t="s">
        <v>1083</v>
      </c>
      <c r="E60" s="328"/>
      <c r="F60" s="329"/>
      <c r="G60" s="329"/>
      <c r="H60" s="329"/>
    </row>
    <row r="61" spans="1:36" x14ac:dyDescent="0.2">
      <c r="A61" s="375" t="s">
        <v>1084</v>
      </c>
      <c r="B61" s="376">
        <v>3.49E-2</v>
      </c>
      <c r="C61" s="377">
        <v>6.2300000000000001E-2</v>
      </c>
      <c r="D61" s="378">
        <v>8.8700000000000001E-2</v>
      </c>
      <c r="E61" s="328"/>
      <c r="F61" s="329"/>
      <c r="G61" s="329"/>
      <c r="H61" s="329"/>
    </row>
    <row r="62" spans="1:36" x14ac:dyDescent="0.2">
      <c r="A62" s="379" t="s">
        <v>1085</v>
      </c>
      <c r="B62" s="380">
        <v>1.9800000000000002E-2</v>
      </c>
      <c r="C62" s="381">
        <v>6.9900000000000004E-2</v>
      </c>
      <c r="D62" s="382">
        <v>0.10680000000000001</v>
      </c>
      <c r="E62" s="328"/>
      <c r="F62" s="329"/>
      <c r="G62" s="329"/>
      <c r="H62" s="329"/>
    </row>
    <row r="63" spans="1:36" ht="38.25" x14ac:dyDescent="0.2">
      <c r="A63" s="379" t="s">
        <v>1086</v>
      </c>
      <c r="B63" s="380">
        <v>4.1300000000000003E-2</v>
      </c>
      <c r="C63" s="381">
        <v>7.6399999999999996E-2</v>
      </c>
      <c r="D63" s="382">
        <v>0.1089</v>
      </c>
      <c r="E63" s="328"/>
      <c r="F63" s="329"/>
      <c r="G63" s="329"/>
      <c r="H63" s="329"/>
    </row>
    <row r="64" spans="1:36" ht="38.25" x14ac:dyDescent="0.2">
      <c r="A64" s="379" t="s">
        <v>1087</v>
      </c>
      <c r="B64" s="380">
        <v>1.8499999999999999E-2</v>
      </c>
      <c r="C64" s="381">
        <v>5.0500000000000003E-2</v>
      </c>
      <c r="D64" s="382">
        <v>7.4499999999999997E-2</v>
      </c>
      <c r="E64" s="328"/>
      <c r="F64" s="329"/>
      <c r="G64" s="329"/>
      <c r="H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</row>
    <row r="65" spans="1:36" ht="13.5" thickBot="1" x14ac:dyDescent="0.25">
      <c r="A65" s="383" t="s">
        <v>1088</v>
      </c>
      <c r="B65" s="384">
        <v>6.2300000000000001E-2</v>
      </c>
      <c r="C65" s="385">
        <v>7.4800000000000005E-2</v>
      </c>
      <c r="D65" s="386">
        <v>9.0899999999999995E-2</v>
      </c>
      <c r="E65" s="328"/>
      <c r="F65" s="329"/>
      <c r="G65" s="329"/>
      <c r="H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</row>
    <row r="66" spans="1:36" x14ac:dyDescent="0.2">
      <c r="A66" s="370"/>
      <c r="B66" s="370"/>
      <c r="C66" s="370"/>
      <c r="D66" s="328"/>
      <c r="E66" s="328"/>
      <c r="F66" s="329"/>
      <c r="G66" s="329"/>
      <c r="H66" s="329"/>
    </row>
    <row r="67" spans="1:36" x14ac:dyDescent="0.2">
      <c r="A67" s="1173" t="s">
        <v>1096</v>
      </c>
      <c r="B67" s="1174"/>
      <c r="C67" s="1174"/>
      <c r="D67" s="1175"/>
      <c r="E67" s="328"/>
      <c r="F67" s="329"/>
      <c r="G67" s="329"/>
      <c r="H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</row>
    <row r="68" spans="1:36" x14ac:dyDescent="0.2">
      <c r="A68" s="370"/>
      <c r="B68" s="370"/>
      <c r="C68" s="370"/>
      <c r="D68" s="328"/>
      <c r="E68" s="328"/>
      <c r="F68" s="329"/>
      <c r="G68" s="329"/>
      <c r="H68" s="329"/>
    </row>
    <row r="69" spans="1:36" x14ac:dyDescent="0.2">
      <c r="A69" s="398"/>
      <c r="B69" s="398"/>
      <c r="C69" s="398"/>
      <c r="D69" s="329"/>
      <c r="E69" s="329"/>
      <c r="F69" s="329"/>
      <c r="G69" s="329"/>
      <c r="H69" s="329"/>
    </row>
    <row r="70" spans="1:36" x14ac:dyDescent="0.2">
      <c r="A70" s="398"/>
      <c r="B70" s="398"/>
      <c r="C70" s="398"/>
      <c r="D70" s="329"/>
      <c r="E70" s="329"/>
      <c r="F70" s="329"/>
      <c r="G70" s="329"/>
      <c r="H70" s="329"/>
    </row>
    <row r="71" spans="1:36" x14ac:dyDescent="0.2">
      <c r="A71" s="398"/>
      <c r="B71" s="398"/>
      <c r="C71" s="398"/>
      <c r="D71" s="329"/>
      <c r="E71" s="329"/>
      <c r="F71" s="329"/>
      <c r="G71" s="329"/>
      <c r="H71" s="329"/>
    </row>
    <row r="72" spans="1:36" x14ac:dyDescent="0.2">
      <c r="A72" s="398"/>
      <c r="B72" s="398"/>
      <c r="C72" s="398"/>
      <c r="D72" s="329"/>
      <c r="E72" s="329"/>
      <c r="F72" s="329"/>
      <c r="G72" s="329"/>
      <c r="H72" s="329"/>
    </row>
    <row r="73" spans="1:36" x14ac:dyDescent="0.2">
      <c r="A73" s="398"/>
      <c r="B73" s="398"/>
      <c r="C73" s="398"/>
      <c r="D73" s="329"/>
      <c r="E73" s="329"/>
      <c r="F73" s="329"/>
      <c r="G73" s="329"/>
      <c r="H73" s="329"/>
    </row>
    <row r="74" spans="1:36" x14ac:dyDescent="0.2">
      <c r="A74" s="398"/>
      <c r="B74" s="398"/>
      <c r="C74" s="398"/>
      <c r="D74" s="329"/>
      <c r="E74" s="329"/>
      <c r="F74" s="329"/>
      <c r="G74" s="329"/>
      <c r="H74" s="329"/>
    </row>
    <row r="75" spans="1:36" x14ac:dyDescent="0.2">
      <c r="A75" s="398"/>
      <c r="B75" s="398"/>
      <c r="C75" s="398"/>
      <c r="D75" s="329"/>
      <c r="E75" s="329"/>
      <c r="F75" s="329"/>
      <c r="G75" s="329"/>
      <c r="H75" s="329"/>
    </row>
    <row r="76" spans="1:36" x14ac:dyDescent="0.2">
      <c r="A76" s="398"/>
      <c r="B76" s="398"/>
      <c r="C76" s="398"/>
      <c r="D76" s="329"/>
      <c r="E76" s="329"/>
      <c r="F76" s="329"/>
      <c r="G76" s="329"/>
      <c r="H76" s="329"/>
    </row>
    <row r="77" spans="1:36" x14ac:dyDescent="0.2">
      <c r="A77" s="398"/>
      <c r="B77" s="398"/>
      <c r="C77" s="398"/>
      <c r="D77" s="329"/>
      <c r="E77" s="329"/>
      <c r="F77" s="329"/>
      <c r="G77" s="329"/>
      <c r="H77" s="329"/>
    </row>
    <row r="78" spans="1:36" x14ac:dyDescent="0.2">
      <c r="A78" s="398"/>
      <c r="B78" s="398"/>
      <c r="C78" s="398"/>
      <c r="D78" s="329"/>
      <c r="E78" s="329"/>
      <c r="F78" s="329"/>
      <c r="G78" s="329"/>
      <c r="H78" s="329"/>
    </row>
    <row r="79" spans="1:36" x14ac:dyDescent="0.2">
      <c r="A79" s="398"/>
      <c r="B79" s="398"/>
      <c r="C79" s="398"/>
      <c r="D79" s="329"/>
      <c r="E79" s="329"/>
      <c r="F79" s="329"/>
      <c r="G79" s="329"/>
      <c r="H79" s="329"/>
    </row>
    <row r="80" spans="1:36" x14ac:dyDescent="0.2">
      <c r="A80" s="398"/>
      <c r="B80" s="398"/>
      <c r="C80" s="398"/>
      <c r="D80" s="329"/>
      <c r="E80" s="329"/>
      <c r="F80" s="329"/>
      <c r="G80" s="329"/>
      <c r="H80" s="329"/>
    </row>
    <row r="81" spans="1:8" x14ac:dyDescent="0.2">
      <c r="A81" s="398"/>
      <c r="B81" s="398"/>
      <c r="C81" s="398"/>
      <c r="D81" s="329"/>
      <c r="E81" s="329"/>
      <c r="F81" s="329"/>
      <c r="G81" s="329"/>
      <c r="H81" s="329"/>
    </row>
    <row r="82" spans="1:8" x14ac:dyDescent="0.2">
      <c r="A82" s="398"/>
      <c r="B82" s="398"/>
      <c r="C82" s="398"/>
      <c r="D82" s="329"/>
      <c r="E82" s="329"/>
      <c r="F82" s="329"/>
      <c r="G82" s="329"/>
      <c r="H82" s="329"/>
    </row>
    <row r="83" spans="1:8" x14ac:dyDescent="0.2">
      <c r="A83" s="398"/>
      <c r="B83" s="398"/>
      <c r="C83" s="398"/>
      <c r="D83" s="329"/>
      <c r="E83" s="329"/>
      <c r="F83" s="329"/>
      <c r="G83" s="329"/>
      <c r="H83" s="329"/>
    </row>
    <row r="84" spans="1:8" x14ac:dyDescent="0.2">
      <c r="A84" s="398"/>
      <c r="B84" s="398"/>
      <c r="C84" s="398"/>
      <c r="D84" s="329"/>
      <c r="E84" s="329"/>
      <c r="F84" s="329"/>
      <c r="G84" s="329"/>
      <c r="H84" s="329"/>
    </row>
    <row r="85" spans="1:8" x14ac:dyDescent="0.2">
      <c r="A85" s="398"/>
      <c r="B85" s="398"/>
      <c r="C85" s="398"/>
      <c r="D85" s="329"/>
      <c r="E85" s="329"/>
      <c r="F85" s="329"/>
      <c r="G85" s="329"/>
      <c r="H85" s="329"/>
    </row>
    <row r="86" spans="1:8" x14ac:dyDescent="0.2">
      <c r="A86" s="398"/>
      <c r="B86" s="398"/>
      <c r="C86" s="398"/>
      <c r="D86" s="329"/>
      <c r="E86" s="329"/>
      <c r="F86" s="329"/>
      <c r="G86" s="329"/>
      <c r="H86" s="329"/>
    </row>
    <row r="87" spans="1:8" x14ac:dyDescent="0.2">
      <c r="A87" s="398"/>
      <c r="B87" s="398"/>
      <c r="C87" s="398"/>
      <c r="D87" s="329"/>
      <c r="E87" s="329"/>
      <c r="F87" s="329"/>
      <c r="G87" s="329"/>
      <c r="H87" s="329"/>
    </row>
    <row r="88" spans="1:8" x14ac:dyDescent="0.2">
      <c r="A88" s="398"/>
      <c r="B88" s="398"/>
      <c r="C88" s="398"/>
      <c r="D88" s="329"/>
      <c r="E88" s="329"/>
      <c r="F88" s="329"/>
      <c r="G88" s="329"/>
      <c r="H88" s="329"/>
    </row>
    <row r="89" spans="1:8" x14ac:dyDescent="0.2">
      <c r="A89" s="398"/>
      <c r="B89" s="398"/>
      <c r="C89" s="398"/>
      <c r="D89" s="329"/>
      <c r="E89" s="329"/>
      <c r="F89" s="329"/>
      <c r="G89" s="329"/>
      <c r="H89" s="329"/>
    </row>
    <row r="90" spans="1:8" x14ac:dyDescent="0.2">
      <c r="A90" s="398"/>
      <c r="B90" s="398"/>
      <c r="C90" s="398"/>
      <c r="D90" s="329"/>
      <c r="E90" s="329"/>
      <c r="F90" s="329"/>
      <c r="G90" s="329"/>
      <c r="H90" s="329"/>
    </row>
    <row r="91" spans="1:8" x14ac:dyDescent="0.2">
      <c r="A91" s="398"/>
      <c r="B91" s="398"/>
      <c r="C91" s="398"/>
      <c r="D91" s="329"/>
      <c r="E91" s="329"/>
      <c r="F91" s="329"/>
      <c r="G91" s="329"/>
      <c r="H91" s="329"/>
    </row>
    <row r="92" spans="1:8" x14ac:dyDescent="0.2">
      <c r="A92" s="398"/>
      <c r="B92" s="398"/>
      <c r="C92" s="398"/>
      <c r="D92" s="329"/>
      <c r="E92" s="329"/>
      <c r="F92" s="329"/>
      <c r="G92" s="329"/>
      <c r="H92" s="329"/>
    </row>
    <row r="93" spans="1:8" x14ac:dyDescent="0.2">
      <c r="A93" s="398"/>
      <c r="B93" s="398"/>
      <c r="C93" s="398"/>
      <c r="D93" s="329"/>
      <c r="E93" s="329"/>
      <c r="F93" s="329"/>
      <c r="G93" s="329"/>
      <c r="H93" s="329"/>
    </row>
    <row r="94" spans="1:8" x14ac:dyDescent="0.2">
      <c r="A94" s="398"/>
      <c r="B94" s="398"/>
      <c r="C94" s="398"/>
      <c r="D94" s="329"/>
      <c r="E94" s="329"/>
      <c r="F94" s="329"/>
      <c r="G94" s="329"/>
      <c r="H94" s="329"/>
    </row>
    <row r="95" spans="1:8" x14ac:dyDescent="0.2">
      <c r="A95" s="398"/>
      <c r="B95" s="398"/>
      <c r="C95" s="398"/>
      <c r="D95" s="329"/>
      <c r="E95" s="329"/>
      <c r="F95" s="329"/>
      <c r="G95" s="329"/>
      <c r="H95" s="329"/>
    </row>
    <row r="96" spans="1:8" x14ac:dyDescent="0.2">
      <c r="A96" s="398"/>
      <c r="B96" s="398"/>
      <c r="C96" s="398"/>
      <c r="D96" s="329"/>
      <c r="E96" s="329"/>
      <c r="F96" s="329"/>
      <c r="G96" s="329"/>
      <c r="H96" s="329"/>
    </row>
    <row r="97" spans="1:8" x14ac:dyDescent="0.2">
      <c r="A97" s="398"/>
      <c r="B97" s="398"/>
      <c r="C97" s="398"/>
      <c r="D97" s="329"/>
      <c r="E97" s="329"/>
      <c r="F97" s="329"/>
      <c r="G97" s="329"/>
      <c r="H97" s="329"/>
    </row>
    <row r="98" spans="1:8" x14ac:dyDescent="0.2">
      <c r="A98" s="398"/>
      <c r="B98" s="398"/>
      <c r="C98" s="398"/>
      <c r="D98" s="329"/>
      <c r="E98" s="329"/>
      <c r="F98" s="329"/>
      <c r="G98" s="329"/>
      <c r="H98" s="329"/>
    </row>
    <row r="99" spans="1:8" x14ac:dyDescent="0.2">
      <c r="A99" s="398"/>
      <c r="B99" s="398"/>
      <c r="C99" s="398"/>
      <c r="D99" s="329"/>
      <c r="E99" s="329"/>
      <c r="F99" s="329"/>
      <c r="G99" s="329"/>
      <c r="H99" s="329"/>
    </row>
    <row r="100" spans="1:8" x14ac:dyDescent="0.2">
      <c r="A100" s="398"/>
      <c r="B100" s="398"/>
      <c r="C100" s="398"/>
      <c r="D100" s="329"/>
      <c r="E100" s="329"/>
      <c r="F100" s="329"/>
      <c r="G100" s="329"/>
      <c r="H100" s="329"/>
    </row>
    <row r="101" spans="1:8" x14ac:dyDescent="0.2">
      <c r="A101" s="398"/>
      <c r="B101" s="398"/>
      <c r="C101" s="398"/>
      <c r="D101" s="329"/>
      <c r="E101" s="329"/>
      <c r="F101" s="329"/>
      <c r="G101" s="329"/>
      <c r="H101" s="329"/>
    </row>
    <row r="102" spans="1:8" x14ac:dyDescent="0.2">
      <c r="A102" s="398"/>
      <c r="B102" s="398"/>
      <c r="C102" s="398"/>
      <c r="D102" s="329"/>
      <c r="E102" s="329"/>
      <c r="F102" s="329"/>
      <c r="G102" s="329"/>
      <c r="H102" s="329"/>
    </row>
    <row r="103" spans="1:8" x14ac:dyDescent="0.2">
      <c r="A103" s="398"/>
      <c r="B103" s="398"/>
      <c r="C103" s="398"/>
      <c r="D103" s="329"/>
      <c r="E103" s="329"/>
      <c r="F103" s="329"/>
      <c r="G103" s="329"/>
      <c r="H103" s="329"/>
    </row>
    <row r="104" spans="1:8" x14ac:dyDescent="0.2">
      <c r="A104" s="398"/>
      <c r="B104" s="398"/>
      <c r="C104" s="398"/>
      <c r="D104" s="329"/>
      <c r="E104" s="329"/>
      <c r="F104" s="329"/>
      <c r="G104" s="329"/>
      <c r="H104" s="329"/>
    </row>
    <row r="105" spans="1:8" x14ac:dyDescent="0.2">
      <c r="A105" s="398"/>
      <c r="B105" s="398"/>
      <c r="C105" s="398"/>
      <c r="D105" s="329"/>
      <c r="E105" s="329"/>
      <c r="F105" s="329"/>
      <c r="G105" s="329"/>
      <c r="H105" s="329"/>
    </row>
    <row r="106" spans="1:8" x14ac:dyDescent="0.2">
      <c r="A106" s="398"/>
      <c r="B106" s="398"/>
      <c r="C106" s="398"/>
      <c r="D106" s="329"/>
      <c r="E106" s="329"/>
      <c r="F106" s="329"/>
      <c r="G106" s="329"/>
      <c r="H106" s="329"/>
    </row>
    <row r="107" spans="1:8" x14ac:dyDescent="0.2">
      <c r="A107" s="398"/>
      <c r="B107" s="398"/>
      <c r="C107" s="398"/>
      <c r="D107" s="329"/>
      <c r="E107" s="329"/>
      <c r="F107" s="329"/>
      <c r="G107" s="329"/>
      <c r="H107" s="329"/>
    </row>
    <row r="108" spans="1:8" x14ac:dyDescent="0.2">
      <c r="A108" s="398"/>
      <c r="B108" s="398"/>
      <c r="C108" s="398"/>
      <c r="D108" s="329"/>
      <c r="E108" s="329"/>
      <c r="F108" s="329"/>
      <c r="G108" s="329"/>
      <c r="H108" s="329"/>
    </row>
    <row r="109" spans="1:8" x14ac:dyDescent="0.2">
      <c r="A109" s="398"/>
      <c r="B109" s="398"/>
      <c r="C109" s="398"/>
      <c r="D109" s="329"/>
      <c r="E109" s="329"/>
      <c r="F109" s="329"/>
      <c r="G109" s="329"/>
      <c r="H109" s="329"/>
    </row>
    <row r="110" spans="1:8" x14ac:dyDescent="0.2">
      <c r="A110" s="398"/>
      <c r="B110" s="398"/>
      <c r="C110" s="398"/>
      <c r="D110" s="329"/>
      <c r="E110" s="329"/>
      <c r="F110" s="329"/>
      <c r="G110" s="329"/>
      <c r="H110" s="329"/>
    </row>
    <row r="111" spans="1:8" x14ac:dyDescent="0.2">
      <c r="A111" s="398"/>
      <c r="B111" s="398"/>
      <c r="C111" s="398"/>
      <c r="D111" s="329"/>
      <c r="E111" s="329"/>
      <c r="F111" s="329"/>
      <c r="G111" s="329"/>
      <c r="H111" s="329"/>
    </row>
    <row r="112" spans="1:8" x14ac:dyDescent="0.2">
      <c r="A112" s="398"/>
      <c r="B112" s="398"/>
      <c r="C112" s="398"/>
      <c r="D112" s="329"/>
      <c r="E112" s="329"/>
      <c r="F112" s="329"/>
      <c r="G112" s="329"/>
      <c r="H112" s="329"/>
    </row>
    <row r="113" spans="1:8" x14ac:dyDescent="0.2">
      <c r="A113" s="398"/>
      <c r="B113" s="398"/>
      <c r="C113" s="398"/>
      <c r="D113" s="329"/>
      <c r="E113" s="329"/>
      <c r="F113" s="329"/>
      <c r="G113" s="329"/>
      <c r="H113" s="329"/>
    </row>
    <row r="114" spans="1:8" x14ac:dyDescent="0.2">
      <c r="A114" s="398"/>
      <c r="B114" s="398"/>
      <c r="C114" s="398"/>
      <c r="D114" s="329"/>
      <c r="E114" s="329"/>
      <c r="F114" s="329"/>
      <c r="G114" s="329"/>
      <c r="H114" s="329"/>
    </row>
    <row r="115" spans="1:8" x14ac:dyDescent="0.2">
      <c r="A115" s="398"/>
      <c r="B115" s="398"/>
      <c r="C115" s="398"/>
      <c r="D115" s="329"/>
      <c r="E115" s="329"/>
      <c r="F115" s="329"/>
      <c r="G115" s="329"/>
      <c r="H115" s="329"/>
    </row>
    <row r="116" spans="1:8" x14ac:dyDescent="0.2">
      <c r="A116" s="398"/>
      <c r="B116" s="398"/>
      <c r="C116" s="398"/>
      <c r="D116" s="329"/>
      <c r="E116" s="329"/>
      <c r="F116" s="329"/>
      <c r="G116" s="329"/>
      <c r="H116" s="329"/>
    </row>
    <row r="117" spans="1:8" x14ac:dyDescent="0.2">
      <c r="A117" s="398"/>
      <c r="B117" s="398"/>
      <c r="C117" s="398"/>
      <c r="D117" s="329"/>
      <c r="E117" s="329"/>
      <c r="F117" s="329"/>
      <c r="G117" s="329"/>
      <c r="H117" s="329"/>
    </row>
    <row r="118" spans="1:8" x14ac:dyDescent="0.2">
      <c r="A118" s="398"/>
      <c r="B118" s="398"/>
      <c r="C118" s="398"/>
      <c r="D118" s="329"/>
      <c r="E118" s="329"/>
      <c r="F118" s="329"/>
      <c r="G118" s="329"/>
      <c r="H118" s="329"/>
    </row>
    <row r="119" spans="1:8" x14ac:dyDescent="0.2">
      <c r="A119" s="398"/>
      <c r="B119" s="398"/>
      <c r="C119" s="398"/>
      <c r="D119" s="329"/>
      <c r="E119" s="329"/>
      <c r="F119" s="329"/>
      <c r="G119" s="329"/>
      <c r="H119" s="329"/>
    </row>
    <row r="120" spans="1:8" x14ac:dyDescent="0.2">
      <c r="A120" s="398"/>
      <c r="B120" s="398"/>
      <c r="C120" s="398"/>
      <c r="D120" s="329"/>
      <c r="E120" s="329"/>
      <c r="F120" s="329"/>
      <c r="G120" s="329"/>
      <c r="H120" s="329"/>
    </row>
    <row r="121" spans="1:8" x14ac:dyDescent="0.2">
      <c r="A121" s="398"/>
      <c r="B121" s="398"/>
      <c r="C121" s="398"/>
      <c r="D121" s="329"/>
      <c r="E121" s="329"/>
      <c r="F121" s="329"/>
      <c r="G121" s="329"/>
      <c r="H121" s="329"/>
    </row>
    <row r="122" spans="1:8" x14ac:dyDescent="0.2">
      <c r="A122" s="398"/>
      <c r="B122" s="398"/>
      <c r="C122" s="398"/>
      <c r="D122" s="329"/>
      <c r="E122" s="329"/>
      <c r="F122" s="329"/>
      <c r="G122" s="329"/>
      <c r="H122" s="329"/>
    </row>
    <row r="123" spans="1:8" x14ac:dyDescent="0.2">
      <c r="A123" s="398"/>
      <c r="B123" s="398"/>
      <c r="C123" s="398"/>
      <c r="D123" s="329"/>
      <c r="E123" s="329"/>
      <c r="F123" s="329"/>
      <c r="G123" s="329"/>
      <c r="H123" s="329"/>
    </row>
    <row r="124" spans="1:8" x14ac:dyDescent="0.2">
      <c r="A124" s="398"/>
      <c r="B124" s="398"/>
      <c r="C124" s="398"/>
      <c r="D124" s="329"/>
      <c r="E124" s="329"/>
      <c r="F124" s="329"/>
      <c r="G124" s="329"/>
      <c r="H124" s="329"/>
    </row>
    <row r="125" spans="1:8" x14ac:dyDescent="0.2">
      <c r="A125" s="398"/>
      <c r="B125" s="398"/>
      <c r="C125" s="398"/>
      <c r="D125" s="329"/>
      <c r="E125" s="329"/>
      <c r="F125" s="329"/>
      <c r="G125" s="329"/>
      <c r="H125" s="329"/>
    </row>
    <row r="126" spans="1:8" x14ac:dyDescent="0.2">
      <c r="A126" s="398"/>
      <c r="B126" s="398"/>
      <c r="C126" s="398"/>
      <c r="D126" s="329"/>
      <c r="E126" s="329"/>
      <c r="F126" s="329"/>
      <c r="G126" s="329"/>
      <c r="H126" s="329"/>
    </row>
    <row r="127" spans="1:8" x14ac:dyDescent="0.2">
      <c r="A127" s="398"/>
      <c r="B127" s="398"/>
      <c r="C127" s="398"/>
      <c r="D127" s="329"/>
      <c r="E127" s="329"/>
      <c r="F127" s="329"/>
      <c r="G127" s="329"/>
      <c r="H127" s="329"/>
    </row>
    <row r="128" spans="1:8" x14ac:dyDescent="0.2">
      <c r="A128" s="398"/>
      <c r="B128" s="398"/>
      <c r="C128" s="398"/>
      <c r="D128" s="329"/>
      <c r="E128" s="329"/>
      <c r="F128" s="329"/>
      <c r="G128" s="329"/>
      <c r="H128" s="329"/>
    </row>
    <row r="129" spans="1:8" x14ac:dyDescent="0.2">
      <c r="A129" s="398"/>
      <c r="B129" s="398"/>
      <c r="C129" s="398"/>
      <c r="D129" s="329"/>
      <c r="E129" s="329"/>
      <c r="F129" s="329"/>
      <c r="G129" s="329"/>
      <c r="H129" s="329"/>
    </row>
    <row r="130" spans="1:8" x14ac:dyDescent="0.2">
      <c r="A130" s="398"/>
      <c r="B130" s="398"/>
      <c r="C130" s="398"/>
      <c r="D130" s="329"/>
      <c r="E130" s="329"/>
      <c r="F130" s="329"/>
      <c r="G130" s="329"/>
      <c r="H130" s="329"/>
    </row>
    <row r="131" spans="1:8" x14ac:dyDescent="0.2">
      <c r="A131" s="398"/>
      <c r="B131" s="398"/>
      <c r="C131" s="398"/>
      <c r="D131" s="329"/>
      <c r="E131" s="329"/>
      <c r="F131" s="329"/>
      <c r="G131" s="329"/>
      <c r="H131" s="329"/>
    </row>
    <row r="132" spans="1:8" x14ac:dyDescent="0.2">
      <c r="A132" s="398"/>
      <c r="B132" s="398"/>
      <c r="C132" s="398"/>
      <c r="D132" s="329"/>
      <c r="E132" s="329"/>
      <c r="F132" s="329"/>
      <c r="G132" s="329"/>
      <c r="H132" s="329"/>
    </row>
    <row r="133" spans="1:8" x14ac:dyDescent="0.2">
      <c r="A133" s="398"/>
      <c r="B133" s="398"/>
      <c r="C133" s="398"/>
      <c r="D133" s="329"/>
      <c r="E133" s="329"/>
      <c r="F133" s="329"/>
      <c r="G133" s="329"/>
      <c r="H133" s="329"/>
    </row>
    <row r="134" spans="1:8" x14ac:dyDescent="0.2">
      <c r="A134" s="398"/>
      <c r="B134" s="398"/>
      <c r="C134" s="398"/>
      <c r="D134" s="329"/>
      <c r="E134" s="329"/>
      <c r="F134" s="329"/>
      <c r="G134" s="329"/>
      <c r="H134" s="329"/>
    </row>
    <row r="135" spans="1:8" x14ac:dyDescent="0.2">
      <c r="A135" s="398"/>
      <c r="B135" s="398"/>
      <c r="C135" s="398"/>
      <c r="D135" s="329"/>
      <c r="E135" s="329"/>
      <c r="F135" s="329"/>
      <c r="G135" s="329"/>
      <c r="H135" s="329"/>
    </row>
    <row r="136" spans="1:8" x14ac:dyDescent="0.2">
      <c r="A136" s="398"/>
      <c r="B136" s="398"/>
      <c r="C136" s="398"/>
      <c r="D136" s="329"/>
      <c r="E136" s="329"/>
      <c r="F136" s="329"/>
      <c r="G136" s="329"/>
      <c r="H136" s="329"/>
    </row>
    <row r="137" spans="1:8" x14ac:dyDescent="0.2">
      <c r="A137" s="398"/>
      <c r="B137" s="398"/>
      <c r="C137" s="398"/>
      <c r="D137" s="329"/>
      <c r="E137" s="329"/>
      <c r="F137" s="329"/>
      <c r="G137" s="329"/>
      <c r="H137" s="329"/>
    </row>
    <row r="138" spans="1:8" x14ac:dyDescent="0.2">
      <c r="A138" s="398"/>
      <c r="B138" s="398"/>
      <c r="C138" s="398"/>
      <c r="D138" s="329"/>
      <c r="E138" s="329"/>
      <c r="F138" s="329"/>
      <c r="G138" s="329"/>
      <c r="H138" s="329"/>
    </row>
    <row r="139" spans="1:8" x14ac:dyDescent="0.2">
      <c r="A139" s="398"/>
      <c r="B139" s="398"/>
      <c r="C139" s="398"/>
      <c r="D139" s="329"/>
      <c r="E139" s="329"/>
      <c r="F139" s="329"/>
      <c r="G139" s="329"/>
      <c r="H139" s="329"/>
    </row>
    <row r="140" spans="1:8" x14ac:dyDescent="0.2">
      <c r="A140" s="398"/>
      <c r="B140" s="398"/>
      <c r="C140" s="398"/>
      <c r="D140" s="329"/>
      <c r="E140" s="329"/>
      <c r="F140" s="329"/>
      <c r="G140" s="329"/>
      <c r="H140" s="329"/>
    </row>
    <row r="141" spans="1:8" x14ac:dyDescent="0.2">
      <c r="A141" s="398"/>
      <c r="B141" s="398"/>
      <c r="C141" s="398"/>
      <c r="D141" s="329"/>
      <c r="E141" s="329"/>
      <c r="F141" s="329"/>
      <c r="G141" s="329"/>
      <c r="H141" s="329"/>
    </row>
    <row r="142" spans="1:8" x14ac:dyDescent="0.2">
      <c r="A142" s="398"/>
      <c r="B142" s="398"/>
      <c r="C142" s="398"/>
      <c r="D142" s="329"/>
      <c r="E142" s="329"/>
      <c r="F142" s="329"/>
      <c r="G142" s="329"/>
      <c r="H142" s="329"/>
    </row>
    <row r="143" spans="1:8" x14ac:dyDescent="0.2">
      <c r="A143" s="398"/>
      <c r="B143" s="398"/>
      <c r="C143" s="398"/>
      <c r="D143" s="329"/>
      <c r="E143" s="329"/>
      <c r="F143" s="329"/>
      <c r="G143" s="329"/>
      <c r="H143" s="329"/>
    </row>
    <row r="144" spans="1:8" x14ac:dyDescent="0.2">
      <c r="A144" s="398"/>
      <c r="B144" s="398"/>
      <c r="C144" s="398"/>
      <c r="D144" s="329"/>
      <c r="E144" s="329"/>
      <c r="F144" s="329"/>
      <c r="G144" s="329"/>
      <c r="H144" s="329"/>
    </row>
    <row r="145" spans="1:8" x14ac:dyDescent="0.2">
      <c r="A145" s="398"/>
      <c r="B145" s="398"/>
      <c r="C145" s="398"/>
      <c r="D145" s="329"/>
      <c r="E145" s="329"/>
      <c r="F145" s="329"/>
      <c r="G145" s="329"/>
      <c r="H145" s="329"/>
    </row>
    <row r="146" spans="1:8" x14ac:dyDescent="0.2">
      <c r="A146" s="398"/>
      <c r="B146" s="398"/>
      <c r="C146" s="398"/>
      <c r="D146" s="329"/>
      <c r="E146" s="329"/>
      <c r="F146" s="329"/>
      <c r="G146" s="329"/>
      <c r="H146" s="329"/>
    </row>
    <row r="147" spans="1:8" x14ac:dyDescent="0.2">
      <c r="A147" s="398"/>
      <c r="B147" s="398"/>
      <c r="C147" s="398"/>
      <c r="D147" s="329"/>
      <c r="E147" s="329"/>
      <c r="F147" s="329"/>
      <c r="G147" s="329"/>
      <c r="H147" s="329"/>
    </row>
    <row r="148" spans="1:8" x14ac:dyDescent="0.2">
      <c r="A148" s="398"/>
      <c r="B148" s="398"/>
      <c r="C148" s="398"/>
      <c r="D148" s="329"/>
      <c r="E148" s="329"/>
      <c r="F148" s="329"/>
      <c r="G148" s="329"/>
      <c r="H148" s="329"/>
    </row>
    <row r="149" spans="1:8" x14ac:dyDescent="0.2">
      <c r="A149" s="398"/>
      <c r="B149" s="398"/>
      <c r="C149" s="398"/>
      <c r="D149" s="329"/>
      <c r="E149" s="329"/>
      <c r="F149" s="329"/>
      <c r="G149" s="329"/>
      <c r="H149" s="329"/>
    </row>
    <row r="150" spans="1:8" x14ac:dyDescent="0.2">
      <c r="A150" s="398"/>
      <c r="B150" s="398"/>
      <c r="C150" s="398"/>
      <c r="D150" s="329"/>
      <c r="E150" s="329"/>
      <c r="F150" s="329"/>
      <c r="G150" s="329"/>
      <c r="H150" s="329"/>
    </row>
    <row r="151" spans="1:8" x14ac:dyDescent="0.2">
      <c r="A151" s="398"/>
      <c r="B151" s="398"/>
      <c r="C151" s="398"/>
      <c r="D151" s="329"/>
      <c r="E151" s="329"/>
      <c r="F151" s="329"/>
      <c r="G151" s="329"/>
      <c r="H151" s="329"/>
    </row>
    <row r="152" spans="1:8" x14ac:dyDescent="0.2">
      <c r="A152" s="398"/>
      <c r="B152" s="398"/>
      <c r="C152" s="398"/>
      <c r="D152" s="329"/>
      <c r="E152" s="329"/>
      <c r="F152" s="329"/>
      <c r="G152" s="329"/>
      <c r="H152" s="329"/>
    </row>
    <row r="153" spans="1:8" x14ac:dyDescent="0.2">
      <c r="A153" s="398"/>
      <c r="B153" s="398"/>
      <c r="C153" s="398"/>
      <c r="D153" s="329"/>
      <c r="E153" s="329"/>
      <c r="F153" s="329"/>
      <c r="G153" s="329"/>
      <c r="H153" s="329"/>
    </row>
    <row r="154" spans="1:8" x14ac:dyDescent="0.2">
      <c r="A154" s="398"/>
      <c r="B154" s="398"/>
      <c r="C154" s="398"/>
      <c r="D154" s="329"/>
      <c r="E154" s="329"/>
      <c r="F154" s="329"/>
      <c r="G154" s="329"/>
      <c r="H154" s="329"/>
    </row>
    <row r="155" spans="1:8" x14ac:dyDescent="0.2">
      <c r="A155" s="398"/>
      <c r="B155" s="398"/>
      <c r="C155" s="398"/>
      <c r="D155" s="329"/>
      <c r="E155" s="329"/>
      <c r="F155" s="329"/>
      <c r="G155" s="329"/>
      <c r="H155" s="329"/>
    </row>
    <row r="156" spans="1:8" x14ac:dyDescent="0.2">
      <c r="A156" s="398"/>
      <c r="B156" s="398"/>
      <c r="C156" s="398"/>
      <c r="D156" s="329"/>
      <c r="E156" s="329"/>
      <c r="F156" s="329"/>
      <c r="G156" s="329"/>
      <c r="H156" s="329"/>
    </row>
    <row r="157" spans="1:8" x14ac:dyDescent="0.2">
      <c r="A157" s="398"/>
      <c r="B157" s="398"/>
      <c r="C157" s="398"/>
      <c r="D157" s="329"/>
      <c r="E157" s="329"/>
      <c r="F157" s="329"/>
      <c r="G157" s="329"/>
      <c r="H157" s="329"/>
    </row>
    <row r="158" spans="1:8" x14ac:dyDescent="0.2">
      <c r="A158" s="398"/>
      <c r="B158" s="398"/>
      <c r="C158" s="398"/>
      <c r="D158" s="329"/>
      <c r="E158" s="329"/>
      <c r="F158" s="329"/>
      <c r="G158" s="329"/>
      <c r="H158" s="329"/>
    </row>
    <row r="159" spans="1:8" x14ac:dyDescent="0.2">
      <c r="A159" s="398"/>
      <c r="B159" s="398"/>
      <c r="C159" s="398"/>
      <c r="D159" s="329"/>
      <c r="E159" s="329"/>
      <c r="F159" s="329"/>
      <c r="G159" s="329"/>
      <c r="H159" s="329"/>
    </row>
    <row r="160" spans="1:8" x14ac:dyDescent="0.2">
      <c r="A160" s="398"/>
      <c r="B160" s="398"/>
      <c r="C160" s="398"/>
      <c r="D160" s="329"/>
      <c r="E160" s="329"/>
      <c r="F160" s="329"/>
      <c r="G160" s="329"/>
      <c r="H160" s="329"/>
    </row>
    <row r="161" spans="1:8" x14ac:dyDescent="0.2">
      <c r="A161" s="398"/>
      <c r="B161" s="398"/>
      <c r="C161" s="398"/>
      <c r="D161" s="329"/>
      <c r="E161" s="329"/>
      <c r="F161" s="329"/>
      <c r="G161" s="329"/>
      <c r="H161" s="329"/>
    </row>
    <row r="162" spans="1:8" x14ac:dyDescent="0.2">
      <c r="A162" s="398"/>
      <c r="B162" s="398"/>
      <c r="C162" s="398"/>
      <c r="D162" s="329"/>
      <c r="E162" s="329"/>
      <c r="F162" s="329"/>
      <c r="G162" s="329"/>
      <c r="H162" s="329"/>
    </row>
    <row r="163" spans="1:8" x14ac:dyDescent="0.2">
      <c r="A163" s="398"/>
      <c r="B163" s="398"/>
      <c r="C163" s="398"/>
      <c r="D163" s="329"/>
      <c r="E163" s="329"/>
      <c r="F163" s="329"/>
      <c r="G163" s="329"/>
      <c r="H163" s="329"/>
    </row>
    <row r="164" spans="1:8" x14ac:dyDescent="0.2">
      <c r="A164" s="398"/>
      <c r="B164" s="398"/>
      <c r="C164" s="398"/>
      <c r="D164" s="329"/>
      <c r="E164" s="329"/>
      <c r="F164" s="329"/>
      <c r="G164" s="329"/>
      <c r="H164" s="329"/>
    </row>
    <row r="165" spans="1:8" x14ac:dyDescent="0.2">
      <c r="A165" s="398"/>
      <c r="B165" s="398"/>
      <c r="C165" s="398"/>
      <c r="D165" s="329"/>
      <c r="E165" s="329"/>
      <c r="F165" s="329"/>
      <c r="G165" s="329"/>
      <c r="H165" s="329"/>
    </row>
    <row r="166" spans="1:8" x14ac:dyDescent="0.2">
      <c r="A166" s="398"/>
      <c r="B166" s="398"/>
      <c r="C166" s="398"/>
      <c r="D166" s="329"/>
      <c r="E166" s="329"/>
      <c r="F166" s="329"/>
      <c r="G166" s="329"/>
      <c r="H166" s="329"/>
    </row>
    <row r="167" spans="1:8" x14ac:dyDescent="0.2">
      <c r="A167" s="398"/>
      <c r="B167" s="398"/>
      <c r="C167" s="398"/>
      <c r="D167" s="329"/>
      <c r="E167" s="329"/>
      <c r="F167" s="329"/>
      <c r="G167" s="329"/>
      <c r="H167" s="329"/>
    </row>
    <row r="168" spans="1:8" x14ac:dyDescent="0.2">
      <c r="A168" s="398"/>
      <c r="B168" s="398"/>
      <c r="C168" s="398"/>
      <c r="D168" s="329"/>
      <c r="E168" s="329"/>
      <c r="F168" s="329"/>
      <c r="G168" s="329"/>
      <c r="H168" s="329"/>
    </row>
    <row r="169" spans="1:8" x14ac:dyDescent="0.2">
      <c r="A169" s="398"/>
      <c r="B169" s="398"/>
      <c r="C169" s="398"/>
      <c r="D169" s="329"/>
      <c r="E169" s="329"/>
      <c r="F169" s="329"/>
      <c r="G169" s="329"/>
      <c r="H169" s="329"/>
    </row>
    <row r="170" spans="1:8" x14ac:dyDescent="0.2">
      <c r="A170" s="398"/>
      <c r="B170" s="398"/>
      <c r="C170" s="398"/>
      <c r="D170" s="329"/>
      <c r="E170" s="329"/>
      <c r="F170" s="329"/>
      <c r="G170" s="329"/>
      <c r="H170" s="329"/>
    </row>
    <row r="171" spans="1:8" x14ac:dyDescent="0.2">
      <c r="A171" s="398"/>
      <c r="B171" s="398"/>
      <c r="C171" s="398"/>
      <c r="D171" s="329"/>
      <c r="E171" s="329"/>
      <c r="F171" s="329"/>
      <c r="G171" s="329"/>
      <c r="H171" s="329"/>
    </row>
    <row r="172" spans="1:8" x14ac:dyDescent="0.2">
      <c r="A172" s="398"/>
      <c r="B172" s="398"/>
      <c r="C172" s="398"/>
      <c r="D172" s="329"/>
      <c r="E172" s="329"/>
      <c r="F172" s="329"/>
      <c r="G172" s="329"/>
      <c r="H172" s="329"/>
    </row>
    <row r="173" spans="1:8" x14ac:dyDescent="0.2">
      <c r="A173" s="398"/>
      <c r="B173" s="398"/>
      <c r="C173" s="398"/>
      <c r="D173" s="329"/>
      <c r="E173" s="329"/>
      <c r="F173" s="329"/>
      <c r="G173" s="329"/>
      <c r="H173" s="329"/>
    </row>
    <row r="174" spans="1:8" x14ac:dyDescent="0.2">
      <c r="A174" s="398"/>
      <c r="B174" s="398"/>
      <c r="C174" s="398"/>
      <c r="D174" s="329"/>
      <c r="E174" s="329"/>
      <c r="F174" s="329"/>
      <c r="G174" s="329"/>
      <c r="H174" s="329"/>
    </row>
    <row r="175" spans="1:8" x14ac:dyDescent="0.2">
      <c r="A175" s="398"/>
      <c r="B175" s="398"/>
      <c r="C175" s="398"/>
      <c r="D175" s="329"/>
      <c r="E175" s="329"/>
      <c r="F175" s="329"/>
      <c r="G175" s="329"/>
      <c r="H175" s="329"/>
    </row>
    <row r="176" spans="1:8" x14ac:dyDescent="0.2">
      <c r="A176" s="398"/>
      <c r="B176" s="398"/>
      <c r="C176" s="398"/>
      <c r="D176" s="329"/>
      <c r="E176" s="329"/>
      <c r="F176" s="329"/>
      <c r="G176" s="329"/>
      <c r="H176" s="329"/>
    </row>
    <row r="177" spans="1:8" x14ac:dyDescent="0.2">
      <c r="A177" s="398"/>
      <c r="B177" s="398"/>
      <c r="C177" s="398"/>
      <c r="D177" s="329"/>
      <c r="E177" s="329"/>
      <c r="F177" s="329"/>
      <c r="G177" s="329"/>
      <c r="H177" s="329"/>
    </row>
    <row r="178" spans="1:8" x14ac:dyDescent="0.2">
      <c r="A178" s="398"/>
      <c r="B178" s="398"/>
      <c r="C178" s="398"/>
      <c r="D178" s="329"/>
      <c r="E178" s="329"/>
      <c r="F178" s="329"/>
      <c r="G178" s="329"/>
      <c r="H178" s="329"/>
    </row>
    <row r="179" spans="1:8" x14ac:dyDescent="0.2">
      <c r="A179" s="398"/>
      <c r="B179" s="398"/>
      <c r="C179" s="398"/>
      <c r="D179" s="329"/>
      <c r="E179" s="329"/>
      <c r="F179" s="329"/>
      <c r="G179" s="329"/>
      <c r="H179" s="329"/>
    </row>
    <row r="180" spans="1:8" x14ac:dyDescent="0.2">
      <c r="A180" s="398"/>
      <c r="B180" s="398"/>
      <c r="C180" s="398"/>
      <c r="D180" s="329"/>
      <c r="E180" s="329"/>
      <c r="F180" s="329"/>
      <c r="G180" s="329"/>
      <c r="H180" s="329"/>
    </row>
    <row r="181" spans="1:8" x14ac:dyDescent="0.2">
      <c r="A181" s="398"/>
      <c r="B181" s="398"/>
      <c r="C181" s="398"/>
      <c r="D181" s="329"/>
      <c r="E181" s="329"/>
      <c r="F181" s="329"/>
      <c r="G181" s="329"/>
      <c r="H181" s="329"/>
    </row>
    <row r="182" spans="1:8" x14ac:dyDescent="0.2">
      <c r="A182" s="398"/>
      <c r="B182" s="398"/>
      <c r="C182" s="398"/>
      <c r="D182" s="329"/>
      <c r="E182" s="329"/>
      <c r="F182" s="329"/>
      <c r="G182" s="329"/>
      <c r="H182" s="329"/>
    </row>
    <row r="183" spans="1:8" x14ac:dyDescent="0.2">
      <c r="A183" s="398"/>
      <c r="B183" s="398"/>
      <c r="C183" s="398"/>
      <c r="D183" s="329"/>
      <c r="E183" s="329"/>
      <c r="F183" s="329"/>
      <c r="G183" s="329"/>
      <c r="H183" s="329"/>
    </row>
    <row r="184" spans="1:8" x14ac:dyDescent="0.2">
      <c r="A184" s="398"/>
      <c r="B184" s="398"/>
      <c r="C184" s="398"/>
      <c r="D184" s="329"/>
      <c r="E184" s="329"/>
      <c r="F184" s="329"/>
      <c r="G184" s="329"/>
      <c r="H184" s="329"/>
    </row>
    <row r="185" spans="1:8" x14ac:dyDescent="0.2">
      <c r="A185" s="398"/>
      <c r="B185" s="398"/>
      <c r="C185" s="398"/>
      <c r="D185" s="329"/>
      <c r="E185" s="329"/>
      <c r="F185" s="329"/>
      <c r="G185" s="329"/>
      <c r="H185" s="329"/>
    </row>
    <row r="186" spans="1:8" x14ac:dyDescent="0.2">
      <c r="A186" s="398"/>
      <c r="B186" s="398"/>
      <c r="C186" s="398"/>
      <c r="D186" s="329"/>
      <c r="E186" s="329"/>
      <c r="F186" s="329"/>
      <c r="G186" s="329"/>
      <c r="H186" s="329"/>
    </row>
    <row r="187" spans="1:8" x14ac:dyDescent="0.2">
      <c r="A187" s="398"/>
      <c r="B187" s="398"/>
      <c r="C187" s="398"/>
      <c r="D187" s="329"/>
      <c r="E187" s="329"/>
      <c r="F187" s="329"/>
      <c r="G187" s="329"/>
      <c r="H187" s="329"/>
    </row>
    <row r="188" spans="1:8" x14ac:dyDescent="0.2">
      <c r="A188" s="398"/>
      <c r="B188" s="398"/>
      <c r="C188" s="398"/>
      <c r="D188" s="329"/>
      <c r="E188" s="329"/>
      <c r="F188" s="329"/>
      <c r="G188" s="329"/>
      <c r="H188" s="329"/>
    </row>
    <row r="189" spans="1:8" x14ac:dyDescent="0.2">
      <c r="A189" s="398"/>
      <c r="B189" s="398"/>
      <c r="C189" s="398"/>
      <c r="D189" s="329"/>
      <c r="E189" s="329"/>
      <c r="F189" s="329"/>
      <c r="G189" s="329"/>
      <c r="H189" s="329"/>
    </row>
    <row r="190" spans="1:8" x14ac:dyDescent="0.2">
      <c r="A190" s="398"/>
      <c r="B190" s="398"/>
      <c r="C190" s="398"/>
      <c r="D190" s="329"/>
      <c r="E190" s="329"/>
      <c r="F190" s="329"/>
      <c r="G190" s="329"/>
      <c r="H190" s="329"/>
    </row>
    <row r="191" spans="1:8" x14ac:dyDescent="0.2">
      <c r="A191" s="398"/>
      <c r="B191" s="398"/>
      <c r="C191" s="398"/>
      <c r="D191" s="329"/>
      <c r="E191" s="329"/>
      <c r="F191" s="329"/>
      <c r="G191" s="329"/>
      <c r="H191" s="329"/>
    </row>
    <row r="192" spans="1:8" x14ac:dyDescent="0.2">
      <c r="A192" s="398"/>
      <c r="B192" s="398"/>
      <c r="C192" s="398"/>
      <c r="D192" s="329"/>
      <c r="E192" s="329"/>
      <c r="F192" s="329"/>
      <c r="G192" s="329"/>
      <c r="H192" s="329"/>
    </row>
    <row r="193" spans="1:8" x14ac:dyDescent="0.2">
      <c r="A193" s="398"/>
      <c r="B193" s="398"/>
      <c r="C193" s="398"/>
      <c r="D193" s="329"/>
      <c r="E193" s="329"/>
      <c r="F193" s="329"/>
      <c r="G193" s="329"/>
      <c r="H193" s="329"/>
    </row>
    <row r="194" spans="1:8" x14ac:dyDescent="0.2">
      <c r="A194" s="398"/>
      <c r="B194" s="398"/>
      <c r="C194" s="398"/>
      <c r="D194" s="329"/>
      <c r="E194" s="329"/>
      <c r="F194" s="329"/>
      <c r="G194" s="329"/>
      <c r="H194" s="329"/>
    </row>
    <row r="195" spans="1:8" x14ac:dyDescent="0.2">
      <c r="A195" s="398"/>
      <c r="B195" s="398"/>
      <c r="C195" s="398"/>
      <c r="D195" s="329"/>
      <c r="E195" s="329"/>
      <c r="F195" s="329"/>
      <c r="G195" s="329"/>
      <c r="H195" s="329"/>
    </row>
    <row r="196" spans="1:8" x14ac:dyDescent="0.2">
      <c r="A196" s="398"/>
      <c r="B196" s="398"/>
      <c r="C196" s="398"/>
      <c r="D196" s="329"/>
      <c r="E196" s="329"/>
      <c r="F196" s="329"/>
      <c r="G196" s="329"/>
      <c r="H196" s="329"/>
    </row>
    <row r="197" spans="1:8" x14ac:dyDescent="0.2">
      <c r="A197" s="398"/>
      <c r="B197" s="398"/>
      <c r="C197" s="398"/>
      <c r="D197" s="329"/>
      <c r="E197" s="329"/>
      <c r="F197" s="329"/>
      <c r="G197" s="329"/>
      <c r="H197" s="329"/>
    </row>
    <row r="198" spans="1:8" x14ac:dyDescent="0.2">
      <c r="A198" s="398"/>
      <c r="B198" s="398"/>
      <c r="C198" s="398"/>
      <c r="D198" s="329"/>
      <c r="E198" s="329"/>
      <c r="F198" s="329"/>
      <c r="G198" s="329"/>
      <c r="H198" s="329"/>
    </row>
    <row r="199" spans="1:8" x14ac:dyDescent="0.2">
      <c r="A199" s="398"/>
      <c r="B199" s="398"/>
      <c r="C199" s="398"/>
      <c r="D199" s="329"/>
      <c r="E199" s="329"/>
      <c r="F199" s="329"/>
      <c r="G199" s="329"/>
      <c r="H199" s="329"/>
    </row>
    <row r="200" spans="1:8" x14ac:dyDescent="0.2">
      <c r="A200" s="398"/>
      <c r="B200" s="398"/>
      <c r="C200" s="398"/>
      <c r="D200" s="329"/>
      <c r="E200" s="329"/>
      <c r="F200" s="329"/>
      <c r="G200" s="329"/>
      <c r="H200" s="329"/>
    </row>
    <row r="201" spans="1:8" x14ac:dyDescent="0.2">
      <c r="A201" s="398"/>
      <c r="B201" s="398"/>
      <c r="C201" s="398"/>
      <c r="D201" s="329"/>
      <c r="E201" s="329"/>
      <c r="F201" s="329"/>
      <c r="G201" s="329"/>
      <c r="H201" s="329"/>
    </row>
    <row r="202" spans="1:8" x14ac:dyDescent="0.2">
      <c r="A202" s="398"/>
      <c r="B202" s="398"/>
      <c r="C202" s="398"/>
      <c r="D202" s="329"/>
      <c r="E202" s="329"/>
      <c r="F202" s="329"/>
      <c r="G202" s="329"/>
      <c r="H202" s="329"/>
    </row>
    <row r="203" spans="1:8" x14ac:dyDescent="0.2">
      <c r="A203" s="398"/>
      <c r="B203" s="398"/>
      <c r="C203" s="398"/>
      <c r="D203" s="329"/>
      <c r="E203" s="329"/>
      <c r="F203" s="329"/>
      <c r="G203" s="329"/>
      <c r="H203" s="329"/>
    </row>
    <row r="204" spans="1:8" x14ac:dyDescent="0.2">
      <c r="A204" s="398"/>
      <c r="B204" s="398"/>
      <c r="C204" s="398"/>
      <c r="D204" s="329"/>
      <c r="E204" s="329"/>
      <c r="F204" s="329"/>
      <c r="G204" s="329"/>
      <c r="H204" s="329"/>
    </row>
    <row r="205" spans="1:8" x14ac:dyDescent="0.2">
      <c r="A205" s="398"/>
      <c r="B205" s="398"/>
      <c r="C205" s="398"/>
      <c r="D205" s="329"/>
      <c r="E205" s="329"/>
      <c r="F205" s="329"/>
      <c r="G205" s="329"/>
      <c r="H205" s="329"/>
    </row>
    <row r="206" spans="1:8" x14ac:dyDescent="0.2">
      <c r="A206" s="398"/>
      <c r="B206" s="398"/>
      <c r="C206" s="398"/>
      <c r="D206" s="329"/>
      <c r="E206" s="329"/>
      <c r="F206" s="329"/>
      <c r="G206" s="329"/>
      <c r="H206" s="329"/>
    </row>
    <row r="207" spans="1:8" x14ac:dyDescent="0.2">
      <c r="A207" s="398"/>
      <c r="B207" s="398"/>
      <c r="C207" s="398"/>
      <c r="D207" s="329"/>
      <c r="E207" s="329"/>
      <c r="F207" s="329"/>
      <c r="G207" s="329"/>
      <c r="H207" s="329"/>
    </row>
    <row r="208" spans="1:8" x14ac:dyDescent="0.2">
      <c r="A208" s="398"/>
      <c r="B208" s="398"/>
      <c r="C208" s="398"/>
      <c r="D208" s="329"/>
      <c r="E208" s="329"/>
      <c r="F208" s="329"/>
      <c r="G208" s="329"/>
      <c r="H208" s="329"/>
    </row>
    <row r="209" spans="1:8" x14ac:dyDescent="0.2">
      <c r="A209" s="398"/>
      <c r="B209" s="398"/>
      <c r="C209" s="398"/>
      <c r="D209" s="329"/>
      <c r="E209" s="329"/>
      <c r="F209" s="329"/>
      <c r="G209" s="329"/>
      <c r="H209" s="329"/>
    </row>
    <row r="210" spans="1:8" x14ac:dyDescent="0.2">
      <c r="A210" s="398"/>
      <c r="B210" s="398"/>
      <c r="C210" s="398"/>
      <c r="D210" s="329"/>
      <c r="E210" s="329"/>
      <c r="F210" s="329"/>
      <c r="G210" s="329"/>
      <c r="H210" s="329"/>
    </row>
    <row r="211" spans="1:8" x14ac:dyDescent="0.2">
      <c r="A211" s="398"/>
      <c r="B211" s="398"/>
      <c r="C211" s="398"/>
      <c r="D211" s="329"/>
      <c r="E211" s="329"/>
      <c r="F211" s="329"/>
      <c r="G211" s="329"/>
      <c r="H211" s="329"/>
    </row>
    <row r="212" spans="1:8" x14ac:dyDescent="0.2">
      <c r="A212" s="398"/>
      <c r="B212" s="398"/>
      <c r="C212" s="398"/>
      <c r="D212" s="329"/>
      <c r="E212" s="329"/>
      <c r="F212" s="329"/>
      <c r="G212" s="329"/>
      <c r="H212" s="329"/>
    </row>
    <row r="213" spans="1:8" x14ac:dyDescent="0.2">
      <c r="A213" s="398"/>
      <c r="B213" s="398"/>
      <c r="C213" s="398"/>
      <c r="D213" s="329"/>
      <c r="E213" s="329"/>
      <c r="F213" s="329"/>
      <c r="G213" s="329"/>
      <c r="H213" s="329"/>
    </row>
    <row r="214" spans="1:8" x14ac:dyDescent="0.2">
      <c r="A214" s="398"/>
      <c r="B214" s="398"/>
      <c r="C214" s="398"/>
      <c r="D214" s="329"/>
      <c r="E214" s="329"/>
      <c r="F214" s="329"/>
      <c r="G214" s="329"/>
      <c r="H214" s="329"/>
    </row>
    <row r="215" spans="1:8" x14ac:dyDescent="0.2">
      <c r="A215" s="398"/>
      <c r="B215" s="398"/>
      <c r="C215" s="398"/>
      <c r="D215" s="329"/>
      <c r="E215" s="329"/>
      <c r="F215" s="329"/>
      <c r="G215" s="329"/>
      <c r="H215" s="329"/>
    </row>
    <row r="216" spans="1:8" x14ac:dyDescent="0.2">
      <c r="A216" s="398"/>
      <c r="B216" s="398"/>
      <c r="C216" s="398"/>
      <c r="D216" s="329"/>
      <c r="E216" s="329"/>
      <c r="F216" s="329"/>
      <c r="G216" s="329"/>
      <c r="H216" s="329"/>
    </row>
    <row r="217" spans="1:8" x14ac:dyDescent="0.2">
      <c r="A217" s="398"/>
      <c r="B217" s="398"/>
      <c r="C217" s="398"/>
      <c r="D217" s="329"/>
      <c r="E217" s="329"/>
      <c r="F217" s="329"/>
      <c r="G217" s="329"/>
      <c r="H217" s="329"/>
    </row>
    <row r="218" spans="1:8" x14ac:dyDescent="0.2">
      <c r="A218" s="398"/>
      <c r="B218" s="398"/>
      <c r="C218" s="398"/>
      <c r="D218" s="329"/>
      <c r="E218" s="329"/>
      <c r="F218" s="329"/>
      <c r="G218" s="329"/>
      <c r="H218" s="329"/>
    </row>
    <row r="219" spans="1:8" x14ac:dyDescent="0.2">
      <c r="A219" s="398"/>
      <c r="B219" s="398"/>
      <c r="C219" s="398"/>
      <c r="D219" s="329"/>
      <c r="E219" s="329"/>
      <c r="F219" s="329"/>
      <c r="G219" s="329"/>
      <c r="H219" s="329"/>
    </row>
    <row r="220" spans="1:8" x14ac:dyDescent="0.2">
      <c r="A220" s="398"/>
      <c r="B220" s="398"/>
      <c r="C220" s="398"/>
      <c r="D220" s="329"/>
      <c r="E220" s="329"/>
      <c r="F220" s="329"/>
      <c r="G220" s="329"/>
      <c r="H220" s="329"/>
    </row>
    <row r="221" spans="1:8" x14ac:dyDescent="0.2">
      <c r="A221" s="398"/>
      <c r="B221" s="398"/>
      <c r="C221" s="398"/>
      <c r="D221" s="329"/>
      <c r="E221" s="329"/>
      <c r="F221" s="329"/>
      <c r="G221" s="329"/>
      <c r="H221" s="329"/>
    </row>
    <row r="222" spans="1:8" x14ac:dyDescent="0.2">
      <c r="A222" s="398"/>
      <c r="B222" s="398"/>
      <c r="C222" s="398"/>
      <c r="D222" s="329"/>
      <c r="E222" s="329"/>
      <c r="F222" s="329"/>
      <c r="G222" s="329"/>
      <c r="H222" s="329"/>
    </row>
    <row r="223" spans="1:8" x14ac:dyDescent="0.2">
      <c r="A223" s="398"/>
      <c r="B223" s="398"/>
      <c r="C223" s="398"/>
      <c r="D223" s="329"/>
      <c r="E223" s="329"/>
      <c r="F223" s="329"/>
      <c r="G223" s="329"/>
      <c r="H223" s="329"/>
    </row>
    <row r="224" spans="1:8" x14ac:dyDescent="0.2">
      <c r="A224" s="398"/>
      <c r="B224" s="398"/>
      <c r="C224" s="398"/>
      <c r="D224" s="329"/>
      <c r="E224" s="329"/>
      <c r="F224" s="329"/>
      <c r="G224" s="329"/>
      <c r="H224" s="329"/>
    </row>
    <row r="225" spans="1:8" x14ac:dyDescent="0.2">
      <c r="A225" s="398"/>
      <c r="B225" s="398"/>
      <c r="C225" s="398"/>
      <c r="D225" s="329"/>
      <c r="E225" s="329"/>
      <c r="F225" s="329"/>
      <c r="G225" s="329"/>
      <c r="H225" s="329"/>
    </row>
    <row r="226" spans="1:8" x14ac:dyDescent="0.2">
      <c r="A226" s="398"/>
      <c r="B226" s="398"/>
      <c r="C226" s="398"/>
      <c r="D226" s="329"/>
      <c r="E226" s="329"/>
      <c r="F226" s="329"/>
      <c r="G226" s="329"/>
      <c r="H226" s="329"/>
    </row>
    <row r="227" spans="1:8" x14ac:dyDescent="0.2">
      <c r="A227" s="398"/>
      <c r="B227" s="398"/>
      <c r="C227" s="398"/>
      <c r="D227" s="329"/>
      <c r="E227" s="329"/>
      <c r="F227" s="329"/>
      <c r="G227" s="329"/>
      <c r="H227" s="329"/>
    </row>
    <row r="228" spans="1:8" x14ac:dyDescent="0.2">
      <c r="A228" s="398"/>
      <c r="B228" s="398"/>
      <c r="C228" s="398"/>
      <c r="D228" s="329"/>
      <c r="E228" s="329"/>
      <c r="F228" s="329"/>
      <c r="G228" s="329"/>
      <c r="H228" s="329"/>
    </row>
    <row r="229" spans="1:8" x14ac:dyDescent="0.2">
      <c r="A229" s="398"/>
      <c r="B229" s="398"/>
      <c r="C229" s="398"/>
      <c r="D229" s="329"/>
      <c r="E229" s="329"/>
      <c r="F229" s="329"/>
      <c r="G229" s="329"/>
      <c r="H229" s="329"/>
    </row>
    <row r="230" spans="1:8" x14ac:dyDescent="0.2">
      <c r="A230" s="398"/>
      <c r="B230" s="398"/>
      <c r="C230" s="398"/>
      <c r="D230" s="329"/>
      <c r="E230" s="329"/>
      <c r="F230" s="329"/>
      <c r="G230" s="329"/>
      <c r="H230" s="329"/>
    </row>
    <row r="231" spans="1:8" x14ac:dyDescent="0.2">
      <c r="A231" s="398"/>
      <c r="B231" s="398"/>
      <c r="C231" s="398"/>
      <c r="D231" s="329"/>
      <c r="E231" s="329"/>
      <c r="F231" s="329"/>
      <c r="G231" s="329"/>
      <c r="H231" s="329"/>
    </row>
    <row r="232" spans="1:8" x14ac:dyDescent="0.2">
      <c r="A232" s="398"/>
      <c r="B232" s="398"/>
      <c r="C232" s="398"/>
      <c r="D232" s="329"/>
      <c r="E232" s="329"/>
      <c r="F232" s="329"/>
      <c r="G232" s="329"/>
      <c r="H232" s="329"/>
    </row>
    <row r="233" spans="1:8" x14ac:dyDescent="0.2">
      <c r="A233" s="398"/>
      <c r="B233" s="398"/>
      <c r="C233" s="398"/>
      <c r="D233" s="329"/>
      <c r="E233" s="329"/>
      <c r="F233" s="329"/>
      <c r="G233" s="329"/>
      <c r="H233" s="329"/>
    </row>
    <row r="234" spans="1:8" x14ac:dyDescent="0.2">
      <c r="A234" s="398"/>
      <c r="B234" s="398"/>
      <c r="C234" s="398"/>
      <c r="D234" s="329"/>
      <c r="E234" s="329"/>
      <c r="F234" s="329"/>
      <c r="G234" s="329"/>
      <c r="H234" s="329"/>
    </row>
    <row r="235" spans="1:8" x14ac:dyDescent="0.2">
      <c r="A235" s="398"/>
      <c r="B235" s="398"/>
      <c r="C235" s="398"/>
      <c r="D235" s="329"/>
      <c r="E235" s="329"/>
      <c r="F235" s="329"/>
      <c r="G235" s="329"/>
      <c r="H235" s="329"/>
    </row>
    <row r="236" spans="1:8" x14ac:dyDescent="0.2">
      <c r="A236" s="398"/>
      <c r="B236" s="398"/>
      <c r="C236" s="398"/>
      <c r="D236" s="329"/>
      <c r="E236" s="329"/>
      <c r="F236" s="329"/>
      <c r="G236" s="329"/>
      <c r="H236" s="329"/>
    </row>
    <row r="237" spans="1:8" x14ac:dyDescent="0.2">
      <c r="A237" s="398"/>
      <c r="B237" s="398"/>
      <c r="C237" s="398"/>
      <c r="D237" s="329"/>
      <c r="E237" s="329"/>
      <c r="F237" s="329"/>
      <c r="G237" s="329"/>
      <c r="H237" s="329"/>
    </row>
    <row r="238" spans="1:8" x14ac:dyDescent="0.2">
      <c r="A238" s="398"/>
      <c r="B238" s="398"/>
      <c r="C238" s="398"/>
      <c r="D238" s="329"/>
      <c r="E238" s="329"/>
      <c r="F238" s="329"/>
      <c r="G238" s="329"/>
      <c r="H238" s="329"/>
    </row>
    <row r="239" spans="1:8" x14ac:dyDescent="0.2">
      <c r="A239" s="398"/>
      <c r="B239" s="398"/>
      <c r="C239" s="398"/>
      <c r="D239" s="329"/>
      <c r="E239" s="329"/>
      <c r="F239" s="329"/>
      <c r="G239" s="329"/>
      <c r="H239" s="329"/>
    </row>
    <row r="240" spans="1:8" x14ac:dyDescent="0.2">
      <c r="A240" s="398"/>
      <c r="B240" s="398"/>
      <c r="C240" s="398"/>
      <c r="D240" s="329"/>
      <c r="E240" s="329"/>
      <c r="F240" s="329"/>
      <c r="G240" s="329"/>
      <c r="H240" s="329"/>
    </row>
    <row r="241" spans="1:8" x14ac:dyDescent="0.2">
      <c r="A241" s="398"/>
      <c r="B241" s="398"/>
      <c r="C241" s="398"/>
      <c r="D241" s="329"/>
      <c r="E241" s="329"/>
      <c r="F241" s="329"/>
      <c r="G241" s="329"/>
      <c r="H241" s="329"/>
    </row>
    <row r="242" spans="1:8" x14ac:dyDescent="0.2">
      <c r="A242" s="398"/>
      <c r="B242" s="398"/>
      <c r="C242" s="398"/>
      <c r="D242" s="329"/>
      <c r="E242" s="329"/>
      <c r="F242" s="329"/>
      <c r="G242" s="329"/>
      <c r="H242" s="329"/>
    </row>
    <row r="243" spans="1:8" x14ac:dyDescent="0.2">
      <c r="A243" s="398"/>
      <c r="B243" s="398"/>
      <c r="C243" s="398"/>
      <c r="D243" s="329"/>
      <c r="E243" s="329"/>
      <c r="F243" s="329"/>
      <c r="G243" s="329"/>
      <c r="H243" s="329"/>
    </row>
    <row r="244" spans="1:8" x14ac:dyDescent="0.2">
      <c r="A244" s="398"/>
      <c r="B244" s="398"/>
      <c r="C244" s="398"/>
      <c r="D244" s="329"/>
      <c r="E244" s="329"/>
      <c r="F244" s="329"/>
      <c r="G244" s="329"/>
      <c r="H244" s="329"/>
    </row>
    <row r="245" spans="1:8" x14ac:dyDescent="0.2">
      <c r="A245" s="398"/>
      <c r="B245" s="398"/>
      <c r="C245" s="398"/>
      <c r="D245" s="329"/>
      <c r="E245" s="329"/>
      <c r="F245" s="329"/>
      <c r="G245" s="329"/>
      <c r="H245" s="329"/>
    </row>
    <row r="246" spans="1:8" x14ac:dyDescent="0.2">
      <c r="A246" s="398"/>
      <c r="B246" s="398"/>
      <c r="C246" s="398"/>
      <c r="D246" s="329"/>
      <c r="E246" s="329"/>
      <c r="F246" s="329"/>
      <c r="G246" s="329"/>
      <c r="H246" s="329"/>
    </row>
    <row r="247" spans="1:8" x14ac:dyDescent="0.2">
      <c r="A247" s="398"/>
      <c r="B247" s="398"/>
      <c r="C247" s="398"/>
      <c r="D247" s="329"/>
      <c r="E247" s="329"/>
      <c r="F247" s="329"/>
      <c r="G247" s="329"/>
      <c r="H247" s="329"/>
    </row>
    <row r="248" spans="1:8" x14ac:dyDescent="0.2">
      <c r="A248" s="398"/>
      <c r="B248" s="398"/>
      <c r="C248" s="398"/>
      <c r="D248" s="329"/>
      <c r="E248" s="329"/>
      <c r="F248" s="329"/>
      <c r="G248" s="329"/>
      <c r="H248" s="329"/>
    </row>
    <row r="249" spans="1:8" x14ac:dyDescent="0.2">
      <c r="A249" s="398"/>
      <c r="B249" s="398"/>
      <c r="C249" s="398"/>
      <c r="D249" s="329"/>
      <c r="E249" s="329"/>
      <c r="F249" s="329"/>
      <c r="G249" s="329"/>
      <c r="H249" s="329"/>
    </row>
    <row r="250" spans="1:8" x14ac:dyDescent="0.2">
      <c r="A250" s="398"/>
      <c r="B250" s="398"/>
      <c r="C250" s="398"/>
      <c r="D250" s="329"/>
      <c r="E250" s="329"/>
      <c r="F250" s="329"/>
      <c r="G250" s="329"/>
      <c r="H250" s="329"/>
    </row>
    <row r="251" spans="1:8" x14ac:dyDescent="0.2">
      <c r="A251" s="398"/>
      <c r="B251" s="398"/>
      <c r="C251" s="398"/>
      <c r="D251" s="329"/>
      <c r="E251" s="329"/>
      <c r="F251" s="329"/>
      <c r="G251" s="329"/>
      <c r="H251" s="329"/>
    </row>
    <row r="252" spans="1:8" x14ac:dyDescent="0.2">
      <c r="A252" s="398"/>
      <c r="B252" s="398"/>
      <c r="C252" s="398"/>
      <c r="D252" s="329"/>
      <c r="E252" s="329"/>
      <c r="F252" s="329"/>
      <c r="G252" s="329"/>
      <c r="H252" s="329"/>
    </row>
    <row r="253" spans="1:8" x14ac:dyDescent="0.2">
      <c r="A253" s="398"/>
      <c r="B253" s="398"/>
      <c r="C253" s="398"/>
      <c r="D253" s="329"/>
      <c r="E253" s="329"/>
      <c r="F253" s="329"/>
      <c r="G253" s="329"/>
      <c r="H253" s="329"/>
    </row>
    <row r="254" spans="1:8" x14ac:dyDescent="0.2">
      <c r="A254" s="398"/>
      <c r="B254" s="398"/>
      <c r="C254" s="398"/>
      <c r="D254" s="329"/>
      <c r="E254" s="329"/>
      <c r="F254" s="329"/>
      <c r="G254" s="329"/>
      <c r="H254" s="329"/>
    </row>
    <row r="255" spans="1:8" x14ac:dyDescent="0.2">
      <c r="A255" s="398"/>
      <c r="B255" s="398"/>
      <c r="C255" s="398"/>
      <c r="D255" s="329"/>
      <c r="E255" s="329"/>
      <c r="F255" s="329"/>
      <c r="G255" s="329"/>
      <c r="H255" s="329"/>
    </row>
    <row r="256" spans="1:8" x14ac:dyDescent="0.2">
      <c r="A256" s="398"/>
      <c r="B256" s="398"/>
      <c r="C256" s="398"/>
      <c r="D256" s="329"/>
      <c r="E256" s="329"/>
      <c r="F256" s="329"/>
      <c r="G256" s="329"/>
      <c r="H256" s="329"/>
    </row>
    <row r="257" spans="1:8" x14ac:dyDescent="0.2">
      <c r="A257" s="398"/>
      <c r="B257" s="398"/>
      <c r="C257" s="398"/>
      <c r="D257" s="329"/>
      <c r="E257" s="329"/>
      <c r="F257" s="329"/>
      <c r="G257" s="329"/>
      <c r="H257" s="329"/>
    </row>
    <row r="258" spans="1:8" x14ac:dyDescent="0.2">
      <c r="A258" s="398"/>
      <c r="B258" s="398"/>
      <c r="C258" s="398"/>
      <c r="D258" s="329"/>
      <c r="E258" s="329"/>
      <c r="F258" s="329"/>
      <c r="G258" s="329"/>
      <c r="H258" s="329"/>
    </row>
    <row r="259" spans="1:8" x14ac:dyDescent="0.2">
      <c r="A259" s="398"/>
      <c r="B259" s="398"/>
      <c r="C259" s="398"/>
      <c r="D259" s="329"/>
      <c r="E259" s="329"/>
      <c r="F259" s="329"/>
      <c r="G259" s="329"/>
      <c r="H259" s="329"/>
    </row>
    <row r="260" spans="1:8" x14ac:dyDescent="0.2">
      <c r="A260" s="398"/>
      <c r="B260" s="398"/>
      <c r="C260" s="398"/>
      <c r="D260" s="329"/>
      <c r="E260" s="329"/>
      <c r="F260" s="329"/>
      <c r="G260" s="329"/>
      <c r="H260" s="329"/>
    </row>
    <row r="261" spans="1:8" x14ac:dyDescent="0.2">
      <c r="A261" s="398"/>
      <c r="B261" s="398"/>
      <c r="C261" s="398"/>
      <c r="D261" s="329"/>
      <c r="E261" s="329"/>
      <c r="F261" s="329"/>
      <c r="G261" s="329"/>
      <c r="H261" s="329"/>
    </row>
    <row r="262" spans="1:8" x14ac:dyDescent="0.2">
      <c r="A262" s="398"/>
      <c r="B262" s="398"/>
      <c r="C262" s="398"/>
      <c r="D262" s="329"/>
      <c r="E262" s="329"/>
      <c r="F262" s="329"/>
      <c r="G262" s="329"/>
      <c r="H262" s="329"/>
    </row>
    <row r="263" spans="1:8" x14ac:dyDescent="0.2">
      <c r="A263" s="398"/>
      <c r="B263" s="398"/>
      <c r="C263" s="398"/>
      <c r="D263" s="329"/>
      <c r="E263" s="329"/>
      <c r="F263" s="329"/>
      <c r="G263" s="329"/>
      <c r="H263" s="329"/>
    </row>
    <row r="264" spans="1:8" x14ac:dyDescent="0.2">
      <c r="A264" s="398"/>
      <c r="B264" s="398"/>
      <c r="C264" s="398"/>
      <c r="D264" s="329"/>
      <c r="E264" s="329"/>
      <c r="F264" s="329"/>
      <c r="G264" s="329"/>
      <c r="H264" s="329"/>
    </row>
    <row r="265" spans="1:8" x14ac:dyDescent="0.2">
      <c r="A265" s="398"/>
      <c r="B265" s="398"/>
      <c r="C265" s="398"/>
      <c r="D265" s="329"/>
      <c r="E265" s="329"/>
      <c r="F265" s="329"/>
      <c r="G265" s="329"/>
      <c r="H265" s="329"/>
    </row>
    <row r="266" spans="1:8" x14ac:dyDescent="0.2">
      <c r="A266" s="398"/>
      <c r="B266" s="398"/>
      <c r="C266" s="398"/>
      <c r="D266" s="329"/>
      <c r="E266" s="329"/>
      <c r="F266" s="329"/>
      <c r="G266" s="329"/>
      <c r="H266" s="329"/>
    </row>
    <row r="267" spans="1:8" x14ac:dyDescent="0.2">
      <c r="A267" s="398"/>
      <c r="B267" s="398"/>
      <c r="C267" s="398"/>
      <c r="D267" s="329"/>
      <c r="E267" s="329"/>
      <c r="F267" s="329"/>
      <c r="G267" s="329"/>
      <c r="H267" s="329"/>
    </row>
    <row r="268" spans="1:8" x14ac:dyDescent="0.2">
      <c r="A268" s="398"/>
      <c r="B268" s="398"/>
      <c r="C268" s="398"/>
      <c r="D268" s="329"/>
      <c r="E268" s="329"/>
      <c r="F268" s="329"/>
      <c r="G268" s="329"/>
      <c r="H268" s="329"/>
    </row>
    <row r="269" spans="1:8" x14ac:dyDescent="0.2">
      <c r="A269" s="398"/>
      <c r="B269" s="398"/>
      <c r="C269" s="398"/>
      <c r="D269" s="329"/>
      <c r="E269" s="329"/>
      <c r="F269" s="329"/>
      <c r="G269" s="329"/>
      <c r="H269" s="329"/>
    </row>
    <row r="270" spans="1:8" x14ac:dyDescent="0.2">
      <c r="A270" s="398"/>
      <c r="B270" s="398"/>
      <c r="C270" s="398"/>
      <c r="D270" s="329"/>
      <c r="E270" s="329"/>
      <c r="F270" s="329"/>
      <c r="G270" s="329"/>
      <c r="H270" s="329"/>
    </row>
    <row r="271" spans="1:8" x14ac:dyDescent="0.2">
      <c r="A271" s="398"/>
      <c r="B271" s="398"/>
      <c r="C271" s="398"/>
      <c r="D271" s="329"/>
      <c r="E271" s="329"/>
      <c r="F271" s="329"/>
      <c r="G271" s="329"/>
      <c r="H271" s="329"/>
    </row>
    <row r="272" spans="1:8" x14ac:dyDescent="0.2">
      <c r="A272" s="398"/>
      <c r="B272" s="398"/>
      <c r="C272" s="398"/>
      <c r="D272" s="329"/>
      <c r="E272" s="329"/>
      <c r="F272" s="329"/>
      <c r="G272" s="329"/>
      <c r="H272" s="329"/>
    </row>
    <row r="273" spans="1:8" x14ac:dyDescent="0.2">
      <c r="A273" s="398"/>
      <c r="B273" s="398"/>
      <c r="C273" s="398"/>
      <c r="D273" s="329"/>
      <c r="E273" s="329"/>
      <c r="F273" s="329"/>
      <c r="G273" s="329"/>
      <c r="H273" s="329"/>
    </row>
    <row r="274" spans="1:8" x14ac:dyDescent="0.2">
      <c r="A274" s="398"/>
      <c r="B274" s="398"/>
      <c r="C274" s="398"/>
      <c r="D274" s="329"/>
      <c r="E274" s="329"/>
      <c r="F274" s="329"/>
      <c r="G274" s="329"/>
      <c r="H274" s="329"/>
    </row>
    <row r="275" spans="1:8" x14ac:dyDescent="0.2">
      <c r="A275" s="398"/>
      <c r="B275" s="398"/>
      <c r="C275" s="398"/>
      <c r="D275" s="329"/>
      <c r="E275" s="329"/>
      <c r="F275" s="329"/>
      <c r="G275" s="329"/>
      <c r="H275" s="329"/>
    </row>
    <row r="276" spans="1:8" x14ac:dyDescent="0.2">
      <c r="A276" s="398"/>
      <c r="B276" s="398"/>
      <c r="C276" s="398"/>
      <c r="D276" s="329"/>
      <c r="E276" s="329"/>
      <c r="F276" s="329"/>
      <c r="G276" s="329"/>
      <c r="H276" s="329"/>
    </row>
    <row r="277" spans="1:8" x14ac:dyDescent="0.2">
      <c r="A277" s="398"/>
      <c r="B277" s="398"/>
      <c r="C277" s="398"/>
      <c r="D277" s="329"/>
      <c r="E277" s="329"/>
      <c r="F277" s="329"/>
      <c r="G277" s="329"/>
      <c r="H277" s="329"/>
    </row>
    <row r="278" spans="1:8" x14ac:dyDescent="0.2">
      <c r="A278" s="398"/>
      <c r="B278" s="398"/>
      <c r="C278" s="398"/>
      <c r="D278" s="329"/>
      <c r="E278" s="329"/>
      <c r="F278" s="329"/>
      <c r="G278" s="329"/>
      <c r="H278" s="329"/>
    </row>
    <row r="279" spans="1:8" x14ac:dyDescent="0.2">
      <c r="A279" s="398"/>
      <c r="B279" s="398"/>
      <c r="C279" s="398"/>
      <c r="D279" s="329"/>
      <c r="E279" s="329"/>
      <c r="F279" s="329"/>
      <c r="G279" s="329"/>
      <c r="H279" s="329"/>
    </row>
    <row r="280" spans="1:8" x14ac:dyDescent="0.2">
      <c r="A280" s="398"/>
      <c r="B280" s="398"/>
      <c r="C280" s="398"/>
      <c r="D280" s="329"/>
      <c r="E280" s="329"/>
      <c r="F280" s="329"/>
      <c r="G280" s="329"/>
      <c r="H280" s="329"/>
    </row>
    <row r="281" spans="1:8" x14ac:dyDescent="0.2">
      <c r="A281" s="398"/>
      <c r="B281" s="398"/>
      <c r="C281" s="398"/>
      <c r="D281" s="329"/>
      <c r="E281" s="329"/>
      <c r="F281" s="329"/>
      <c r="G281" s="329"/>
      <c r="H281" s="329"/>
    </row>
    <row r="282" spans="1:8" x14ac:dyDescent="0.2">
      <c r="A282" s="398"/>
      <c r="B282" s="398"/>
      <c r="C282" s="398"/>
      <c r="D282" s="329"/>
      <c r="E282" s="329"/>
      <c r="F282" s="329"/>
      <c r="G282" s="329"/>
      <c r="H282" s="329"/>
    </row>
    <row r="283" spans="1:8" x14ac:dyDescent="0.2">
      <c r="A283" s="398"/>
      <c r="B283" s="398"/>
      <c r="C283" s="398"/>
      <c r="D283" s="329"/>
      <c r="E283" s="329"/>
      <c r="F283" s="329"/>
      <c r="G283" s="329"/>
      <c r="H283" s="329"/>
    </row>
    <row r="284" spans="1:8" x14ac:dyDescent="0.2">
      <c r="A284" s="398"/>
      <c r="B284" s="398"/>
      <c r="C284" s="398"/>
      <c r="D284" s="329"/>
      <c r="E284" s="329"/>
      <c r="F284" s="329"/>
      <c r="G284" s="329"/>
      <c r="H284" s="329"/>
    </row>
    <row r="285" spans="1:8" x14ac:dyDescent="0.2">
      <c r="A285" s="398"/>
      <c r="B285" s="398"/>
      <c r="C285" s="398"/>
      <c r="D285" s="329"/>
      <c r="E285" s="329"/>
      <c r="F285" s="329"/>
      <c r="G285" s="329"/>
      <c r="H285" s="329"/>
    </row>
    <row r="286" spans="1:8" x14ac:dyDescent="0.2">
      <c r="A286" s="398"/>
      <c r="B286" s="398"/>
      <c r="C286" s="398"/>
      <c r="D286" s="329"/>
      <c r="E286" s="329"/>
      <c r="F286" s="329"/>
      <c r="G286" s="329"/>
      <c r="H286" s="329"/>
    </row>
    <row r="287" spans="1:8" x14ac:dyDescent="0.2">
      <c r="A287" s="398"/>
      <c r="B287" s="398"/>
      <c r="C287" s="398"/>
      <c r="D287" s="329"/>
      <c r="E287" s="329"/>
      <c r="F287" s="329"/>
      <c r="G287" s="329"/>
      <c r="H287" s="329"/>
    </row>
    <row r="288" spans="1:8" x14ac:dyDescent="0.2">
      <c r="A288" s="398"/>
      <c r="B288" s="398"/>
      <c r="C288" s="398"/>
      <c r="D288" s="329"/>
      <c r="E288" s="329"/>
      <c r="F288" s="329"/>
      <c r="G288" s="329"/>
      <c r="H288" s="329"/>
    </row>
    <row r="289" spans="1:8" x14ac:dyDescent="0.2">
      <c r="A289" s="398"/>
      <c r="B289" s="398"/>
      <c r="C289" s="398"/>
      <c r="D289" s="329"/>
      <c r="E289" s="329"/>
      <c r="F289" s="329"/>
      <c r="G289" s="329"/>
      <c r="H289" s="329"/>
    </row>
    <row r="290" spans="1:8" x14ac:dyDescent="0.2">
      <c r="A290" s="398"/>
      <c r="B290" s="398"/>
      <c r="C290" s="398"/>
      <c r="D290" s="329"/>
      <c r="E290" s="329"/>
      <c r="F290" s="329"/>
      <c r="G290" s="329"/>
      <c r="H290" s="329"/>
    </row>
    <row r="291" spans="1:8" x14ac:dyDescent="0.2">
      <c r="A291" s="398"/>
      <c r="B291" s="398"/>
      <c r="C291" s="398"/>
      <c r="D291" s="329"/>
      <c r="E291" s="329"/>
      <c r="F291" s="329"/>
      <c r="G291" s="329"/>
      <c r="H291" s="329"/>
    </row>
    <row r="292" spans="1:8" x14ac:dyDescent="0.2">
      <c r="A292" s="398"/>
      <c r="B292" s="398"/>
      <c r="C292" s="398"/>
      <c r="D292" s="329"/>
      <c r="E292" s="329"/>
      <c r="F292" s="329"/>
      <c r="G292" s="329"/>
      <c r="H292" s="329"/>
    </row>
    <row r="293" spans="1:8" x14ac:dyDescent="0.2">
      <c r="A293" s="398"/>
      <c r="B293" s="398"/>
      <c r="C293" s="398"/>
      <c r="D293" s="329"/>
      <c r="E293" s="329"/>
      <c r="F293" s="329"/>
      <c r="G293" s="329"/>
      <c r="H293" s="329"/>
    </row>
    <row r="294" spans="1:8" x14ac:dyDescent="0.2">
      <c r="A294" s="398"/>
      <c r="B294" s="398"/>
      <c r="C294" s="398"/>
      <c r="D294" s="329"/>
      <c r="E294" s="329"/>
      <c r="F294" s="329"/>
      <c r="G294" s="329"/>
      <c r="H294" s="329"/>
    </row>
    <row r="295" spans="1:8" x14ac:dyDescent="0.2">
      <c r="A295" s="398"/>
      <c r="B295" s="398"/>
      <c r="C295" s="398"/>
      <c r="D295" s="329"/>
      <c r="E295" s="329"/>
      <c r="F295" s="329"/>
      <c r="G295" s="329"/>
      <c r="H295" s="329"/>
    </row>
    <row r="296" spans="1:8" x14ac:dyDescent="0.2">
      <c r="A296" s="398"/>
      <c r="B296" s="398"/>
      <c r="C296" s="398"/>
      <c r="D296" s="329"/>
      <c r="E296" s="329"/>
      <c r="F296" s="329"/>
      <c r="G296" s="329"/>
      <c r="H296" s="329"/>
    </row>
    <row r="297" spans="1:8" x14ac:dyDescent="0.2">
      <c r="A297" s="398"/>
      <c r="B297" s="398"/>
      <c r="C297" s="398"/>
      <c r="D297" s="329"/>
      <c r="E297" s="329"/>
      <c r="F297" s="329"/>
      <c r="G297" s="329"/>
      <c r="H297" s="329"/>
    </row>
    <row r="298" spans="1:8" x14ac:dyDescent="0.2">
      <c r="A298" s="398"/>
      <c r="B298" s="398"/>
      <c r="C298" s="398"/>
      <c r="D298" s="329"/>
      <c r="E298" s="329"/>
      <c r="F298" s="329"/>
      <c r="G298" s="329"/>
      <c r="H298" s="329"/>
    </row>
    <row r="299" spans="1:8" x14ac:dyDescent="0.2">
      <c r="A299" s="398"/>
      <c r="B299" s="398"/>
      <c r="C299" s="398"/>
      <c r="D299" s="329"/>
      <c r="E299" s="329"/>
      <c r="F299" s="329"/>
      <c r="G299" s="329"/>
      <c r="H299" s="329"/>
    </row>
    <row r="300" spans="1:8" x14ac:dyDescent="0.2">
      <c r="A300" s="398"/>
      <c r="B300" s="398"/>
      <c r="C300" s="398"/>
      <c r="D300" s="329"/>
      <c r="E300" s="329"/>
      <c r="F300" s="329"/>
      <c r="G300" s="329"/>
      <c r="H300" s="329"/>
    </row>
    <row r="301" spans="1:8" x14ac:dyDescent="0.2">
      <c r="A301" s="398"/>
      <c r="B301" s="398"/>
      <c r="C301" s="398"/>
      <c r="D301" s="329"/>
      <c r="E301" s="329"/>
      <c r="F301" s="329"/>
      <c r="G301" s="329"/>
      <c r="H301" s="329"/>
    </row>
    <row r="302" spans="1:8" x14ac:dyDescent="0.2">
      <c r="A302" s="398"/>
      <c r="B302" s="398"/>
      <c r="C302" s="398"/>
      <c r="D302" s="329"/>
      <c r="E302" s="329"/>
      <c r="F302" s="329"/>
      <c r="G302" s="329"/>
      <c r="H302" s="329"/>
    </row>
    <row r="303" spans="1:8" x14ac:dyDescent="0.2">
      <c r="A303" s="398"/>
      <c r="B303" s="398"/>
      <c r="C303" s="398"/>
      <c r="D303" s="329"/>
      <c r="E303" s="329"/>
      <c r="F303" s="329"/>
      <c r="G303" s="329"/>
      <c r="H303" s="329"/>
    </row>
    <row r="304" spans="1:8" x14ac:dyDescent="0.2">
      <c r="A304" s="398"/>
      <c r="B304" s="398"/>
      <c r="C304" s="398"/>
      <c r="D304" s="329"/>
      <c r="E304" s="329"/>
      <c r="F304" s="329"/>
      <c r="G304" s="329"/>
      <c r="H304" s="329"/>
    </row>
    <row r="305" spans="1:8" x14ac:dyDescent="0.2">
      <c r="A305" s="398"/>
      <c r="B305" s="398"/>
      <c r="C305" s="398"/>
      <c r="D305" s="329"/>
      <c r="E305" s="329"/>
      <c r="F305" s="329"/>
      <c r="G305" s="329"/>
      <c r="H305" s="329"/>
    </row>
    <row r="306" spans="1:8" x14ac:dyDescent="0.2">
      <c r="A306" s="398"/>
      <c r="B306" s="398"/>
      <c r="C306" s="398"/>
      <c r="D306" s="329"/>
      <c r="E306" s="329"/>
      <c r="F306" s="329"/>
      <c r="G306" s="329"/>
      <c r="H306" s="329"/>
    </row>
    <row r="307" spans="1:8" x14ac:dyDescent="0.2">
      <c r="A307" s="398"/>
      <c r="B307" s="398"/>
      <c r="C307" s="398"/>
      <c r="D307" s="329"/>
      <c r="E307" s="329"/>
      <c r="F307" s="329"/>
      <c r="G307" s="329"/>
      <c r="H307" s="329"/>
    </row>
    <row r="308" spans="1:8" x14ac:dyDescent="0.2">
      <c r="A308" s="398"/>
      <c r="B308" s="398"/>
      <c r="C308" s="398"/>
      <c r="D308" s="329"/>
      <c r="E308" s="329"/>
      <c r="F308" s="329"/>
      <c r="G308" s="329"/>
      <c r="H308" s="329"/>
    </row>
    <row r="309" spans="1:8" x14ac:dyDescent="0.2">
      <c r="A309" s="398"/>
      <c r="B309" s="398"/>
      <c r="C309" s="398"/>
      <c r="D309" s="329"/>
      <c r="E309" s="329"/>
      <c r="F309" s="329"/>
      <c r="G309" s="329"/>
      <c r="H309" s="329"/>
    </row>
    <row r="310" spans="1:8" x14ac:dyDescent="0.2">
      <c r="A310" s="398"/>
      <c r="B310" s="398"/>
      <c r="C310" s="398"/>
      <c r="D310" s="329"/>
      <c r="E310" s="329"/>
      <c r="F310" s="329"/>
      <c r="G310" s="329"/>
      <c r="H310" s="329"/>
    </row>
    <row r="311" spans="1:8" x14ac:dyDescent="0.2">
      <c r="A311" s="398"/>
      <c r="B311" s="398"/>
      <c r="C311" s="398"/>
      <c r="D311" s="329"/>
      <c r="E311" s="329"/>
      <c r="F311" s="329"/>
      <c r="G311" s="329"/>
      <c r="H311" s="329"/>
    </row>
    <row r="312" spans="1:8" x14ac:dyDescent="0.2">
      <c r="A312" s="398"/>
      <c r="B312" s="398"/>
      <c r="C312" s="398"/>
      <c r="D312" s="329"/>
      <c r="E312" s="329"/>
      <c r="F312" s="329"/>
      <c r="G312" s="329"/>
      <c r="H312" s="329"/>
    </row>
    <row r="313" spans="1:8" x14ac:dyDescent="0.2">
      <c r="A313" s="398"/>
      <c r="B313" s="398"/>
      <c r="C313" s="398"/>
      <c r="D313" s="329"/>
      <c r="E313" s="329"/>
      <c r="F313" s="329"/>
      <c r="G313" s="329"/>
      <c r="H313" s="329"/>
    </row>
    <row r="314" spans="1:8" x14ac:dyDescent="0.2">
      <c r="A314" s="398"/>
      <c r="B314" s="398"/>
      <c r="C314" s="398"/>
      <c r="D314" s="329"/>
      <c r="E314" s="329"/>
      <c r="F314" s="329"/>
      <c r="G314" s="329"/>
      <c r="H314" s="329"/>
    </row>
    <row r="315" spans="1:8" x14ac:dyDescent="0.2">
      <c r="A315" s="398"/>
      <c r="B315" s="398"/>
      <c r="C315" s="398"/>
      <c r="D315" s="329"/>
      <c r="E315" s="329"/>
      <c r="F315" s="329"/>
      <c r="G315" s="329"/>
      <c r="H315" s="329"/>
    </row>
    <row r="316" spans="1:8" x14ac:dyDescent="0.2">
      <c r="A316" s="398"/>
      <c r="B316" s="398"/>
      <c r="C316" s="398"/>
      <c r="D316" s="329"/>
      <c r="E316" s="329"/>
      <c r="F316" s="329"/>
      <c r="G316" s="329"/>
      <c r="H316" s="329"/>
    </row>
    <row r="317" spans="1:8" x14ac:dyDescent="0.2">
      <c r="A317" s="398"/>
      <c r="B317" s="398"/>
      <c r="C317" s="398"/>
      <c r="D317" s="329"/>
      <c r="E317" s="329"/>
      <c r="F317" s="329"/>
      <c r="G317" s="329"/>
      <c r="H317" s="329"/>
    </row>
    <row r="318" spans="1:8" x14ac:dyDescent="0.2">
      <c r="A318" s="398"/>
      <c r="B318" s="398"/>
      <c r="C318" s="398"/>
      <c r="D318" s="329"/>
      <c r="E318" s="329"/>
      <c r="F318" s="329"/>
      <c r="G318" s="329"/>
      <c r="H318" s="329"/>
    </row>
    <row r="319" spans="1:8" x14ac:dyDescent="0.2">
      <c r="A319" s="398"/>
      <c r="B319" s="398"/>
      <c r="C319" s="398"/>
      <c r="D319" s="329"/>
      <c r="E319" s="329"/>
      <c r="F319" s="329"/>
      <c r="G319" s="329"/>
      <c r="H319" s="329"/>
    </row>
    <row r="320" spans="1:8" x14ac:dyDescent="0.2">
      <c r="A320" s="398"/>
      <c r="B320" s="398"/>
      <c r="C320" s="398"/>
      <c r="D320" s="329"/>
      <c r="E320" s="329"/>
      <c r="F320" s="329"/>
      <c r="G320" s="329"/>
      <c r="H320" s="329"/>
    </row>
    <row r="321" spans="1:8" x14ac:dyDescent="0.2">
      <c r="A321" s="398"/>
      <c r="B321" s="398"/>
      <c r="C321" s="398"/>
      <c r="D321" s="329"/>
      <c r="E321" s="329"/>
      <c r="F321" s="329"/>
      <c r="G321" s="329"/>
      <c r="H321" s="329"/>
    </row>
    <row r="322" spans="1:8" x14ac:dyDescent="0.2">
      <c r="A322" s="398"/>
      <c r="B322" s="398"/>
      <c r="C322" s="398"/>
      <c r="D322" s="329"/>
      <c r="E322" s="329"/>
      <c r="F322" s="329"/>
      <c r="G322" s="329"/>
      <c r="H322" s="329"/>
    </row>
    <row r="323" spans="1:8" x14ac:dyDescent="0.2">
      <c r="A323" s="398"/>
      <c r="B323" s="398"/>
      <c r="C323" s="398"/>
      <c r="D323" s="329"/>
      <c r="E323" s="329"/>
      <c r="F323" s="329"/>
      <c r="G323" s="329"/>
      <c r="H323" s="329"/>
    </row>
    <row r="324" spans="1:8" x14ac:dyDescent="0.2">
      <c r="A324" s="398"/>
      <c r="B324" s="398"/>
      <c r="C324" s="398"/>
      <c r="D324" s="329"/>
      <c r="E324" s="329"/>
      <c r="F324" s="329"/>
      <c r="G324" s="329"/>
      <c r="H324" s="329"/>
    </row>
    <row r="325" spans="1:8" x14ac:dyDescent="0.2">
      <c r="A325" s="398"/>
      <c r="B325" s="398"/>
      <c r="C325" s="398"/>
      <c r="D325" s="329"/>
      <c r="E325" s="329"/>
      <c r="F325" s="329"/>
      <c r="G325" s="329"/>
      <c r="H325" s="329"/>
    </row>
    <row r="326" spans="1:8" x14ac:dyDescent="0.2">
      <c r="A326" s="398"/>
      <c r="B326" s="398"/>
      <c r="C326" s="398"/>
      <c r="D326" s="329"/>
      <c r="E326" s="329"/>
      <c r="F326" s="329"/>
      <c r="G326" s="329"/>
      <c r="H326" s="329"/>
    </row>
    <row r="327" spans="1:8" x14ac:dyDescent="0.2">
      <c r="A327" s="398"/>
      <c r="B327" s="398"/>
      <c r="C327" s="398"/>
      <c r="D327" s="329"/>
      <c r="E327" s="329"/>
      <c r="F327" s="329"/>
      <c r="G327" s="329"/>
      <c r="H327" s="329"/>
    </row>
    <row r="328" spans="1:8" x14ac:dyDescent="0.2">
      <c r="A328" s="398"/>
      <c r="B328" s="398"/>
      <c r="C328" s="398"/>
      <c r="D328" s="329"/>
      <c r="E328" s="329"/>
      <c r="F328" s="329"/>
      <c r="G328" s="329"/>
      <c r="H328" s="329"/>
    </row>
    <row r="329" spans="1:8" x14ac:dyDescent="0.2">
      <c r="A329" s="398"/>
      <c r="B329" s="398"/>
      <c r="C329" s="398"/>
      <c r="D329" s="329"/>
      <c r="E329" s="329"/>
      <c r="F329" s="329"/>
      <c r="G329" s="329"/>
      <c r="H329" s="329"/>
    </row>
    <row r="330" spans="1:8" x14ac:dyDescent="0.2">
      <c r="A330" s="398"/>
      <c r="B330" s="398"/>
      <c r="C330" s="398"/>
      <c r="D330" s="329"/>
      <c r="E330" s="329"/>
      <c r="F330" s="329"/>
      <c r="G330" s="329"/>
      <c r="H330" s="329"/>
    </row>
    <row r="331" spans="1:8" x14ac:dyDescent="0.2">
      <c r="A331" s="398"/>
      <c r="B331" s="398"/>
      <c r="C331" s="398"/>
      <c r="D331" s="329"/>
      <c r="E331" s="329"/>
      <c r="F331" s="329"/>
      <c r="G331" s="329"/>
      <c r="H331" s="329"/>
    </row>
    <row r="332" spans="1:8" x14ac:dyDescent="0.2">
      <c r="A332" s="398"/>
      <c r="B332" s="398"/>
      <c r="C332" s="398"/>
      <c r="D332" s="329"/>
      <c r="E332" s="329"/>
      <c r="F332" s="329"/>
      <c r="G332" s="329"/>
      <c r="H332" s="329"/>
    </row>
    <row r="333" spans="1:8" x14ac:dyDescent="0.2">
      <c r="A333" s="398"/>
      <c r="B333" s="398"/>
      <c r="C333" s="398"/>
      <c r="D333" s="329"/>
      <c r="E333" s="329"/>
      <c r="F333" s="329"/>
      <c r="G333" s="329"/>
      <c r="H333" s="329"/>
    </row>
    <row r="334" spans="1:8" x14ac:dyDescent="0.2">
      <c r="A334" s="398"/>
      <c r="B334" s="398"/>
      <c r="C334" s="398"/>
      <c r="D334" s="329"/>
      <c r="E334" s="329"/>
      <c r="F334" s="329"/>
      <c r="G334" s="329"/>
      <c r="H334" s="329"/>
    </row>
    <row r="335" spans="1:8" x14ac:dyDescent="0.2">
      <c r="A335" s="398"/>
      <c r="B335" s="398"/>
      <c r="C335" s="398"/>
      <c r="D335" s="329"/>
      <c r="E335" s="329"/>
      <c r="F335" s="329"/>
      <c r="G335" s="329"/>
      <c r="H335" s="329"/>
    </row>
    <row r="336" spans="1:8" x14ac:dyDescent="0.2">
      <c r="A336" s="398"/>
      <c r="B336" s="398"/>
      <c r="C336" s="398"/>
      <c r="D336" s="329"/>
      <c r="E336" s="329"/>
      <c r="F336" s="329"/>
      <c r="G336" s="329"/>
      <c r="H336" s="329"/>
    </row>
    <row r="337" spans="1:8" x14ac:dyDescent="0.2">
      <c r="A337" s="398"/>
      <c r="B337" s="398"/>
      <c r="C337" s="398"/>
      <c r="D337" s="329"/>
      <c r="E337" s="329"/>
      <c r="F337" s="329"/>
      <c r="G337" s="329"/>
      <c r="H337" s="329"/>
    </row>
    <row r="338" spans="1:8" x14ac:dyDescent="0.2">
      <c r="A338" s="398"/>
      <c r="B338" s="398"/>
      <c r="C338" s="398"/>
      <c r="D338" s="329"/>
      <c r="E338" s="329"/>
      <c r="F338" s="329"/>
      <c r="G338" s="329"/>
      <c r="H338" s="329"/>
    </row>
    <row r="339" spans="1:8" x14ac:dyDescent="0.2">
      <c r="A339" s="398"/>
      <c r="B339" s="398"/>
      <c r="C339" s="398"/>
      <c r="D339" s="329"/>
      <c r="E339" s="329"/>
      <c r="F339" s="329"/>
      <c r="G339" s="329"/>
      <c r="H339" s="329"/>
    </row>
    <row r="340" spans="1:8" x14ac:dyDescent="0.2">
      <c r="A340" s="398"/>
      <c r="B340" s="398"/>
      <c r="C340" s="398"/>
      <c r="D340" s="329"/>
      <c r="E340" s="329"/>
      <c r="F340" s="329"/>
      <c r="G340" s="329"/>
      <c r="H340" s="329"/>
    </row>
    <row r="341" spans="1:8" x14ac:dyDescent="0.2">
      <c r="A341" s="398"/>
      <c r="B341" s="398"/>
      <c r="C341" s="398"/>
      <c r="D341" s="329"/>
      <c r="E341" s="329"/>
      <c r="F341" s="329"/>
      <c r="G341" s="329"/>
      <c r="H341" s="329"/>
    </row>
    <row r="342" spans="1:8" x14ac:dyDescent="0.2">
      <c r="A342" s="398"/>
      <c r="B342" s="398"/>
      <c r="C342" s="398"/>
      <c r="D342" s="329"/>
      <c r="E342" s="329"/>
      <c r="F342" s="329"/>
      <c r="G342" s="329"/>
      <c r="H342" s="329"/>
    </row>
    <row r="343" spans="1:8" x14ac:dyDescent="0.2">
      <c r="A343" s="398"/>
      <c r="B343" s="398"/>
      <c r="C343" s="398"/>
      <c r="D343" s="329"/>
      <c r="E343" s="329"/>
      <c r="F343" s="329"/>
      <c r="G343" s="329"/>
      <c r="H343" s="329"/>
    </row>
    <row r="344" spans="1:8" x14ac:dyDescent="0.2">
      <c r="A344" s="398"/>
      <c r="B344" s="398"/>
      <c r="C344" s="398"/>
      <c r="D344" s="329"/>
      <c r="E344" s="329"/>
      <c r="F344" s="329"/>
      <c r="G344" s="329"/>
      <c r="H344" s="329"/>
    </row>
    <row r="345" spans="1:8" x14ac:dyDescent="0.2">
      <c r="A345" s="398"/>
      <c r="B345" s="398"/>
      <c r="C345" s="398"/>
      <c r="D345" s="329"/>
      <c r="E345" s="329"/>
      <c r="F345" s="329"/>
      <c r="G345" s="329"/>
      <c r="H345" s="329"/>
    </row>
    <row r="346" spans="1:8" x14ac:dyDescent="0.2">
      <c r="A346" s="398"/>
      <c r="B346" s="398"/>
      <c r="C346" s="398"/>
      <c r="D346" s="329"/>
      <c r="E346" s="329"/>
      <c r="F346" s="329"/>
      <c r="G346" s="329"/>
      <c r="H346" s="329"/>
    </row>
    <row r="347" spans="1:8" x14ac:dyDescent="0.2">
      <c r="A347" s="398"/>
      <c r="B347" s="398"/>
      <c r="C347" s="398"/>
      <c r="D347" s="329"/>
      <c r="E347" s="329"/>
      <c r="F347" s="329"/>
      <c r="G347" s="329"/>
      <c r="H347" s="329"/>
    </row>
    <row r="348" spans="1:8" x14ac:dyDescent="0.2">
      <c r="A348" s="398"/>
      <c r="B348" s="398"/>
      <c r="C348" s="398"/>
      <c r="D348" s="329"/>
      <c r="E348" s="329"/>
      <c r="F348" s="329"/>
      <c r="G348" s="329"/>
      <c r="H348" s="329"/>
    </row>
    <row r="349" spans="1:8" x14ac:dyDescent="0.2">
      <c r="A349" s="398"/>
      <c r="B349" s="398"/>
      <c r="C349" s="398"/>
      <c r="D349" s="329"/>
      <c r="E349" s="329"/>
      <c r="F349" s="329"/>
      <c r="G349" s="329"/>
      <c r="H349" s="329"/>
    </row>
    <row r="350" spans="1:8" x14ac:dyDescent="0.2">
      <c r="A350" s="398"/>
      <c r="B350" s="398"/>
      <c r="C350" s="398"/>
      <c r="D350" s="329"/>
      <c r="E350" s="329"/>
      <c r="F350" s="329"/>
      <c r="G350" s="329"/>
      <c r="H350" s="329"/>
    </row>
    <row r="351" spans="1:8" x14ac:dyDescent="0.2">
      <c r="A351" s="398"/>
      <c r="B351" s="398"/>
      <c r="C351" s="398"/>
      <c r="D351" s="329"/>
      <c r="E351" s="329"/>
      <c r="F351" s="329"/>
      <c r="G351" s="329"/>
      <c r="H351" s="329"/>
    </row>
    <row r="352" spans="1:8" x14ac:dyDescent="0.2">
      <c r="A352" s="398"/>
      <c r="B352" s="398"/>
      <c r="C352" s="398"/>
      <c r="D352" s="329"/>
      <c r="E352" s="329"/>
      <c r="F352" s="329"/>
      <c r="G352" s="329"/>
      <c r="H352" s="329"/>
    </row>
    <row r="353" spans="1:8" x14ac:dyDescent="0.2">
      <c r="A353" s="398"/>
      <c r="B353" s="398"/>
      <c r="C353" s="398"/>
      <c r="D353" s="329"/>
      <c r="E353" s="329"/>
      <c r="F353" s="329"/>
      <c r="G353" s="329"/>
      <c r="H353" s="329"/>
    </row>
    <row r="354" spans="1:8" x14ac:dyDescent="0.2">
      <c r="A354" s="398"/>
      <c r="B354" s="398"/>
      <c r="C354" s="398"/>
      <c r="D354" s="329"/>
      <c r="E354" s="329"/>
      <c r="F354" s="329"/>
      <c r="G354" s="329"/>
      <c r="H354" s="329"/>
    </row>
    <row r="355" spans="1:8" x14ac:dyDescent="0.2">
      <c r="A355" s="398"/>
      <c r="B355" s="398"/>
      <c r="C355" s="398"/>
      <c r="D355" s="329"/>
      <c r="E355" s="329"/>
      <c r="F355" s="329"/>
      <c r="G355" s="329"/>
      <c r="H355" s="329"/>
    </row>
    <row r="356" spans="1:8" x14ac:dyDescent="0.2">
      <c r="A356" s="398"/>
      <c r="B356" s="398"/>
      <c r="C356" s="398"/>
      <c r="D356" s="329"/>
      <c r="E356" s="329"/>
      <c r="F356" s="329"/>
      <c r="G356" s="329"/>
      <c r="H356" s="329"/>
    </row>
    <row r="357" spans="1:8" x14ac:dyDescent="0.2">
      <c r="A357" s="398"/>
      <c r="B357" s="398"/>
      <c r="C357" s="398"/>
      <c r="D357" s="329"/>
      <c r="E357" s="329"/>
      <c r="F357" s="329"/>
      <c r="G357" s="329"/>
      <c r="H357" s="329"/>
    </row>
    <row r="358" spans="1:8" x14ac:dyDescent="0.2">
      <c r="A358" s="398"/>
      <c r="B358" s="398"/>
      <c r="C358" s="398"/>
      <c r="D358" s="329"/>
      <c r="E358" s="329"/>
      <c r="F358" s="329"/>
      <c r="G358" s="329"/>
      <c r="H358" s="329"/>
    </row>
    <row r="359" spans="1:8" x14ac:dyDescent="0.2">
      <c r="A359" s="398"/>
      <c r="B359" s="398"/>
      <c r="C359" s="398"/>
      <c r="D359" s="329"/>
      <c r="E359" s="329"/>
      <c r="F359" s="329"/>
      <c r="G359" s="329"/>
      <c r="H359" s="329"/>
    </row>
    <row r="360" spans="1:8" x14ac:dyDescent="0.2">
      <c r="A360" s="398"/>
      <c r="B360" s="398"/>
      <c r="C360" s="398"/>
      <c r="D360" s="329"/>
      <c r="E360" s="329"/>
      <c r="F360" s="329"/>
      <c r="G360" s="329"/>
      <c r="H360" s="329"/>
    </row>
    <row r="361" spans="1:8" x14ac:dyDescent="0.2">
      <c r="A361" s="398"/>
      <c r="B361" s="398"/>
      <c r="C361" s="398"/>
      <c r="D361" s="329"/>
      <c r="E361" s="329"/>
      <c r="F361" s="329"/>
      <c r="G361" s="329"/>
      <c r="H361" s="329"/>
    </row>
    <row r="362" spans="1:8" x14ac:dyDescent="0.2">
      <c r="A362" s="398"/>
      <c r="B362" s="398"/>
      <c r="C362" s="398"/>
      <c r="D362" s="329"/>
      <c r="E362" s="329"/>
      <c r="F362" s="329"/>
      <c r="G362" s="329"/>
      <c r="H362" s="329"/>
    </row>
    <row r="363" spans="1:8" x14ac:dyDescent="0.2">
      <c r="A363" s="398"/>
      <c r="B363" s="398"/>
      <c r="C363" s="398"/>
      <c r="D363" s="329"/>
      <c r="E363" s="329"/>
      <c r="F363" s="329"/>
      <c r="G363" s="329"/>
      <c r="H363" s="329"/>
    </row>
    <row r="364" spans="1:8" x14ac:dyDescent="0.2">
      <c r="A364" s="398"/>
      <c r="B364" s="398"/>
      <c r="C364" s="398"/>
      <c r="D364" s="329"/>
      <c r="E364" s="329"/>
      <c r="F364" s="329"/>
      <c r="G364" s="329"/>
      <c r="H364" s="329"/>
    </row>
    <row r="365" spans="1:8" x14ac:dyDescent="0.2">
      <c r="A365" s="398"/>
      <c r="B365" s="398"/>
      <c r="C365" s="398"/>
      <c r="D365" s="329"/>
      <c r="E365" s="329"/>
      <c r="F365" s="329"/>
      <c r="G365" s="329"/>
      <c r="H365" s="329"/>
    </row>
    <row r="366" spans="1:8" x14ac:dyDescent="0.2">
      <c r="A366" s="398"/>
      <c r="B366" s="398"/>
      <c r="C366" s="398"/>
      <c r="D366" s="329"/>
      <c r="E366" s="329"/>
      <c r="F366" s="329"/>
      <c r="G366" s="329"/>
      <c r="H366" s="329"/>
    </row>
    <row r="367" spans="1:8" x14ac:dyDescent="0.2">
      <c r="A367" s="398"/>
      <c r="B367" s="398"/>
      <c r="C367" s="398"/>
      <c r="D367" s="329"/>
      <c r="E367" s="329"/>
      <c r="F367" s="329"/>
      <c r="G367" s="329"/>
      <c r="H367" s="329"/>
    </row>
    <row r="368" spans="1:8" x14ac:dyDescent="0.2">
      <c r="A368" s="398"/>
      <c r="B368" s="398"/>
      <c r="C368" s="398"/>
      <c r="D368" s="329"/>
      <c r="E368" s="329"/>
      <c r="F368" s="329"/>
      <c r="G368" s="329"/>
      <c r="H368" s="329"/>
    </row>
    <row r="369" spans="1:8" x14ac:dyDescent="0.2">
      <c r="A369" s="398"/>
      <c r="B369" s="398"/>
      <c r="C369" s="398"/>
      <c r="D369" s="329"/>
      <c r="E369" s="329"/>
      <c r="F369" s="329"/>
      <c r="G369" s="329"/>
      <c r="H369" s="329"/>
    </row>
    <row r="370" spans="1:8" x14ac:dyDescent="0.2">
      <c r="A370" s="398"/>
      <c r="B370" s="398"/>
      <c r="C370" s="398"/>
      <c r="D370" s="329"/>
      <c r="E370" s="329"/>
      <c r="F370" s="329"/>
      <c r="G370" s="329"/>
      <c r="H370" s="329"/>
    </row>
    <row r="371" spans="1:8" x14ac:dyDescent="0.2">
      <c r="A371" s="398"/>
      <c r="B371" s="398"/>
      <c r="C371" s="398"/>
      <c r="D371" s="329"/>
      <c r="E371" s="329"/>
      <c r="F371" s="329"/>
      <c r="G371" s="329"/>
      <c r="H371" s="329"/>
    </row>
    <row r="372" spans="1:8" x14ac:dyDescent="0.2">
      <c r="A372" s="398"/>
      <c r="B372" s="398"/>
      <c r="C372" s="398"/>
      <c r="D372" s="329"/>
      <c r="E372" s="329"/>
      <c r="F372" s="329"/>
      <c r="G372" s="329"/>
      <c r="H372" s="329"/>
    </row>
    <row r="373" spans="1:8" x14ac:dyDescent="0.2">
      <c r="A373" s="398"/>
      <c r="B373" s="398"/>
      <c r="C373" s="398"/>
      <c r="D373" s="329"/>
      <c r="E373" s="329"/>
      <c r="F373" s="329"/>
      <c r="G373" s="329"/>
      <c r="H373" s="329"/>
    </row>
    <row r="374" spans="1:8" x14ac:dyDescent="0.2">
      <c r="A374" s="398"/>
      <c r="B374" s="398"/>
      <c r="C374" s="398"/>
      <c r="D374" s="329"/>
      <c r="E374" s="329"/>
      <c r="F374" s="329"/>
      <c r="G374" s="329"/>
      <c r="H374" s="329"/>
    </row>
    <row r="375" spans="1:8" x14ac:dyDescent="0.2">
      <c r="A375" s="398"/>
      <c r="B375" s="398"/>
      <c r="C375" s="398"/>
      <c r="D375" s="329"/>
      <c r="E375" s="329"/>
      <c r="F375" s="329"/>
      <c r="G375" s="329"/>
      <c r="H375" s="329"/>
    </row>
    <row r="376" spans="1:8" x14ac:dyDescent="0.2">
      <c r="A376" s="398"/>
      <c r="B376" s="398"/>
      <c r="C376" s="398"/>
      <c r="D376" s="329"/>
      <c r="E376" s="329"/>
      <c r="F376" s="329"/>
      <c r="G376" s="329"/>
      <c r="H376" s="329"/>
    </row>
    <row r="377" spans="1:8" x14ac:dyDescent="0.2">
      <c r="A377" s="398"/>
      <c r="B377" s="398"/>
      <c r="C377" s="398"/>
      <c r="D377" s="329"/>
      <c r="E377" s="329"/>
      <c r="F377" s="329"/>
      <c r="G377" s="329"/>
      <c r="H377" s="329"/>
    </row>
    <row r="378" spans="1:8" x14ac:dyDescent="0.2">
      <c r="A378" s="398"/>
      <c r="B378" s="398"/>
      <c r="C378" s="398"/>
      <c r="D378" s="329"/>
      <c r="E378" s="329"/>
      <c r="F378" s="329"/>
      <c r="G378" s="329"/>
      <c r="H378" s="329"/>
    </row>
    <row r="379" spans="1:8" x14ac:dyDescent="0.2">
      <c r="A379" s="398"/>
      <c r="B379" s="398"/>
      <c r="C379" s="398"/>
      <c r="D379" s="329"/>
      <c r="E379" s="329"/>
      <c r="F379" s="329"/>
      <c r="G379" s="329"/>
      <c r="H379" s="329"/>
    </row>
    <row r="380" spans="1:8" x14ac:dyDescent="0.2">
      <c r="A380" s="398"/>
      <c r="B380" s="398"/>
      <c r="C380" s="398"/>
      <c r="D380" s="329"/>
      <c r="E380" s="329"/>
      <c r="F380" s="329"/>
      <c r="G380" s="329"/>
      <c r="H380" s="329"/>
    </row>
    <row r="381" spans="1:8" x14ac:dyDescent="0.2">
      <c r="A381" s="398"/>
      <c r="B381" s="398"/>
      <c r="C381" s="398"/>
      <c r="D381" s="329"/>
      <c r="E381" s="329"/>
      <c r="F381" s="329"/>
      <c r="G381" s="329"/>
      <c r="H381" s="329"/>
    </row>
    <row r="382" spans="1:8" x14ac:dyDescent="0.2">
      <c r="A382" s="398"/>
      <c r="B382" s="398"/>
      <c r="C382" s="398"/>
      <c r="D382" s="329"/>
      <c r="E382" s="329"/>
      <c r="F382" s="329"/>
      <c r="G382" s="329"/>
      <c r="H382" s="329"/>
    </row>
    <row r="383" spans="1:8" x14ac:dyDescent="0.2">
      <c r="A383" s="398"/>
      <c r="B383" s="398"/>
      <c r="C383" s="398"/>
      <c r="D383" s="329"/>
      <c r="E383" s="329"/>
      <c r="F383" s="329"/>
      <c r="G383" s="329"/>
      <c r="H383" s="329"/>
    </row>
    <row r="384" spans="1:8" x14ac:dyDescent="0.2">
      <c r="A384" s="398"/>
      <c r="B384" s="398"/>
      <c r="C384" s="398"/>
      <c r="D384" s="329"/>
      <c r="E384" s="329"/>
      <c r="F384" s="329"/>
      <c r="G384" s="329"/>
      <c r="H384" s="329"/>
    </row>
    <row r="385" spans="1:8" x14ac:dyDescent="0.2">
      <c r="A385" s="398"/>
      <c r="B385" s="398"/>
      <c r="C385" s="398"/>
      <c r="D385" s="329"/>
      <c r="E385" s="329"/>
      <c r="F385" s="329"/>
      <c r="G385" s="329"/>
      <c r="H385" s="329"/>
    </row>
    <row r="386" spans="1:8" x14ac:dyDescent="0.2">
      <c r="A386" s="398"/>
      <c r="B386" s="398"/>
      <c r="C386" s="398"/>
      <c r="D386" s="329"/>
      <c r="E386" s="329"/>
      <c r="F386" s="329"/>
      <c r="G386" s="329"/>
      <c r="H386" s="329"/>
    </row>
    <row r="387" spans="1:8" x14ac:dyDescent="0.2">
      <c r="A387" s="398"/>
      <c r="B387" s="398"/>
      <c r="C387" s="398"/>
      <c r="D387" s="329"/>
      <c r="E387" s="329"/>
      <c r="F387" s="329"/>
      <c r="G387" s="329"/>
      <c r="H387" s="329"/>
    </row>
    <row r="388" spans="1:8" x14ac:dyDescent="0.2">
      <c r="A388" s="398"/>
      <c r="B388" s="398"/>
      <c r="C388" s="398"/>
      <c r="D388" s="329"/>
      <c r="E388" s="329"/>
      <c r="F388" s="329"/>
      <c r="G388" s="329"/>
      <c r="H388" s="329"/>
    </row>
    <row r="389" spans="1:8" x14ac:dyDescent="0.2">
      <c r="A389" s="398"/>
      <c r="B389" s="398"/>
      <c r="C389" s="398"/>
      <c r="D389" s="329"/>
      <c r="E389" s="329"/>
      <c r="F389" s="329"/>
      <c r="G389" s="329"/>
      <c r="H389" s="329"/>
    </row>
    <row r="390" spans="1:8" x14ac:dyDescent="0.2">
      <c r="A390" s="398"/>
      <c r="B390" s="398"/>
      <c r="C390" s="398"/>
      <c r="D390" s="329"/>
      <c r="E390" s="329"/>
      <c r="F390" s="329"/>
      <c r="G390" s="329"/>
      <c r="H390" s="329"/>
    </row>
    <row r="391" spans="1:8" x14ac:dyDescent="0.2">
      <c r="A391" s="398"/>
      <c r="B391" s="398"/>
      <c r="C391" s="398"/>
      <c r="D391" s="329"/>
      <c r="E391" s="329"/>
      <c r="F391" s="329"/>
      <c r="G391" s="329"/>
      <c r="H391" s="329"/>
    </row>
    <row r="392" spans="1:8" x14ac:dyDescent="0.2">
      <c r="A392" s="398"/>
      <c r="B392" s="398"/>
      <c r="C392" s="398"/>
      <c r="D392" s="329"/>
      <c r="E392" s="329"/>
      <c r="F392" s="329"/>
      <c r="G392" s="329"/>
      <c r="H392" s="329"/>
    </row>
    <row r="393" spans="1:8" x14ac:dyDescent="0.2">
      <c r="A393" s="398"/>
      <c r="B393" s="398"/>
      <c r="C393" s="398"/>
      <c r="D393" s="329"/>
      <c r="E393" s="329"/>
      <c r="F393" s="329"/>
      <c r="G393" s="329"/>
      <c r="H393" s="329"/>
    </row>
    <row r="394" spans="1:8" x14ac:dyDescent="0.2">
      <c r="A394" s="398"/>
      <c r="B394" s="398"/>
      <c r="C394" s="398"/>
      <c r="D394" s="329"/>
      <c r="E394" s="329"/>
      <c r="F394" s="329"/>
      <c r="G394" s="329"/>
      <c r="H394" s="329"/>
    </row>
    <row r="395" spans="1:8" x14ac:dyDescent="0.2">
      <c r="A395" s="398"/>
      <c r="B395" s="398"/>
      <c r="C395" s="398"/>
      <c r="D395" s="329"/>
      <c r="E395" s="329"/>
      <c r="F395" s="329"/>
      <c r="G395" s="329"/>
      <c r="H395" s="329"/>
    </row>
    <row r="396" spans="1:8" x14ac:dyDescent="0.2">
      <c r="A396" s="398"/>
      <c r="B396" s="398"/>
      <c r="C396" s="398"/>
      <c r="D396" s="329"/>
      <c r="E396" s="329"/>
      <c r="F396" s="329"/>
      <c r="G396" s="329"/>
      <c r="H396" s="329"/>
    </row>
    <row r="397" spans="1:8" x14ac:dyDescent="0.2">
      <c r="A397" s="398"/>
      <c r="B397" s="398"/>
      <c r="C397" s="398"/>
      <c r="D397" s="329"/>
      <c r="E397" s="329"/>
      <c r="F397" s="329"/>
      <c r="G397" s="329"/>
      <c r="H397" s="329"/>
    </row>
    <row r="398" spans="1:8" x14ac:dyDescent="0.2">
      <c r="A398" s="398"/>
      <c r="B398" s="398"/>
      <c r="C398" s="398"/>
      <c r="D398" s="329"/>
      <c r="E398" s="329"/>
      <c r="F398" s="329"/>
      <c r="G398" s="329"/>
      <c r="H398" s="329"/>
    </row>
    <row r="399" spans="1:8" x14ac:dyDescent="0.2">
      <c r="A399" s="398"/>
      <c r="B399" s="398"/>
      <c r="C399" s="398"/>
      <c r="D399" s="329"/>
      <c r="E399" s="329"/>
      <c r="F399" s="329"/>
      <c r="G399" s="329"/>
      <c r="H399" s="329"/>
    </row>
    <row r="400" spans="1:8" x14ac:dyDescent="0.2">
      <c r="A400" s="398"/>
      <c r="B400" s="398"/>
      <c r="C400" s="398"/>
      <c r="D400" s="329"/>
      <c r="E400" s="329"/>
      <c r="F400" s="329"/>
      <c r="G400" s="329"/>
      <c r="H400" s="329"/>
    </row>
    <row r="401" spans="1:8" x14ac:dyDescent="0.2">
      <c r="A401" s="398"/>
      <c r="B401" s="398"/>
      <c r="C401" s="398"/>
      <c r="D401" s="329"/>
      <c r="E401" s="329"/>
      <c r="F401" s="329"/>
      <c r="G401" s="329"/>
      <c r="H401" s="329"/>
    </row>
    <row r="402" spans="1:8" x14ac:dyDescent="0.2">
      <c r="A402" s="398"/>
      <c r="B402" s="398"/>
      <c r="C402" s="398"/>
      <c r="D402" s="329"/>
      <c r="E402" s="329"/>
      <c r="F402" s="329"/>
      <c r="G402" s="329"/>
      <c r="H402" s="329"/>
    </row>
    <row r="403" spans="1:8" x14ac:dyDescent="0.2">
      <c r="A403" s="398"/>
      <c r="B403" s="398"/>
      <c r="C403" s="398"/>
      <c r="D403" s="329"/>
      <c r="E403" s="329"/>
      <c r="F403" s="329"/>
      <c r="G403" s="329"/>
      <c r="H403" s="329"/>
    </row>
    <row r="404" spans="1:8" x14ac:dyDescent="0.2">
      <c r="A404" s="398"/>
      <c r="B404" s="398"/>
      <c r="C404" s="398"/>
      <c r="D404" s="329"/>
      <c r="E404" s="329"/>
      <c r="F404" s="329"/>
      <c r="G404" s="329"/>
      <c r="H404" s="329"/>
    </row>
    <row r="405" spans="1:8" x14ac:dyDescent="0.2">
      <c r="A405" s="398"/>
      <c r="B405" s="398"/>
      <c r="C405" s="398"/>
      <c r="D405" s="329"/>
      <c r="E405" s="329"/>
      <c r="F405" s="329"/>
      <c r="G405" s="329"/>
      <c r="H405" s="329"/>
    </row>
    <row r="406" spans="1:8" x14ac:dyDescent="0.2">
      <c r="A406" s="398"/>
      <c r="B406" s="398"/>
      <c r="C406" s="398"/>
      <c r="D406" s="329"/>
      <c r="E406" s="329"/>
      <c r="F406" s="329"/>
      <c r="G406" s="329"/>
      <c r="H406" s="329"/>
    </row>
    <row r="407" spans="1:8" x14ac:dyDescent="0.2">
      <c r="A407" s="398"/>
      <c r="B407" s="398"/>
      <c r="C407" s="398"/>
      <c r="D407" s="329"/>
      <c r="E407" s="329"/>
      <c r="F407" s="329"/>
      <c r="G407" s="329"/>
      <c r="H407" s="329"/>
    </row>
    <row r="408" spans="1:8" x14ac:dyDescent="0.2">
      <c r="A408" s="398"/>
      <c r="B408" s="398"/>
      <c r="C408" s="398"/>
      <c r="D408" s="329"/>
      <c r="E408" s="329"/>
      <c r="F408" s="329"/>
      <c r="G408" s="329"/>
      <c r="H408" s="329"/>
    </row>
    <row r="409" spans="1:8" x14ac:dyDescent="0.2">
      <c r="A409" s="398"/>
      <c r="B409" s="398"/>
      <c r="C409" s="398"/>
      <c r="D409" s="329"/>
      <c r="E409" s="329"/>
      <c r="F409" s="329"/>
      <c r="G409" s="329"/>
      <c r="H409" s="329"/>
    </row>
    <row r="410" spans="1:8" x14ac:dyDescent="0.2">
      <c r="A410" s="398"/>
      <c r="B410" s="398"/>
      <c r="C410" s="398"/>
      <c r="D410" s="329"/>
      <c r="E410" s="329"/>
      <c r="F410" s="329"/>
      <c r="G410" s="329"/>
      <c r="H410" s="329"/>
    </row>
    <row r="411" spans="1:8" x14ac:dyDescent="0.2">
      <c r="A411" s="398"/>
      <c r="B411" s="398"/>
      <c r="C411" s="398"/>
      <c r="D411" s="329"/>
      <c r="E411" s="329"/>
      <c r="F411" s="329"/>
      <c r="G411" s="329"/>
      <c r="H411" s="329"/>
    </row>
    <row r="412" spans="1:8" x14ac:dyDescent="0.2">
      <c r="A412" s="398"/>
      <c r="B412" s="398"/>
      <c r="C412" s="398"/>
      <c r="D412" s="329"/>
      <c r="E412" s="329"/>
      <c r="F412" s="329"/>
      <c r="G412" s="329"/>
      <c r="H412" s="329"/>
    </row>
    <row r="413" spans="1:8" x14ac:dyDescent="0.2">
      <c r="A413" s="398"/>
      <c r="B413" s="398"/>
      <c r="C413" s="398"/>
      <c r="D413" s="329"/>
      <c r="E413" s="329"/>
      <c r="F413" s="329"/>
      <c r="G413" s="329"/>
      <c r="H413" s="329"/>
    </row>
    <row r="414" spans="1:8" x14ac:dyDescent="0.2">
      <c r="A414" s="398"/>
      <c r="B414" s="398"/>
      <c r="C414" s="398"/>
      <c r="D414" s="329"/>
      <c r="E414" s="329"/>
      <c r="F414" s="329"/>
      <c r="G414" s="329"/>
      <c r="H414" s="329"/>
    </row>
    <row r="415" spans="1:8" x14ac:dyDescent="0.2">
      <c r="A415" s="398"/>
      <c r="B415" s="398"/>
      <c r="C415" s="398"/>
      <c r="D415" s="329"/>
      <c r="E415" s="329"/>
      <c r="F415" s="329"/>
      <c r="G415" s="329"/>
      <c r="H415" s="329"/>
    </row>
    <row r="416" spans="1:8" x14ac:dyDescent="0.2">
      <c r="A416" s="398"/>
      <c r="B416" s="398"/>
      <c r="C416" s="398"/>
      <c r="D416" s="329"/>
      <c r="E416" s="329"/>
      <c r="F416" s="329"/>
      <c r="G416" s="329"/>
      <c r="H416" s="329"/>
    </row>
    <row r="417" spans="1:8" x14ac:dyDescent="0.2">
      <c r="A417" s="398"/>
      <c r="B417" s="398"/>
      <c r="C417" s="398"/>
      <c r="D417" s="329"/>
      <c r="E417" s="329"/>
      <c r="F417" s="329"/>
      <c r="G417" s="329"/>
      <c r="H417" s="329"/>
    </row>
    <row r="418" spans="1:8" x14ac:dyDescent="0.2">
      <c r="A418" s="398"/>
      <c r="B418" s="398"/>
      <c r="C418" s="398"/>
      <c r="D418" s="329"/>
      <c r="E418" s="329"/>
      <c r="F418" s="329"/>
      <c r="G418" s="329"/>
      <c r="H418" s="329"/>
    </row>
    <row r="419" spans="1:8" x14ac:dyDescent="0.2">
      <c r="A419" s="398"/>
      <c r="B419" s="398"/>
      <c r="C419" s="398"/>
      <c r="D419" s="329"/>
      <c r="E419" s="329"/>
      <c r="F419" s="329"/>
      <c r="G419" s="329"/>
      <c r="H419" s="329"/>
    </row>
    <row r="420" spans="1:8" x14ac:dyDescent="0.2">
      <c r="A420" s="398"/>
      <c r="B420" s="398"/>
      <c r="C420" s="398"/>
      <c r="D420" s="329"/>
      <c r="E420" s="329"/>
      <c r="F420" s="329"/>
      <c r="G420" s="329"/>
      <c r="H420" s="329"/>
    </row>
    <row r="421" spans="1:8" x14ac:dyDescent="0.2">
      <c r="A421" s="398"/>
      <c r="B421" s="398"/>
      <c r="C421" s="398"/>
      <c r="D421" s="329"/>
      <c r="E421" s="329"/>
      <c r="F421" s="329"/>
      <c r="G421" s="329"/>
      <c r="H421" s="329"/>
    </row>
    <row r="422" spans="1:8" x14ac:dyDescent="0.2">
      <c r="A422" s="398"/>
      <c r="B422" s="398"/>
      <c r="C422" s="398"/>
      <c r="D422" s="329"/>
      <c r="E422" s="329"/>
      <c r="F422" s="329"/>
      <c r="G422" s="329"/>
      <c r="H422" s="329"/>
    </row>
    <row r="423" spans="1:8" x14ac:dyDescent="0.2">
      <c r="A423" s="398"/>
      <c r="B423" s="398"/>
      <c r="C423" s="398"/>
      <c r="D423" s="329"/>
      <c r="E423" s="329"/>
      <c r="F423" s="329"/>
      <c r="G423" s="329"/>
      <c r="H423" s="329"/>
    </row>
    <row r="424" spans="1:8" x14ac:dyDescent="0.2">
      <c r="A424" s="398"/>
      <c r="B424" s="398"/>
      <c r="C424" s="398"/>
      <c r="D424" s="329"/>
      <c r="E424" s="329"/>
      <c r="F424" s="329"/>
      <c r="G424" s="329"/>
      <c r="H424" s="329"/>
    </row>
    <row r="425" spans="1:8" x14ac:dyDescent="0.2">
      <c r="A425" s="398"/>
      <c r="B425" s="398"/>
      <c r="C425" s="398"/>
      <c r="D425" s="329"/>
      <c r="E425" s="329"/>
      <c r="F425" s="329"/>
      <c r="G425" s="329"/>
      <c r="H425" s="329"/>
    </row>
    <row r="426" spans="1:8" x14ac:dyDescent="0.2">
      <c r="A426" s="398"/>
      <c r="B426" s="398"/>
      <c r="C426" s="398"/>
      <c r="D426" s="329"/>
      <c r="E426" s="329"/>
      <c r="F426" s="329"/>
      <c r="G426" s="329"/>
      <c r="H426" s="329"/>
    </row>
    <row r="427" spans="1:8" x14ac:dyDescent="0.2">
      <c r="A427" s="398"/>
      <c r="B427" s="398"/>
      <c r="C427" s="398"/>
      <c r="D427" s="329"/>
      <c r="E427" s="329"/>
      <c r="F427" s="329"/>
      <c r="G427" s="329"/>
      <c r="H427" s="329"/>
    </row>
    <row r="428" spans="1:8" x14ac:dyDescent="0.2">
      <c r="A428" s="398"/>
      <c r="B428" s="398"/>
      <c r="C428" s="398"/>
      <c r="D428" s="329"/>
      <c r="E428" s="329"/>
      <c r="F428" s="329"/>
      <c r="G428" s="329"/>
      <c r="H428" s="329"/>
    </row>
    <row r="429" spans="1:8" x14ac:dyDescent="0.2">
      <c r="A429" s="398"/>
      <c r="B429" s="398"/>
      <c r="C429" s="398"/>
      <c r="D429" s="329"/>
      <c r="E429" s="329"/>
      <c r="F429" s="329"/>
      <c r="G429" s="329"/>
      <c r="H429" s="329"/>
    </row>
    <row r="430" spans="1:8" x14ac:dyDescent="0.2">
      <c r="A430" s="398"/>
      <c r="B430" s="398"/>
      <c r="C430" s="398"/>
      <c r="D430" s="329"/>
      <c r="E430" s="329"/>
      <c r="F430" s="329"/>
      <c r="G430" s="329"/>
      <c r="H430" s="329"/>
    </row>
    <row r="431" spans="1:8" x14ac:dyDescent="0.2">
      <c r="A431" s="398"/>
      <c r="B431" s="398"/>
      <c r="C431" s="398"/>
      <c r="D431" s="329"/>
      <c r="E431" s="329"/>
      <c r="F431" s="329"/>
      <c r="G431" s="329"/>
      <c r="H431" s="329"/>
    </row>
    <row r="432" spans="1:8" x14ac:dyDescent="0.2">
      <c r="A432" s="398"/>
      <c r="B432" s="398"/>
      <c r="C432" s="398"/>
      <c r="D432" s="329"/>
      <c r="E432" s="329"/>
      <c r="F432" s="329"/>
      <c r="G432" s="329"/>
      <c r="H432" s="329"/>
    </row>
    <row r="433" spans="1:8" x14ac:dyDescent="0.2">
      <c r="A433" s="398"/>
      <c r="B433" s="398"/>
      <c r="C433" s="398"/>
      <c r="D433" s="329"/>
      <c r="E433" s="329"/>
      <c r="F433" s="329"/>
      <c r="G433" s="329"/>
      <c r="H433" s="329"/>
    </row>
    <row r="434" spans="1:8" x14ac:dyDescent="0.2">
      <c r="A434" s="398"/>
      <c r="B434" s="398"/>
      <c r="C434" s="398"/>
      <c r="D434" s="329"/>
      <c r="E434" s="329"/>
      <c r="F434" s="329"/>
      <c r="G434" s="329"/>
      <c r="H434" s="329"/>
    </row>
    <row r="435" spans="1:8" x14ac:dyDescent="0.2">
      <c r="A435" s="398"/>
      <c r="B435" s="398"/>
      <c r="C435" s="398"/>
      <c r="D435" s="329"/>
      <c r="E435" s="329"/>
      <c r="F435" s="329"/>
      <c r="G435" s="329"/>
      <c r="H435" s="329"/>
    </row>
    <row r="436" spans="1:8" x14ac:dyDescent="0.2">
      <c r="A436" s="398"/>
      <c r="B436" s="398"/>
      <c r="C436" s="398"/>
      <c r="D436" s="329"/>
      <c r="E436" s="329"/>
      <c r="F436" s="329"/>
      <c r="G436" s="329"/>
      <c r="H436" s="329"/>
    </row>
    <row r="437" spans="1:8" x14ac:dyDescent="0.2">
      <c r="A437" s="398"/>
      <c r="B437" s="398"/>
      <c r="C437" s="398"/>
      <c r="D437" s="329"/>
      <c r="E437" s="329"/>
      <c r="F437" s="329"/>
      <c r="G437" s="329"/>
      <c r="H437" s="329"/>
    </row>
    <row r="438" spans="1:8" x14ac:dyDescent="0.2">
      <c r="A438" s="398"/>
      <c r="B438" s="398"/>
      <c r="C438" s="398"/>
      <c r="D438" s="329"/>
      <c r="E438" s="329"/>
      <c r="F438" s="329"/>
      <c r="G438" s="329"/>
      <c r="H438" s="329"/>
    </row>
    <row r="439" spans="1:8" x14ac:dyDescent="0.2">
      <c r="A439" s="398"/>
      <c r="B439" s="398"/>
      <c r="C439" s="398"/>
      <c r="D439" s="329"/>
      <c r="E439" s="329"/>
      <c r="F439" s="329"/>
      <c r="G439" s="329"/>
      <c r="H439" s="329"/>
    </row>
    <row r="440" spans="1:8" x14ac:dyDescent="0.2">
      <c r="A440" s="398"/>
      <c r="B440" s="398"/>
      <c r="C440" s="398"/>
      <c r="D440" s="329"/>
      <c r="E440" s="329"/>
      <c r="F440" s="329"/>
      <c r="G440" s="329"/>
      <c r="H440" s="329"/>
    </row>
    <row r="441" spans="1:8" x14ac:dyDescent="0.2">
      <c r="A441" s="398"/>
      <c r="B441" s="398"/>
      <c r="C441" s="398"/>
      <c r="D441" s="329"/>
      <c r="E441" s="329"/>
      <c r="F441" s="329"/>
      <c r="G441" s="329"/>
      <c r="H441" s="329"/>
    </row>
    <row r="442" spans="1:8" x14ac:dyDescent="0.2">
      <c r="A442" s="398"/>
      <c r="B442" s="398"/>
      <c r="C442" s="398"/>
      <c r="D442" s="329"/>
      <c r="E442" s="329"/>
      <c r="F442" s="329"/>
      <c r="G442" s="329"/>
      <c r="H442" s="329"/>
    </row>
    <row r="443" spans="1:8" x14ac:dyDescent="0.2">
      <c r="A443" s="398"/>
      <c r="B443" s="398"/>
      <c r="C443" s="398"/>
      <c r="D443" s="329"/>
      <c r="E443" s="329"/>
      <c r="F443" s="329"/>
      <c r="G443" s="329"/>
      <c r="H443" s="329"/>
    </row>
    <row r="444" spans="1:8" x14ac:dyDescent="0.2">
      <c r="A444" s="398"/>
      <c r="B444" s="398"/>
      <c r="C444" s="398"/>
      <c r="D444" s="329"/>
      <c r="E444" s="329"/>
      <c r="F444" s="329"/>
      <c r="G444" s="329"/>
      <c r="H444" s="329"/>
    </row>
    <row r="445" spans="1:8" x14ac:dyDescent="0.2">
      <c r="A445" s="398"/>
      <c r="B445" s="398"/>
      <c r="C445" s="398"/>
      <c r="D445" s="329"/>
      <c r="E445" s="329"/>
      <c r="F445" s="329"/>
      <c r="G445" s="329"/>
      <c r="H445" s="329"/>
    </row>
    <row r="446" spans="1:8" x14ac:dyDescent="0.2">
      <c r="A446" s="398"/>
      <c r="B446" s="398"/>
      <c r="C446" s="398"/>
      <c r="D446" s="329"/>
      <c r="E446" s="329"/>
      <c r="F446" s="329"/>
      <c r="G446" s="329"/>
      <c r="H446" s="329"/>
    </row>
    <row r="447" spans="1:8" x14ac:dyDescent="0.2">
      <c r="A447" s="398"/>
      <c r="B447" s="398"/>
      <c r="C447" s="398"/>
      <c r="D447" s="329"/>
      <c r="E447" s="329"/>
      <c r="F447" s="329"/>
      <c r="G447" s="329"/>
      <c r="H447" s="329"/>
    </row>
    <row r="448" spans="1:8" x14ac:dyDescent="0.2">
      <c r="A448" s="398"/>
      <c r="B448" s="398"/>
      <c r="C448" s="398"/>
      <c r="D448" s="329"/>
      <c r="E448" s="329"/>
      <c r="F448" s="329"/>
      <c r="G448" s="329"/>
      <c r="H448" s="329"/>
    </row>
    <row r="449" spans="1:8" x14ac:dyDescent="0.2">
      <c r="A449" s="398"/>
      <c r="B449" s="398"/>
      <c r="C449" s="398"/>
      <c r="D449" s="329"/>
      <c r="E449" s="329"/>
      <c r="F449" s="329"/>
      <c r="G449" s="329"/>
      <c r="H449" s="329"/>
    </row>
    <row r="450" spans="1:8" x14ac:dyDescent="0.2">
      <c r="A450" s="398"/>
      <c r="B450" s="398"/>
      <c r="C450" s="398"/>
      <c r="D450" s="329"/>
      <c r="E450" s="329"/>
      <c r="F450" s="329"/>
      <c r="G450" s="329"/>
      <c r="H450" s="329"/>
    </row>
    <row r="451" spans="1:8" x14ac:dyDescent="0.2">
      <c r="A451" s="398"/>
      <c r="B451" s="398"/>
      <c r="C451" s="398"/>
      <c r="D451" s="329"/>
      <c r="E451" s="329"/>
      <c r="F451" s="329"/>
      <c r="G451" s="329"/>
      <c r="H451" s="329"/>
    </row>
    <row r="452" spans="1:8" x14ac:dyDescent="0.2">
      <c r="A452" s="398"/>
      <c r="B452" s="398"/>
      <c r="C452" s="398"/>
      <c r="D452" s="329"/>
      <c r="E452" s="329"/>
      <c r="F452" s="329"/>
      <c r="G452" s="329"/>
      <c r="H452" s="329"/>
    </row>
    <row r="453" spans="1:8" x14ac:dyDescent="0.2">
      <c r="A453" s="398"/>
      <c r="B453" s="398"/>
      <c r="C453" s="398"/>
      <c r="D453" s="329"/>
      <c r="E453" s="329"/>
      <c r="F453" s="329"/>
      <c r="G453" s="329"/>
      <c r="H453" s="329"/>
    </row>
    <row r="454" spans="1:8" x14ac:dyDescent="0.2">
      <c r="A454" s="398"/>
      <c r="B454" s="398"/>
      <c r="C454" s="398"/>
      <c r="D454" s="329"/>
      <c r="E454" s="329"/>
      <c r="F454" s="329"/>
      <c r="G454" s="329"/>
      <c r="H454" s="329"/>
    </row>
    <row r="455" spans="1:8" x14ac:dyDescent="0.2">
      <c r="A455" s="398"/>
      <c r="B455" s="398"/>
      <c r="C455" s="398"/>
      <c r="D455" s="329"/>
      <c r="E455" s="329"/>
      <c r="F455" s="329"/>
      <c r="G455" s="329"/>
      <c r="H455" s="329"/>
    </row>
    <row r="456" spans="1:8" x14ac:dyDescent="0.2">
      <c r="A456" s="398"/>
      <c r="B456" s="398"/>
      <c r="C456" s="398"/>
      <c r="D456" s="329"/>
      <c r="E456" s="329"/>
      <c r="F456" s="329"/>
      <c r="G456" s="329"/>
      <c r="H456" s="329"/>
    </row>
    <row r="457" spans="1:8" x14ac:dyDescent="0.2">
      <c r="A457" s="398"/>
      <c r="B457" s="398"/>
      <c r="C457" s="398"/>
      <c r="D457" s="329"/>
      <c r="E457" s="329"/>
      <c r="F457" s="329"/>
      <c r="G457" s="329"/>
      <c r="H457" s="329"/>
    </row>
    <row r="458" spans="1:8" x14ac:dyDescent="0.2">
      <c r="A458" s="398"/>
      <c r="B458" s="398"/>
      <c r="C458" s="398"/>
      <c r="D458" s="329"/>
      <c r="E458" s="329"/>
      <c r="F458" s="329"/>
      <c r="G458" s="329"/>
      <c r="H458" s="329"/>
    </row>
    <row r="459" spans="1:8" x14ac:dyDescent="0.2">
      <c r="A459" s="398"/>
      <c r="B459" s="398"/>
      <c r="C459" s="398"/>
      <c r="D459" s="329"/>
      <c r="E459" s="329"/>
      <c r="F459" s="329"/>
      <c r="G459" s="329"/>
      <c r="H459" s="329"/>
    </row>
    <row r="460" spans="1:8" x14ac:dyDescent="0.2">
      <c r="A460" s="398"/>
      <c r="B460" s="398"/>
      <c r="C460" s="398"/>
      <c r="D460" s="329"/>
      <c r="E460" s="329"/>
      <c r="F460" s="329"/>
      <c r="G460" s="329"/>
      <c r="H460" s="329"/>
    </row>
    <row r="461" spans="1:8" x14ac:dyDescent="0.2">
      <c r="A461" s="398"/>
      <c r="B461" s="398"/>
      <c r="C461" s="398"/>
      <c r="D461" s="329"/>
      <c r="E461" s="329"/>
      <c r="F461" s="329"/>
      <c r="G461" s="329"/>
      <c r="H461" s="329"/>
    </row>
    <row r="462" spans="1:8" x14ac:dyDescent="0.2">
      <c r="A462" s="398"/>
      <c r="B462" s="398"/>
      <c r="C462" s="398"/>
      <c r="D462" s="329"/>
      <c r="E462" s="329"/>
      <c r="F462" s="329"/>
      <c r="G462" s="329"/>
      <c r="H462" s="329"/>
    </row>
    <row r="463" spans="1:8" x14ac:dyDescent="0.2">
      <c r="A463" s="398"/>
      <c r="B463" s="398"/>
      <c r="C463" s="398"/>
      <c r="D463" s="329"/>
      <c r="E463" s="329"/>
      <c r="F463" s="329"/>
      <c r="G463" s="329"/>
      <c r="H463" s="329"/>
    </row>
    <row r="464" spans="1:8" x14ac:dyDescent="0.2">
      <c r="A464" s="398"/>
      <c r="B464" s="398"/>
      <c r="C464" s="398"/>
      <c r="D464" s="329"/>
      <c r="E464" s="329"/>
      <c r="F464" s="329"/>
      <c r="G464" s="329"/>
      <c r="H464" s="329"/>
    </row>
    <row r="465" spans="1:8" x14ac:dyDescent="0.2">
      <c r="A465" s="398"/>
      <c r="B465" s="398"/>
      <c r="C465" s="398"/>
      <c r="D465" s="329"/>
      <c r="E465" s="329"/>
      <c r="F465" s="329"/>
      <c r="G465" s="329"/>
      <c r="H465" s="329"/>
    </row>
    <row r="466" spans="1:8" x14ac:dyDescent="0.2">
      <c r="A466" s="398"/>
      <c r="B466" s="398"/>
      <c r="C466" s="398"/>
      <c r="D466" s="329"/>
      <c r="E466" s="329"/>
      <c r="F466" s="329"/>
      <c r="G466" s="329"/>
      <c r="H466" s="329"/>
    </row>
    <row r="467" spans="1:8" x14ac:dyDescent="0.2">
      <c r="A467" s="398"/>
      <c r="B467" s="398"/>
      <c r="C467" s="398"/>
      <c r="D467" s="329"/>
      <c r="E467" s="329"/>
      <c r="F467" s="329"/>
      <c r="G467" s="329"/>
      <c r="H467" s="329"/>
    </row>
    <row r="468" spans="1:8" x14ac:dyDescent="0.2">
      <c r="A468" s="398"/>
      <c r="B468" s="398"/>
      <c r="C468" s="398"/>
      <c r="D468" s="329"/>
      <c r="E468" s="329"/>
      <c r="F468" s="329"/>
      <c r="G468" s="329"/>
      <c r="H468" s="329"/>
    </row>
    <row r="469" spans="1:8" x14ac:dyDescent="0.2">
      <c r="A469" s="398"/>
      <c r="B469" s="398"/>
      <c r="C469" s="398"/>
      <c r="D469" s="329"/>
      <c r="E469" s="329"/>
      <c r="F469" s="329"/>
      <c r="G469" s="329"/>
      <c r="H469" s="329"/>
    </row>
    <row r="470" spans="1:8" x14ac:dyDescent="0.2">
      <c r="A470" s="398"/>
      <c r="B470" s="398"/>
      <c r="C470" s="398"/>
      <c r="D470" s="329"/>
      <c r="E470" s="329"/>
      <c r="F470" s="329"/>
      <c r="G470" s="329"/>
      <c r="H470" s="329"/>
    </row>
    <row r="471" spans="1:8" x14ac:dyDescent="0.2">
      <c r="A471" s="398"/>
      <c r="B471" s="398"/>
      <c r="C471" s="398"/>
      <c r="D471" s="329"/>
      <c r="E471" s="329"/>
      <c r="F471" s="329"/>
      <c r="G471" s="329"/>
      <c r="H471" s="329"/>
    </row>
    <row r="472" spans="1:8" x14ac:dyDescent="0.2">
      <c r="A472" s="398"/>
      <c r="B472" s="398"/>
      <c r="C472" s="398"/>
      <c r="D472" s="329"/>
      <c r="E472" s="329"/>
      <c r="F472" s="329"/>
      <c r="G472" s="329"/>
      <c r="H472" s="329"/>
    </row>
    <row r="473" spans="1:8" x14ac:dyDescent="0.2">
      <c r="A473" s="398"/>
      <c r="B473" s="398"/>
      <c r="C473" s="398"/>
      <c r="D473" s="329"/>
      <c r="E473" s="329"/>
      <c r="F473" s="329"/>
      <c r="G473" s="329"/>
      <c r="H473" s="329"/>
    </row>
    <row r="474" spans="1:8" x14ac:dyDescent="0.2">
      <c r="A474" s="398"/>
      <c r="B474" s="398"/>
      <c r="C474" s="398"/>
      <c r="D474" s="329"/>
      <c r="E474" s="329"/>
      <c r="F474" s="329"/>
      <c r="G474" s="329"/>
      <c r="H474" s="329"/>
    </row>
    <row r="475" spans="1:8" x14ac:dyDescent="0.2">
      <c r="A475" s="398"/>
      <c r="B475" s="398"/>
      <c r="C475" s="398"/>
      <c r="D475" s="329"/>
      <c r="E475" s="329"/>
      <c r="F475" s="329"/>
      <c r="G475" s="329"/>
      <c r="H475" s="329"/>
    </row>
    <row r="476" spans="1:8" x14ac:dyDescent="0.2">
      <c r="A476" s="398"/>
      <c r="B476" s="398"/>
      <c r="C476" s="398"/>
      <c r="D476" s="329"/>
      <c r="E476" s="329"/>
      <c r="F476" s="329"/>
      <c r="G476" s="329"/>
      <c r="H476" s="329"/>
    </row>
    <row r="477" spans="1:8" x14ac:dyDescent="0.2">
      <c r="A477" s="398"/>
      <c r="B477" s="398"/>
      <c r="C477" s="398"/>
      <c r="D477" s="329"/>
      <c r="E477" s="329"/>
      <c r="F477" s="329"/>
      <c r="G477" s="329"/>
      <c r="H477" s="329"/>
    </row>
    <row r="478" spans="1:8" x14ac:dyDescent="0.2">
      <c r="A478" s="398"/>
      <c r="B478" s="398"/>
      <c r="C478" s="398"/>
      <c r="D478" s="329"/>
      <c r="E478" s="329"/>
      <c r="F478" s="329"/>
      <c r="G478" s="329"/>
      <c r="H478" s="329"/>
    </row>
    <row r="479" spans="1:8" x14ac:dyDescent="0.2">
      <c r="A479" s="398"/>
      <c r="B479" s="398"/>
      <c r="C479" s="398"/>
      <c r="D479" s="329"/>
      <c r="E479" s="329"/>
      <c r="F479" s="329"/>
      <c r="G479" s="329"/>
      <c r="H479" s="329"/>
    </row>
    <row r="480" spans="1:8" x14ac:dyDescent="0.2">
      <c r="A480" s="398"/>
      <c r="B480" s="398"/>
      <c r="C480" s="398"/>
      <c r="D480" s="329"/>
      <c r="E480" s="329"/>
      <c r="F480" s="329"/>
      <c r="G480" s="329"/>
      <c r="H480" s="329"/>
    </row>
    <row r="481" spans="1:8" x14ac:dyDescent="0.2">
      <c r="A481" s="398"/>
      <c r="B481" s="398"/>
      <c r="C481" s="398"/>
      <c r="D481" s="329"/>
      <c r="E481" s="329"/>
      <c r="F481" s="329"/>
      <c r="G481" s="329"/>
      <c r="H481" s="329"/>
    </row>
    <row r="482" spans="1:8" x14ac:dyDescent="0.2">
      <c r="A482" s="398"/>
      <c r="B482" s="398"/>
      <c r="C482" s="398"/>
      <c r="D482" s="329"/>
      <c r="E482" s="329"/>
      <c r="F482" s="329"/>
      <c r="G482" s="329"/>
      <c r="H482" s="329"/>
    </row>
    <row r="483" spans="1:8" x14ac:dyDescent="0.2">
      <c r="A483" s="398"/>
      <c r="B483" s="398"/>
      <c r="C483" s="398"/>
      <c r="D483" s="329"/>
      <c r="E483" s="329"/>
      <c r="F483" s="329"/>
      <c r="G483" s="329"/>
      <c r="H483" s="329"/>
    </row>
    <row r="484" spans="1:8" x14ac:dyDescent="0.2">
      <c r="A484" s="398"/>
      <c r="B484" s="398"/>
      <c r="C484" s="398"/>
      <c r="D484" s="329"/>
      <c r="E484" s="329"/>
      <c r="F484" s="329"/>
      <c r="G484" s="329"/>
      <c r="H484" s="329"/>
    </row>
    <row r="485" spans="1:8" x14ac:dyDescent="0.2">
      <c r="A485" s="398"/>
      <c r="B485" s="398"/>
      <c r="C485" s="398"/>
      <c r="D485" s="329"/>
      <c r="E485" s="329"/>
      <c r="F485" s="329"/>
      <c r="G485" s="329"/>
      <c r="H485" s="329"/>
    </row>
    <row r="486" spans="1:8" x14ac:dyDescent="0.2">
      <c r="A486" s="398"/>
      <c r="B486" s="398"/>
      <c r="C486" s="398"/>
      <c r="D486" s="329"/>
      <c r="E486" s="329"/>
      <c r="F486" s="329"/>
      <c r="G486" s="329"/>
      <c r="H486" s="329"/>
    </row>
    <row r="487" spans="1:8" x14ac:dyDescent="0.2">
      <c r="A487" s="398"/>
      <c r="B487" s="398"/>
      <c r="C487" s="398"/>
      <c r="D487" s="329"/>
      <c r="E487" s="329"/>
      <c r="F487" s="329"/>
      <c r="G487" s="329"/>
      <c r="H487" s="329"/>
    </row>
    <row r="488" spans="1:8" x14ac:dyDescent="0.2">
      <c r="A488" s="398"/>
      <c r="B488" s="398"/>
      <c r="C488" s="398"/>
      <c r="D488" s="329"/>
      <c r="E488" s="329"/>
      <c r="F488" s="329"/>
      <c r="G488" s="329"/>
      <c r="H488" s="329"/>
    </row>
    <row r="489" spans="1:8" x14ac:dyDescent="0.2">
      <c r="A489" s="398"/>
      <c r="B489" s="398"/>
      <c r="C489" s="398"/>
      <c r="D489" s="329"/>
      <c r="E489" s="329"/>
      <c r="F489" s="329"/>
      <c r="G489" s="329"/>
      <c r="H489" s="329"/>
    </row>
    <row r="490" spans="1:8" x14ac:dyDescent="0.2">
      <c r="A490" s="398"/>
      <c r="B490" s="398"/>
      <c r="C490" s="398"/>
      <c r="D490" s="329"/>
      <c r="E490" s="329"/>
      <c r="F490" s="329"/>
      <c r="G490" s="329"/>
      <c r="H490" s="329"/>
    </row>
    <row r="491" spans="1:8" x14ac:dyDescent="0.2">
      <c r="A491" s="398"/>
      <c r="B491" s="398"/>
      <c r="C491" s="398"/>
      <c r="D491" s="329"/>
      <c r="E491" s="329"/>
      <c r="F491" s="329"/>
      <c r="G491" s="329"/>
      <c r="H491" s="329"/>
    </row>
    <row r="492" spans="1:8" x14ac:dyDescent="0.2">
      <c r="A492" s="398"/>
      <c r="B492" s="398"/>
      <c r="C492" s="398"/>
      <c r="D492" s="329"/>
      <c r="E492" s="329"/>
      <c r="F492" s="329"/>
      <c r="G492" s="329"/>
      <c r="H492" s="329"/>
    </row>
    <row r="493" spans="1:8" x14ac:dyDescent="0.2">
      <c r="A493" s="398"/>
      <c r="B493" s="398"/>
      <c r="C493" s="398"/>
      <c r="D493" s="329"/>
      <c r="E493" s="329"/>
      <c r="F493" s="329"/>
      <c r="G493" s="329"/>
      <c r="H493" s="329"/>
    </row>
    <row r="494" spans="1:8" x14ac:dyDescent="0.2">
      <c r="A494" s="398"/>
      <c r="B494" s="398"/>
      <c r="C494" s="398"/>
      <c r="D494" s="329"/>
      <c r="E494" s="329"/>
      <c r="F494" s="329"/>
      <c r="G494" s="329"/>
      <c r="H494" s="329"/>
    </row>
    <row r="495" spans="1:8" x14ac:dyDescent="0.2">
      <c r="A495" s="398"/>
      <c r="B495" s="398"/>
      <c r="C495" s="398"/>
      <c r="D495" s="329"/>
      <c r="E495" s="329"/>
      <c r="F495" s="329"/>
      <c r="G495" s="329"/>
      <c r="H495" s="329"/>
    </row>
    <row r="496" spans="1:8" x14ac:dyDescent="0.2">
      <c r="A496" s="398"/>
      <c r="B496" s="398"/>
      <c r="C496" s="398"/>
      <c r="D496" s="329"/>
      <c r="E496" s="329"/>
      <c r="F496" s="329"/>
      <c r="G496" s="329"/>
      <c r="H496" s="329"/>
    </row>
    <row r="497" spans="1:8" x14ac:dyDescent="0.2">
      <c r="A497" s="398"/>
      <c r="B497" s="398"/>
      <c r="C497" s="398"/>
      <c r="D497" s="329"/>
      <c r="E497" s="329"/>
      <c r="F497" s="329"/>
      <c r="G497" s="329"/>
      <c r="H497" s="329"/>
    </row>
    <row r="498" spans="1:8" x14ac:dyDescent="0.2">
      <c r="A498" s="398"/>
      <c r="B498" s="398"/>
      <c r="C498" s="398"/>
      <c r="D498" s="329"/>
      <c r="E498" s="329"/>
      <c r="F498" s="329"/>
      <c r="G498" s="329"/>
      <c r="H498" s="329"/>
    </row>
    <row r="499" spans="1:8" x14ac:dyDescent="0.2">
      <c r="A499" s="398"/>
      <c r="B499" s="398"/>
      <c r="C499" s="398"/>
      <c r="D499" s="329"/>
      <c r="E499" s="329"/>
      <c r="F499" s="329"/>
      <c r="G499" s="329"/>
      <c r="H499" s="329"/>
    </row>
    <row r="500" spans="1:8" x14ac:dyDescent="0.2">
      <c r="A500" s="398"/>
      <c r="B500" s="398"/>
      <c r="C500" s="398"/>
      <c r="D500" s="329"/>
      <c r="E500" s="329"/>
      <c r="F500" s="329"/>
      <c r="G500" s="329"/>
      <c r="H500" s="329"/>
    </row>
    <row r="501" spans="1:8" x14ac:dyDescent="0.2">
      <c r="A501" s="398"/>
      <c r="B501" s="398"/>
      <c r="C501" s="398"/>
      <c r="D501" s="329"/>
      <c r="E501" s="329"/>
      <c r="F501" s="329"/>
      <c r="G501" s="329"/>
      <c r="H501" s="329"/>
    </row>
    <row r="502" spans="1:8" x14ac:dyDescent="0.2">
      <c r="A502" s="398"/>
      <c r="B502" s="398"/>
      <c r="C502" s="398"/>
      <c r="D502" s="329"/>
      <c r="E502" s="329"/>
      <c r="F502" s="329"/>
      <c r="G502" s="329"/>
      <c r="H502" s="329"/>
    </row>
    <row r="503" spans="1:8" x14ac:dyDescent="0.2">
      <c r="A503" s="398"/>
      <c r="B503" s="398"/>
      <c r="C503" s="398"/>
      <c r="D503" s="329"/>
      <c r="E503" s="329"/>
      <c r="F503" s="329"/>
      <c r="G503" s="329"/>
      <c r="H503" s="329"/>
    </row>
    <row r="504" spans="1:8" x14ac:dyDescent="0.2">
      <c r="A504" s="398"/>
      <c r="B504" s="398"/>
      <c r="C504" s="398"/>
      <c r="D504" s="329"/>
      <c r="E504" s="329"/>
      <c r="F504" s="329"/>
      <c r="G504" s="329"/>
      <c r="H504" s="329"/>
    </row>
    <row r="505" spans="1:8" x14ac:dyDescent="0.2">
      <c r="A505" s="398"/>
      <c r="B505" s="398"/>
      <c r="C505" s="398"/>
      <c r="D505" s="329"/>
      <c r="E505" s="329"/>
      <c r="F505" s="329"/>
      <c r="G505" s="329"/>
      <c r="H505" s="329"/>
    </row>
    <row r="506" spans="1:8" x14ac:dyDescent="0.2">
      <c r="A506" s="398"/>
      <c r="B506" s="398"/>
      <c r="C506" s="398"/>
      <c r="D506" s="329"/>
      <c r="E506" s="329"/>
      <c r="F506" s="329"/>
      <c r="G506" s="329"/>
      <c r="H506" s="329"/>
    </row>
    <row r="507" spans="1:8" x14ac:dyDescent="0.2">
      <c r="A507" s="398"/>
      <c r="B507" s="398"/>
      <c r="C507" s="398"/>
      <c r="D507" s="329"/>
      <c r="E507" s="329"/>
      <c r="F507" s="329"/>
      <c r="G507" s="329"/>
      <c r="H507" s="329"/>
    </row>
    <row r="508" spans="1:8" x14ac:dyDescent="0.2">
      <c r="A508" s="398"/>
      <c r="B508" s="398"/>
      <c r="C508" s="398"/>
      <c r="D508" s="329"/>
      <c r="E508" s="329"/>
      <c r="F508" s="329"/>
      <c r="G508" s="329"/>
      <c r="H508" s="329"/>
    </row>
    <row r="509" spans="1:8" x14ac:dyDescent="0.2">
      <c r="A509" s="398"/>
      <c r="B509" s="398"/>
      <c r="C509" s="398"/>
      <c r="D509" s="329"/>
      <c r="E509" s="329"/>
      <c r="F509" s="329"/>
      <c r="G509" s="329"/>
      <c r="H509" s="329"/>
    </row>
    <row r="510" spans="1:8" x14ac:dyDescent="0.2">
      <c r="A510" s="398"/>
      <c r="B510" s="398"/>
      <c r="C510" s="398"/>
      <c r="D510" s="329"/>
      <c r="E510" s="329"/>
      <c r="F510" s="329"/>
      <c r="G510" s="329"/>
      <c r="H510" s="329"/>
    </row>
    <row r="511" spans="1:8" x14ac:dyDescent="0.2">
      <c r="A511" s="398"/>
      <c r="B511" s="398"/>
      <c r="C511" s="398"/>
      <c r="D511" s="329"/>
      <c r="E511" s="329"/>
      <c r="F511" s="329"/>
      <c r="G511" s="329"/>
      <c r="H511" s="329"/>
    </row>
    <row r="512" spans="1:8" x14ac:dyDescent="0.2">
      <c r="A512" s="398"/>
      <c r="B512" s="398"/>
      <c r="C512" s="398"/>
      <c r="D512" s="329"/>
      <c r="E512" s="329"/>
      <c r="F512" s="329"/>
      <c r="G512" s="329"/>
      <c r="H512" s="329"/>
    </row>
    <row r="513" spans="1:8" x14ac:dyDescent="0.2">
      <c r="A513" s="398"/>
      <c r="B513" s="398"/>
      <c r="C513" s="398"/>
      <c r="D513" s="329"/>
      <c r="E513" s="329"/>
      <c r="F513" s="329"/>
      <c r="G513" s="329"/>
      <c r="H513" s="329"/>
    </row>
    <row r="514" spans="1:8" x14ac:dyDescent="0.2">
      <c r="A514" s="398"/>
      <c r="B514" s="398"/>
      <c r="C514" s="398"/>
      <c r="D514" s="329"/>
      <c r="E514" s="329"/>
      <c r="F514" s="329"/>
      <c r="G514" s="329"/>
      <c r="H514" s="329"/>
    </row>
    <row r="515" spans="1:8" x14ac:dyDescent="0.2">
      <c r="A515" s="398"/>
      <c r="B515" s="398"/>
      <c r="C515" s="398"/>
      <c r="D515" s="329"/>
      <c r="E515" s="329"/>
      <c r="F515" s="329"/>
      <c r="G515" s="329"/>
      <c r="H515" s="329"/>
    </row>
    <row r="516" spans="1:8" x14ac:dyDescent="0.2">
      <c r="A516" s="398"/>
      <c r="B516" s="398"/>
      <c r="C516" s="398"/>
      <c r="D516" s="329"/>
      <c r="E516" s="329"/>
      <c r="F516" s="329"/>
      <c r="G516" s="329"/>
      <c r="H516" s="329"/>
    </row>
    <row r="517" spans="1:8" x14ac:dyDescent="0.2">
      <c r="A517" s="398"/>
      <c r="B517" s="398"/>
      <c r="C517" s="398"/>
      <c r="D517" s="329"/>
      <c r="E517" s="329"/>
      <c r="F517" s="329"/>
      <c r="G517" s="329"/>
      <c r="H517" s="329"/>
    </row>
    <row r="518" spans="1:8" x14ac:dyDescent="0.2">
      <c r="A518" s="398"/>
      <c r="B518" s="398"/>
      <c r="C518" s="398"/>
      <c r="D518" s="329"/>
      <c r="E518" s="329"/>
      <c r="F518" s="329"/>
      <c r="G518" s="329"/>
      <c r="H518" s="329"/>
    </row>
    <row r="519" spans="1:8" x14ac:dyDescent="0.2">
      <c r="A519" s="398"/>
      <c r="B519" s="398"/>
      <c r="C519" s="398"/>
      <c r="D519" s="329"/>
      <c r="E519" s="329"/>
      <c r="F519" s="329"/>
      <c r="G519" s="329"/>
      <c r="H519" s="329"/>
    </row>
    <row r="520" spans="1:8" x14ac:dyDescent="0.2">
      <c r="A520" s="398"/>
      <c r="B520" s="398"/>
      <c r="C520" s="398"/>
      <c r="D520" s="329"/>
      <c r="E520" s="329"/>
      <c r="F520" s="329"/>
      <c r="G520" s="329"/>
      <c r="H520" s="329"/>
    </row>
    <row r="521" spans="1:8" x14ac:dyDescent="0.2">
      <c r="A521" s="398"/>
      <c r="B521" s="398"/>
      <c r="C521" s="398"/>
      <c r="D521" s="329"/>
      <c r="E521" s="329"/>
      <c r="F521" s="329"/>
      <c r="G521" s="329"/>
      <c r="H521" s="329"/>
    </row>
    <row r="522" spans="1:8" x14ac:dyDescent="0.2">
      <c r="A522" s="398"/>
      <c r="B522" s="398"/>
      <c r="C522" s="398"/>
      <c r="D522" s="329"/>
      <c r="E522" s="329"/>
      <c r="F522" s="329"/>
      <c r="G522" s="329"/>
      <c r="H522" s="329"/>
    </row>
    <row r="523" spans="1:8" x14ac:dyDescent="0.2">
      <c r="A523" s="398"/>
      <c r="B523" s="398"/>
      <c r="C523" s="398"/>
      <c r="D523" s="329"/>
      <c r="E523" s="329"/>
      <c r="F523" s="329"/>
      <c r="G523" s="329"/>
      <c r="H523" s="329"/>
    </row>
    <row r="524" spans="1:8" x14ac:dyDescent="0.2">
      <c r="A524" s="398"/>
      <c r="B524" s="398"/>
      <c r="C524" s="398"/>
      <c r="D524" s="329"/>
      <c r="E524" s="329"/>
      <c r="F524" s="329"/>
      <c r="G524" s="329"/>
      <c r="H524" s="329"/>
    </row>
    <row r="525" spans="1:8" x14ac:dyDescent="0.2">
      <c r="A525" s="398"/>
      <c r="B525" s="398"/>
      <c r="C525" s="398"/>
      <c r="D525" s="329"/>
      <c r="E525" s="329"/>
      <c r="F525" s="329"/>
      <c r="G525" s="329"/>
      <c r="H525" s="329"/>
    </row>
    <row r="526" spans="1:8" x14ac:dyDescent="0.2">
      <c r="A526" s="398"/>
      <c r="B526" s="398"/>
      <c r="C526" s="398"/>
      <c r="D526" s="329"/>
      <c r="E526" s="329"/>
      <c r="F526" s="329"/>
      <c r="G526" s="329"/>
      <c r="H526" s="329"/>
    </row>
    <row r="527" spans="1:8" x14ac:dyDescent="0.2">
      <c r="A527" s="398"/>
      <c r="B527" s="398"/>
      <c r="C527" s="398"/>
      <c r="D527" s="329"/>
      <c r="E527" s="329"/>
      <c r="F527" s="329"/>
      <c r="G527" s="329"/>
      <c r="H527" s="329"/>
    </row>
    <row r="528" spans="1:8" x14ac:dyDescent="0.2">
      <c r="A528" s="398"/>
      <c r="B528" s="398"/>
      <c r="C528" s="398"/>
      <c r="D528" s="329"/>
      <c r="E528" s="329"/>
      <c r="F528" s="329"/>
      <c r="G528" s="329"/>
      <c r="H528" s="329"/>
    </row>
    <row r="529" spans="1:8" x14ac:dyDescent="0.2">
      <c r="A529" s="398"/>
      <c r="B529" s="398"/>
      <c r="C529" s="398"/>
      <c r="D529" s="329"/>
      <c r="E529" s="329"/>
      <c r="F529" s="329"/>
      <c r="G529" s="329"/>
      <c r="H529" s="329"/>
    </row>
    <row r="530" spans="1:8" x14ac:dyDescent="0.2">
      <c r="A530" s="398"/>
      <c r="B530" s="398"/>
      <c r="C530" s="398"/>
      <c r="D530" s="329"/>
      <c r="E530" s="329"/>
      <c r="F530" s="329"/>
      <c r="G530" s="329"/>
      <c r="H530" s="329"/>
    </row>
    <row r="531" spans="1:8" x14ac:dyDescent="0.2">
      <c r="A531" s="398"/>
      <c r="B531" s="398"/>
      <c r="C531" s="398"/>
      <c r="D531" s="329"/>
      <c r="E531" s="329"/>
      <c r="F531" s="329"/>
      <c r="G531" s="329"/>
      <c r="H531" s="329"/>
    </row>
    <row r="532" spans="1:8" x14ac:dyDescent="0.2">
      <c r="A532" s="398"/>
      <c r="B532" s="398"/>
      <c r="C532" s="398"/>
      <c r="D532" s="329"/>
      <c r="E532" s="329"/>
      <c r="F532" s="329"/>
      <c r="G532" s="329"/>
      <c r="H532" s="329"/>
    </row>
    <row r="533" spans="1:8" x14ac:dyDescent="0.2">
      <c r="A533" s="398"/>
      <c r="B533" s="398"/>
      <c r="C533" s="398"/>
      <c r="D533" s="329"/>
      <c r="E533" s="329"/>
      <c r="F533" s="329"/>
      <c r="G533" s="329"/>
      <c r="H533" s="329"/>
    </row>
    <row r="534" spans="1:8" x14ac:dyDescent="0.2">
      <c r="A534" s="398"/>
      <c r="B534" s="398"/>
      <c r="C534" s="398"/>
      <c r="D534" s="329"/>
      <c r="E534" s="329"/>
      <c r="F534" s="329"/>
      <c r="G534" s="329"/>
      <c r="H534" s="329"/>
    </row>
    <row r="535" spans="1:8" x14ac:dyDescent="0.2">
      <c r="A535" s="398"/>
      <c r="B535" s="398"/>
      <c r="C535" s="398"/>
      <c r="D535" s="329"/>
      <c r="E535" s="329"/>
      <c r="F535" s="329"/>
      <c r="G535" s="329"/>
      <c r="H535" s="329"/>
    </row>
    <row r="536" spans="1:8" x14ac:dyDescent="0.2">
      <c r="A536" s="398"/>
      <c r="B536" s="398"/>
      <c r="C536" s="398"/>
      <c r="D536" s="329"/>
      <c r="E536" s="329"/>
      <c r="F536" s="329"/>
      <c r="G536" s="329"/>
      <c r="H536" s="329"/>
    </row>
    <row r="537" spans="1:8" x14ac:dyDescent="0.2">
      <c r="A537" s="398"/>
      <c r="B537" s="398"/>
      <c r="C537" s="398"/>
      <c r="D537" s="329"/>
      <c r="E537" s="329"/>
      <c r="F537" s="329"/>
      <c r="G537" s="329"/>
      <c r="H537" s="329"/>
    </row>
    <row r="538" spans="1:8" x14ac:dyDescent="0.2">
      <c r="A538" s="398"/>
      <c r="B538" s="398"/>
      <c r="C538" s="398"/>
      <c r="D538" s="329"/>
      <c r="E538" s="329"/>
      <c r="F538" s="329"/>
      <c r="G538" s="329"/>
      <c r="H538" s="329"/>
    </row>
    <row r="539" spans="1:8" x14ac:dyDescent="0.2">
      <c r="A539" s="398"/>
      <c r="B539" s="398"/>
      <c r="C539" s="398"/>
      <c r="D539" s="329"/>
      <c r="E539" s="329"/>
      <c r="F539" s="329"/>
      <c r="G539" s="329"/>
      <c r="H539" s="329"/>
    </row>
    <row r="540" spans="1:8" x14ac:dyDescent="0.2">
      <c r="A540" s="398"/>
      <c r="B540" s="398"/>
      <c r="C540" s="398"/>
      <c r="D540" s="329"/>
      <c r="E540" s="329"/>
      <c r="F540" s="329"/>
      <c r="G540" s="329"/>
      <c r="H540" s="329"/>
    </row>
    <row r="541" spans="1:8" x14ac:dyDescent="0.2">
      <c r="A541" s="398"/>
      <c r="B541" s="398"/>
      <c r="C541" s="398"/>
      <c r="D541" s="329"/>
      <c r="E541" s="329"/>
      <c r="F541" s="329"/>
      <c r="G541" s="329"/>
      <c r="H541" s="329"/>
    </row>
    <row r="542" spans="1:8" x14ac:dyDescent="0.2">
      <c r="A542" s="398"/>
      <c r="B542" s="398"/>
      <c r="C542" s="398"/>
      <c r="D542" s="329"/>
      <c r="E542" s="329"/>
      <c r="F542" s="329"/>
      <c r="G542" s="329"/>
      <c r="H542" s="329"/>
    </row>
    <row r="543" spans="1:8" x14ac:dyDescent="0.2">
      <c r="A543" s="398"/>
      <c r="B543" s="398"/>
      <c r="C543" s="398"/>
      <c r="D543" s="329"/>
      <c r="E543" s="329"/>
      <c r="F543" s="329"/>
      <c r="G543" s="329"/>
      <c r="H543" s="329"/>
    </row>
    <row r="544" spans="1:8" x14ac:dyDescent="0.2">
      <c r="A544" s="398"/>
      <c r="B544" s="398"/>
      <c r="C544" s="398"/>
      <c r="D544" s="329"/>
      <c r="E544" s="329"/>
      <c r="F544" s="329"/>
      <c r="G544" s="329"/>
      <c r="H544" s="329"/>
    </row>
    <row r="545" spans="1:8" x14ac:dyDescent="0.2">
      <c r="A545" s="398"/>
      <c r="B545" s="398"/>
      <c r="C545" s="398"/>
      <c r="D545" s="329"/>
      <c r="E545" s="329"/>
      <c r="F545" s="329"/>
      <c r="G545" s="329"/>
      <c r="H545" s="329"/>
    </row>
    <row r="546" spans="1:8" x14ac:dyDescent="0.2">
      <c r="A546" s="398"/>
      <c r="B546" s="398"/>
      <c r="C546" s="398"/>
      <c r="D546" s="329"/>
      <c r="E546" s="329"/>
      <c r="F546" s="329"/>
      <c r="G546" s="329"/>
      <c r="H546" s="329"/>
    </row>
    <row r="547" spans="1:8" x14ac:dyDescent="0.2">
      <c r="A547" s="398"/>
      <c r="B547" s="398"/>
      <c r="C547" s="398"/>
      <c r="D547" s="329"/>
      <c r="E547" s="329"/>
      <c r="F547" s="329"/>
      <c r="G547" s="329"/>
      <c r="H547" s="329"/>
    </row>
    <row r="548" spans="1:8" x14ac:dyDescent="0.2">
      <c r="A548" s="398"/>
      <c r="B548" s="398"/>
      <c r="C548" s="398"/>
      <c r="D548" s="329"/>
      <c r="E548" s="329"/>
      <c r="F548" s="329"/>
      <c r="G548" s="329"/>
      <c r="H548" s="329"/>
    </row>
    <row r="549" spans="1:8" x14ac:dyDescent="0.2">
      <c r="A549" s="398"/>
      <c r="B549" s="398"/>
      <c r="C549" s="398"/>
      <c r="D549" s="329"/>
      <c r="E549" s="329"/>
      <c r="F549" s="329"/>
      <c r="G549" s="329"/>
      <c r="H549" s="329"/>
    </row>
    <row r="550" spans="1:8" x14ac:dyDescent="0.2">
      <c r="A550" s="398"/>
      <c r="B550" s="398"/>
      <c r="C550" s="398"/>
      <c r="D550" s="329"/>
      <c r="E550" s="329"/>
      <c r="F550" s="329"/>
      <c r="G550" s="329"/>
      <c r="H550" s="329"/>
    </row>
    <row r="551" spans="1:8" x14ac:dyDescent="0.2">
      <c r="A551" s="398"/>
      <c r="B551" s="398"/>
      <c r="C551" s="398"/>
      <c r="D551" s="329"/>
      <c r="E551" s="329"/>
      <c r="F551" s="329"/>
      <c r="G551" s="329"/>
      <c r="H551" s="329"/>
    </row>
    <row r="552" spans="1:8" x14ac:dyDescent="0.2">
      <c r="A552" s="398"/>
      <c r="B552" s="398"/>
      <c r="C552" s="398"/>
      <c r="D552" s="329"/>
      <c r="E552" s="329"/>
      <c r="F552" s="329"/>
      <c r="G552" s="329"/>
      <c r="H552" s="329"/>
    </row>
    <row r="553" spans="1:8" x14ac:dyDescent="0.2">
      <c r="A553" s="398"/>
      <c r="B553" s="398"/>
      <c r="C553" s="398"/>
      <c r="D553" s="329"/>
      <c r="E553" s="329"/>
      <c r="F553" s="329"/>
      <c r="G553" s="329"/>
      <c r="H553" s="329"/>
    </row>
    <row r="554" spans="1:8" x14ac:dyDescent="0.2">
      <c r="A554" s="398"/>
      <c r="B554" s="398"/>
      <c r="C554" s="398"/>
      <c r="D554" s="329"/>
      <c r="E554" s="329"/>
      <c r="F554" s="329"/>
      <c r="G554" s="329"/>
      <c r="H554" s="329"/>
    </row>
    <row r="555" spans="1:8" x14ac:dyDescent="0.2">
      <c r="A555" s="398"/>
      <c r="B555" s="398"/>
      <c r="C555" s="398"/>
      <c r="D555" s="329"/>
      <c r="E555" s="329"/>
      <c r="F555" s="329"/>
      <c r="G555" s="329"/>
      <c r="H555" s="329"/>
    </row>
    <row r="556" spans="1:8" x14ac:dyDescent="0.2">
      <c r="A556" s="398"/>
      <c r="B556" s="398"/>
      <c r="C556" s="398"/>
      <c r="D556" s="329"/>
      <c r="E556" s="329"/>
      <c r="F556" s="329"/>
      <c r="G556" s="329"/>
      <c r="H556" s="329"/>
    </row>
    <row r="557" spans="1:8" x14ac:dyDescent="0.2">
      <c r="A557" s="398"/>
      <c r="B557" s="398"/>
      <c r="C557" s="398"/>
      <c r="D557" s="329"/>
      <c r="E557" s="329"/>
      <c r="F557" s="329"/>
      <c r="G557" s="329"/>
      <c r="H557" s="329"/>
    </row>
    <row r="558" spans="1:8" x14ac:dyDescent="0.2">
      <c r="A558" s="398"/>
      <c r="B558" s="398"/>
      <c r="C558" s="398"/>
      <c r="D558" s="329"/>
      <c r="E558" s="329"/>
      <c r="F558" s="329"/>
      <c r="G558" s="329"/>
      <c r="H558" s="329"/>
    </row>
    <row r="559" spans="1:8" x14ac:dyDescent="0.2">
      <c r="A559" s="398"/>
      <c r="B559" s="398"/>
      <c r="C559" s="398"/>
      <c r="D559" s="329"/>
      <c r="E559" s="329"/>
      <c r="F559" s="329"/>
      <c r="G559" s="329"/>
      <c r="H559" s="329"/>
    </row>
    <row r="560" spans="1:8" x14ac:dyDescent="0.2">
      <c r="A560" s="398"/>
      <c r="B560" s="398"/>
      <c r="C560" s="398"/>
      <c r="D560" s="329"/>
      <c r="E560" s="329"/>
      <c r="F560" s="329"/>
      <c r="G560" s="329"/>
      <c r="H560" s="329"/>
    </row>
    <row r="561" spans="1:8" x14ac:dyDescent="0.2">
      <c r="A561" s="398"/>
      <c r="B561" s="398"/>
      <c r="C561" s="398"/>
      <c r="D561" s="329"/>
      <c r="E561" s="329"/>
      <c r="F561" s="329"/>
      <c r="G561" s="329"/>
      <c r="H561" s="329"/>
    </row>
    <row r="562" spans="1:8" x14ac:dyDescent="0.2">
      <c r="A562" s="398"/>
      <c r="B562" s="398"/>
      <c r="C562" s="398"/>
      <c r="D562" s="329"/>
      <c r="E562" s="329"/>
      <c r="F562" s="329"/>
      <c r="G562" s="329"/>
      <c r="H562" s="329"/>
    </row>
    <row r="563" spans="1:8" x14ac:dyDescent="0.2">
      <c r="A563" s="398"/>
      <c r="B563" s="398"/>
      <c r="C563" s="398"/>
      <c r="D563" s="329"/>
      <c r="E563" s="329"/>
      <c r="F563" s="329"/>
      <c r="G563" s="329"/>
      <c r="H563" s="329"/>
    </row>
    <row r="564" spans="1:8" x14ac:dyDescent="0.2">
      <c r="A564" s="398"/>
      <c r="B564" s="398"/>
      <c r="C564" s="398"/>
      <c r="D564" s="329"/>
      <c r="E564" s="329"/>
      <c r="F564" s="329"/>
      <c r="G564" s="329"/>
      <c r="H564" s="329"/>
    </row>
    <row r="565" spans="1:8" x14ac:dyDescent="0.2">
      <c r="A565" s="398"/>
      <c r="B565" s="398"/>
      <c r="C565" s="398"/>
      <c r="D565" s="329"/>
      <c r="E565" s="329"/>
      <c r="F565" s="329"/>
      <c r="G565" s="329"/>
      <c r="H565" s="329"/>
    </row>
    <row r="566" spans="1:8" x14ac:dyDescent="0.2">
      <c r="A566" s="398"/>
      <c r="B566" s="398"/>
      <c r="C566" s="398"/>
      <c r="D566" s="329"/>
      <c r="E566" s="329"/>
      <c r="F566" s="329"/>
      <c r="G566" s="329"/>
      <c r="H566" s="329"/>
    </row>
    <row r="567" spans="1:8" x14ac:dyDescent="0.2">
      <c r="A567" s="398"/>
      <c r="B567" s="398"/>
      <c r="C567" s="398"/>
      <c r="D567" s="329"/>
      <c r="E567" s="329"/>
      <c r="F567" s="329"/>
      <c r="G567" s="329"/>
      <c r="H567" s="329"/>
    </row>
    <row r="568" spans="1:8" x14ac:dyDescent="0.2">
      <c r="A568" s="398"/>
      <c r="B568" s="398"/>
      <c r="C568" s="398"/>
      <c r="D568" s="329"/>
      <c r="E568" s="329"/>
      <c r="F568" s="329"/>
      <c r="G568" s="329"/>
      <c r="H568" s="329"/>
    </row>
    <row r="569" spans="1:8" x14ac:dyDescent="0.2">
      <c r="A569" s="398"/>
      <c r="B569" s="398"/>
      <c r="C569" s="398"/>
      <c r="D569" s="329"/>
      <c r="E569" s="329"/>
      <c r="F569" s="329"/>
      <c r="G569" s="329"/>
      <c r="H569" s="329"/>
    </row>
    <row r="570" spans="1:8" x14ac:dyDescent="0.2">
      <c r="A570" s="398"/>
      <c r="B570" s="398"/>
      <c r="C570" s="398"/>
      <c r="D570" s="329"/>
      <c r="E570" s="329"/>
      <c r="F570" s="329"/>
      <c r="G570" s="329"/>
      <c r="H570" s="329"/>
    </row>
    <row r="571" spans="1:8" x14ac:dyDescent="0.2">
      <c r="A571" s="398"/>
      <c r="B571" s="398"/>
      <c r="C571" s="398"/>
      <c r="D571" s="329"/>
      <c r="E571" s="329"/>
      <c r="F571" s="329"/>
      <c r="G571" s="329"/>
      <c r="H571" s="329"/>
    </row>
    <row r="572" spans="1:8" x14ac:dyDescent="0.2">
      <c r="A572" s="398"/>
      <c r="B572" s="398"/>
      <c r="C572" s="398"/>
      <c r="D572" s="329"/>
      <c r="E572" s="329"/>
      <c r="F572" s="329"/>
      <c r="G572" s="329"/>
      <c r="H572" s="329"/>
    </row>
    <row r="573" spans="1:8" x14ac:dyDescent="0.2">
      <c r="A573" s="398"/>
      <c r="B573" s="398"/>
      <c r="C573" s="398"/>
      <c r="D573" s="329"/>
      <c r="E573" s="329"/>
      <c r="F573" s="329"/>
      <c r="G573" s="329"/>
      <c r="H573" s="329"/>
    </row>
    <row r="574" spans="1:8" x14ac:dyDescent="0.2">
      <c r="A574" s="398"/>
      <c r="B574" s="398"/>
      <c r="C574" s="398"/>
      <c r="D574" s="329"/>
      <c r="E574" s="329"/>
      <c r="F574" s="329"/>
      <c r="G574" s="329"/>
      <c r="H574" s="329"/>
    </row>
    <row r="575" spans="1:8" x14ac:dyDescent="0.2">
      <c r="A575" s="398"/>
      <c r="B575" s="398"/>
      <c r="C575" s="398"/>
      <c r="D575" s="329"/>
      <c r="E575" s="329"/>
      <c r="F575" s="329"/>
      <c r="G575" s="329"/>
      <c r="H575" s="329"/>
    </row>
    <row r="576" spans="1:8" x14ac:dyDescent="0.2">
      <c r="A576" s="398"/>
      <c r="B576" s="398"/>
      <c r="C576" s="398"/>
      <c r="D576" s="329"/>
      <c r="E576" s="329"/>
      <c r="F576" s="329"/>
      <c r="G576" s="329"/>
      <c r="H576" s="329"/>
    </row>
    <row r="577" spans="1:8" x14ac:dyDescent="0.2">
      <c r="A577" s="398"/>
      <c r="B577" s="398"/>
      <c r="C577" s="398"/>
      <c r="D577" s="329"/>
      <c r="E577" s="329"/>
      <c r="F577" s="329"/>
      <c r="G577" s="329"/>
      <c r="H577" s="329"/>
    </row>
    <row r="578" spans="1:8" x14ac:dyDescent="0.2">
      <c r="A578" s="398"/>
      <c r="B578" s="398"/>
      <c r="C578" s="398"/>
      <c r="D578" s="329"/>
      <c r="E578" s="329"/>
      <c r="F578" s="329"/>
      <c r="G578" s="329"/>
      <c r="H578" s="329"/>
    </row>
    <row r="579" spans="1:8" x14ac:dyDescent="0.2">
      <c r="A579" s="398"/>
      <c r="B579" s="398"/>
      <c r="C579" s="398"/>
      <c r="D579" s="329"/>
      <c r="E579" s="329"/>
      <c r="F579" s="329"/>
      <c r="G579" s="329"/>
      <c r="H579" s="329"/>
    </row>
    <row r="580" spans="1:8" x14ac:dyDescent="0.2">
      <c r="A580" s="398"/>
      <c r="B580" s="398"/>
      <c r="C580" s="398"/>
      <c r="D580" s="329"/>
      <c r="E580" s="329"/>
      <c r="F580" s="329"/>
      <c r="G580" s="329"/>
      <c r="H580" s="329"/>
    </row>
    <row r="581" spans="1:8" x14ac:dyDescent="0.2">
      <c r="A581" s="398"/>
      <c r="B581" s="398"/>
      <c r="C581" s="398"/>
      <c r="D581" s="329"/>
      <c r="E581" s="329"/>
      <c r="F581" s="329"/>
      <c r="G581" s="329"/>
      <c r="H581" s="329"/>
    </row>
    <row r="582" spans="1:8" x14ac:dyDescent="0.2">
      <c r="A582" s="398"/>
      <c r="B582" s="398"/>
      <c r="C582" s="398"/>
      <c r="D582" s="329"/>
      <c r="E582" s="329"/>
      <c r="F582" s="329"/>
      <c r="G582" s="329"/>
      <c r="H582" s="329"/>
    </row>
    <row r="583" spans="1:8" x14ac:dyDescent="0.2">
      <c r="A583" s="398"/>
      <c r="B583" s="398"/>
      <c r="C583" s="398"/>
      <c r="D583" s="329"/>
      <c r="E583" s="329"/>
      <c r="F583" s="329"/>
      <c r="G583" s="329"/>
      <c r="H583" s="329"/>
    </row>
    <row r="584" spans="1:8" x14ac:dyDescent="0.2">
      <c r="A584" s="398"/>
      <c r="B584" s="398"/>
      <c r="C584" s="398"/>
      <c r="D584" s="329"/>
      <c r="E584" s="329"/>
      <c r="F584" s="329"/>
      <c r="G584" s="329"/>
      <c r="H584" s="329"/>
    </row>
  </sheetData>
  <mergeCells count="14">
    <mergeCell ref="K41:M41"/>
    <mergeCell ref="N41:P41"/>
    <mergeCell ref="A50:D50"/>
    <mergeCell ref="A59:D59"/>
    <mergeCell ref="A41:A42"/>
    <mergeCell ref="B41:D41"/>
    <mergeCell ref="E41:G41"/>
    <mergeCell ref="A67:D67"/>
    <mergeCell ref="H41:J41"/>
    <mergeCell ref="A14:C14"/>
    <mergeCell ref="A1:C1"/>
    <mergeCell ref="A2:A6"/>
    <mergeCell ref="A28:D28"/>
    <mergeCell ref="A37:A38"/>
  </mergeCells>
  <pageMargins left="1.1811023622047245" right="0.78740157480314965" top="1.1811023622047245" bottom="0.78740157480314965" header="0.51181102362204722" footer="0.51181102362204722"/>
  <pageSetup paperSize="9" scale="97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DCB1-7295-486D-AEAA-C36AC8634EA5}">
  <sheetPr>
    <pageSetUpPr fitToPage="1"/>
  </sheetPr>
  <dimension ref="A1:G20"/>
  <sheetViews>
    <sheetView showGridLines="0" showZeros="0" zoomScaleNormal="100" zoomScaleSheetLayoutView="100" workbookViewId="0">
      <selection activeCell="I24" sqref="I24"/>
    </sheetView>
  </sheetViews>
  <sheetFormatPr defaultColWidth="12" defaultRowHeight="12.75" x14ac:dyDescent="0.2"/>
  <cols>
    <col min="1" max="1" width="18.6640625" style="461" customWidth="1"/>
    <col min="2" max="2" width="58.5" style="461" customWidth="1"/>
    <col min="3" max="3" width="18.1640625" style="415" customWidth="1"/>
    <col min="4" max="4" width="15.6640625" style="415" customWidth="1"/>
    <col min="5" max="6" width="24.83203125" style="415" bestFit="1" customWidth="1"/>
    <col min="7" max="7" width="14.5" style="415" customWidth="1"/>
    <col min="8" max="16384" width="12" style="78"/>
  </cols>
  <sheetData>
    <row r="1" spans="1:7" ht="25.15" customHeight="1" thickBot="1" x14ac:dyDescent="0.25">
      <c r="A1" s="411" t="s">
        <v>1854</v>
      </c>
      <c r="B1" s="412"/>
      <c r="C1" s="413"/>
      <c r="D1" s="413"/>
      <c r="E1" s="413"/>
      <c r="F1" s="414"/>
    </row>
    <row r="2" spans="1:7" ht="13.9" customHeight="1" x14ac:dyDescent="0.2">
      <c r="A2" s="416" t="s">
        <v>181</v>
      </c>
      <c r="B2" s="417" t="s">
        <v>2235</v>
      </c>
      <c r="C2" s="418"/>
      <c r="D2" s="419"/>
      <c r="E2" s="420" t="s">
        <v>182</v>
      </c>
      <c r="F2" s="421" t="s">
        <v>2261</v>
      </c>
    </row>
    <row r="3" spans="1:7" ht="13.9" customHeight="1" thickBot="1" x14ac:dyDescent="0.25">
      <c r="A3" s="422" t="s">
        <v>1855</v>
      </c>
      <c r="B3" s="423" t="s">
        <v>2259</v>
      </c>
      <c r="C3" s="424"/>
      <c r="D3" s="424"/>
      <c r="E3" s="425" t="s">
        <v>184</v>
      </c>
      <c r="F3" s="426" t="s">
        <v>632</v>
      </c>
    </row>
    <row r="4" spans="1:7" ht="26.25" thickBot="1" x14ac:dyDescent="0.25">
      <c r="A4" s="427"/>
      <c r="B4" s="428"/>
      <c r="C4" s="429"/>
      <c r="D4" s="429"/>
      <c r="E4" s="430"/>
      <c r="F4" s="431" t="s">
        <v>180</v>
      </c>
      <c r="G4" s="432" t="s">
        <v>1856</v>
      </c>
    </row>
    <row r="5" spans="1:7" ht="13.5" thickBot="1" x14ac:dyDescent="0.25">
      <c r="A5" s="433">
        <v>1</v>
      </c>
      <c r="B5" s="434" t="s">
        <v>499</v>
      </c>
      <c r="C5" s="435"/>
      <c r="D5" s="435"/>
      <c r="E5" s="436"/>
      <c r="F5" s="80">
        <f>'orc DER JAN 2021'!V18</f>
        <v>6097.39</v>
      </c>
      <c r="G5" s="437">
        <f t="shared" ref="G5:G15" si="0">IF(F5=0,0,ROUND(F5/$F$17,4))</f>
        <v>3.3E-3</v>
      </c>
    </row>
    <row r="6" spans="1:7" ht="13.5" thickBot="1" x14ac:dyDescent="0.25">
      <c r="A6" s="438" t="s">
        <v>189</v>
      </c>
      <c r="B6" s="439" t="s">
        <v>495</v>
      </c>
      <c r="C6" s="440"/>
      <c r="D6" s="440"/>
      <c r="E6" s="441"/>
      <c r="F6" s="80">
        <f>'orc DER JAN 2021'!V68</f>
        <v>20910.88</v>
      </c>
      <c r="G6" s="437">
        <f t="shared" si="0"/>
        <v>1.12E-2</v>
      </c>
    </row>
    <row r="7" spans="1:7" ht="13.5" thickBot="1" x14ac:dyDescent="0.25">
      <c r="A7" s="438" t="s">
        <v>213</v>
      </c>
      <c r="B7" s="439" t="s">
        <v>501</v>
      </c>
      <c r="C7" s="440"/>
      <c r="D7" s="440"/>
      <c r="E7" s="441"/>
      <c r="F7" s="80">
        <f>'orc DER JAN 2021'!V113</f>
        <v>515253.24</v>
      </c>
      <c r="G7" s="437">
        <f t="shared" si="0"/>
        <v>0.27510000000000001</v>
      </c>
    </row>
    <row r="8" spans="1:7" ht="13.5" thickBot="1" x14ac:dyDescent="0.25">
      <c r="A8" s="438" t="s">
        <v>231</v>
      </c>
      <c r="B8" s="442" t="s">
        <v>496</v>
      </c>
      <c r="E8" s="441"/>
      <c r="F8" s="80">
        <f>'orc DER JAN 2021'!V223</f>
        <v>678892.08</v>
      </c>
      <c r="G8" s="437">
        <f t="shared" si="0"/>
        <v>0.36249999999999999</v>
      </c>
    </row>
    <row r="9" spans="1:7" ht="13.5" thickBot="1" x14ac:dyDescent="0.25">
      <c r="A9" s="438" t="s">
        <v>188</v>
      </c>
      <c r="B9" s="439" t="s">
        <v>497</v>
      </c>
      <c r="C9" s="440"/>
      <c r="D9" s="440"/>
      <c r="E9" s="441"/>
      <c r="F9" s="80">
        <f>'orc DER JAN 2021'!V467</f>
        <v>54029.08</v>
      </c>
      <c r="G9" s="437">
        <f t="shared" si="0"/>
        <v>2.8799999999999999E-2</v>
      </c>
    </row>
    <row r="10" spans="1:7" ht="13.5" thickBot="1" x14ac:dyDescent="0.25">
      <c r="A10" s="438" t="s">
        <v>233</v>
      </c>
      <c r="B10" s="439" t="s">
        <v>503</v>
      </c>
      <c r="C10" s="440"/>
      <c r="D10" s="440"/>
      <c r="E10" s="441"/>
      <c r="F10" s="80">
        <f>'orc DER JAN 2021'!V522</f>
        <v>182134.95</v>
      </c>
      <c r="G10" s="437">
        <f t="shared" si="0"/>
        <v>9.7299999999999998E-2</v>
      </c>
    </row>
    <row r="11" spans="1:7" ht="13.5" thickBot="1" x14ac:dyDescent="0.25">
      <c r="A11" s="438" t="s">
        <v>474</v>
      </c>
      <c r="B11" s="443" t="s">
        <v>504</v>
      </c>
      <c r="C11" s="444"/>
      <c r="D11" s="444"/>
      <c r="E11" s="441"/>
      <c r="F11" s="80">
        <f>'orc DER JAN 2021'!V719</f>
        <v>55596.86</v>
      </c>
      <c r="G11" s="437">
        <f t="shared" si="0"/>
        <v>2.9700000000000001E-2</v>
      </c>
    </row>
    <row r="12" spans="1:7" ht="13.5" thickBot="1" x14ac:dyDescent="0.25">
      <c r="A12" s="438" t="s">
        <v>340</v>
      </c>
      <c r="B12" s="443" t="s">
        <v>506</v>
      </c>
      <c r="C12" s="444"/>
      <c r="D12" s="444"/>
      <c r="E12" s="441"/>
      <c r="F12" s="80">
        <f>'orc DER JAN 2021'!V779</f>
        <v>52935.519999999997</v>
      </c>
      <c r="G12" s="437">
        <f t="shared" si="0"/>
        <v>2.8299999999999999E-2</v>
      </c>
    </row>
    <row r="13" spans="1:7" ht="13.5" thickBot="1" x14ac:dyDescent="0.25">
      <c r="A13" s="438" t="s">
        <v>507</v>
      </c>
      <c r="B13" s="443" t="s">
        <v>508</v>
      </c>
      <c r="C13" s="444"/>
      <c r="D13" s="444"/>
      <c r="E13" s="441"/>
      <c r="F13" s="80"/>
      <c r="G13" s="437">
        <f t="shared" si="0"/>
        <v>0</v>
      </c>
    </row>
    <row r="14" spans="1:7" ht="13.5" thickBot="1" x14ac:dyDescent="0.25">
      <c r="A14" s="438" t="s">
        <v>509</v>
      </c>
      <c r="B14" s="443" t="s">
        <v>498</v>
      </c>
      <c r="C14" s="444"/>
      <c r="D14" s="444"/>
      <c r="E14" s="441"/>
      <c r="F14" s="80">
        <f>'orc DER JAN 2021'!V1734</f>
        <v>278168.89</v>
      </c>
      <c r="G14" s="437">
        <f t="shared" si="0"/>
        <v>0.14849999999999999</v>
      </c>
    </row>
    <row r="15" spans="1:7" ht="13.5" thickBot="1" x14ac:dyDescent="0.25">
      <c r="A15" s="438" t="s">
        <v>764</v>
      </c>
      <c r="B15" s="443" t="s">
        <v>803</v>
      </c>
      <c r="C15" s="444"/>
      <c r="D15" s="444"/>
      <c r="E15" s="441"/>
      <c r="F15" s="80">
        <f>'orc DER JAN 2021'!V2611</f>
        <v>28772.620000000003</v>
      </c>
      <c r="G15" s="437">
        <f t="shared" si="0"/>
        <v>1.54E-2</v>
      </c>
    </row>
    <row r="16" spans="1:7" ht="7.15" customHeight="1" thickBot="1" x14ac:dyDescent="0.25">
      <c r="A16" s="445"/>
      <c r="B16" s="415"/>
      <c r="F16" s="446"/>
    </row>
    <row r="17" spans="1:7" ht="14.45" customHeight="1" thickBot="1" x14ac:dyDescent="0.25">
      <c r="A17" s="447" t="s">
        <v>171</v>
      </c>
      <c r="B17" s="448"/>
      <c r="C17" s="449" t="s">
        <v>22</v>
      </c>
      <c r="D17" s="449"/>
      <c r="E17" s="441">
        <v>0</v>
      </c>
      <c r="F17" s="80">
        <f>SUM(F5:F15)</f>
        <v>1872791.5100000002</v>
      </c>
      <c r="G17" s="79">
        <f>SUM(G5:G16)</f>
        <v>1.0001</v>
      </c>
    </row>
    <row r="18" spans="1:7" ht="31.9" customHeight="1" x14ac:dyDescent="0.2">
      <c r="A18" s="450" t="s">
        <v>1857</v>
      </c>
      <c r="B18" s="451"/>
      <c r="C18" s="452"/>
      <c r="D18" s="453" t="s">
        <v>492</v>
      </c>
      <c r="E18" s="453" t="s">
        <v>493</v>
      </c>
      <c r="F18" s="454" t="s">
        <v>1853</v>
      </c>
    </row>
    <row r="19" spans="1:7" x14ac:dyDescent="0.2">
      <c r="A19" s="1197" t="s">
        <v>2260</v>
      </c>
      <c r="B19" s="1198"/>
      <c r="C19" s="1199"/>
      <c r="D19" s="455">
        <f>'orc DER JAN 2021'!R391</f>
        <v>1173.3</v>
      </c>
      <c r="E19" s="456" t="s">
        <v>20</v>
      </c>
      <c r="F19" s="457">
        <f>ROUND(D19*0.5,-1)</f>
        <v>590</v>
      </c>
    </row>
    <row r="20" spans="1:7" ht="13.5" thickBot="1" x14ac:dyDescent="0.25">
      <c r="A20" s="458"/>
      <c r="B20" s="459"/>
      <c r="C20" s="444"/>
      <c r="D20" s="444"/>
      <c r="E20" s="444"/>
      <c r="F20" s="460"/>
    </row>
  </sheetData>
  <autoFilter ref="A4:F20" xr:uid="{00000000-0009-0000-0000-000006000000}"/>
  <mergeCells count="1">
    <mergeCell ref="A19:C19"/>
  </mergeCells>
  <pageMargins left="1.1811023622047245" right="0.78740157480314965" top="1.1811023622047245" bottom="1.1811023622047245" header="0.31496062992125984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84"/>
  <sheetViews>
    <sheetView showZeros="0" zoomScale="60" zoomScaleNormal="60" workbookViewId="0">
      <selection activeCell="J3" sqref="J3"/>
    </sheetView>
  </sheetViews>
  <sheetFormatPr defaultColWidth="12" defaultRowHeight="11.25" x14ac:dyDescent="0.2"/>
  <cols>
    <col min="1" max="1" width="15.83203125" style="2" bestFit="1" customWidth="1"/>
    <col min="2" max="2" width="15.83203125" style="2" customWidth="1"/>
    <col min="3" max="3" width="59.6640625" style="2" customWidth="1"/>
    <col min="4" max="4" width="0.6640625" style="2" customWidth="1"/>
    <col min="5" max="5" width="15.1640625" style="2" customWidth="1"/>
    <col min="6" max="6" width="15.83203125" style="2" customWidth="1"/>
    <col min="7" max="7" width="12.6640625" style="2" customWidth="1"/>
    <col min="8" max="8" width="17.83203125" style="2" customWidth="1"/>
    <col min="9" max="9" width="12.83203125" style="2" bestFit="1" customWidth="1"/>
    <col min="10" max="10" width="16.1640625" style="2" bestFit="1" customWidth="1"/>
    <col min="11" max="11" width="8.1640625" style="2" customWidth="1"/>
    <col min="12" max="12" width="13.83203125" style="2" customWidth="1"/>
    <col min="13" max="13" width="13.5" style="2" customWidth="1"/>
    <col min="14" max="14" width="25.1640625" style="2" customWidth="1"/>
    <col min="15" max="15" width="21.5" style="2" customWidth="1"/>
    <col min="16" max="16" width="3.83203125" style="2" customWidth="1"/>
    <col min="17" max="17" width="18" style="2" customWidth="1"/>
    <col min="18" max="18" width="15.5" style="2" customWidth="1"/>
    <col min="19" max="19" width="14.6640625" style="2" customWidth="1"/>
    <col min="20" max="20" width="25.1640625" style="2" customWidth="1"/>
    <col min="21" max="23" width="23.1640625" style="2" customWidth="1"/>
    <col min="24" max="24" width="4.6640625" style="2" customWidth="1"/>
    <col min="25" max="25" width="19.5" style="2" customWidth="1"/>
    <col min="26" max="26" width="20.1640625" style="2" customWidth="1"/>
    <col min="27" max="16384" width="12" style="2"/>
  </cols>
  <sheetData>
    <row r="1" spans="1:24" ht="17.100000000000001" customHeight="1" thickBot="1" x14ac:dyDescent="0.3">
      <c r="A1" s="4"/>
      <c r="B1" s="4"/>
      <c r="C1" s="10"/>
      <c r="D1" s="10"/>
      <c r="E1" s="6"/>
      <c r="F1" s="8"/>
      <c r="G1" s="8"/>
      <c r="H1" s="6"/>
      <c r="I1" s="6"/>
      <c r="J1" s="6"/>
      <c r="K1" s="1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8"/>
    </row>
    <row r="2" spans="1:24" ht="70.5" customHeight="1" thickBot="1" x14ac:dyDescent="0.3">
      <c r="A2" s="12" t="s">
        <v>164</v>
      </c>
      <c r="B2" s="34"/>
      <c r="C2" s="13" t="s">
        <v>54</v>
      </c>
      <c r="D2" s="14"/>
      <c r="E2" s="15" t="s">
        <v>55</v>
      </c>
      <c r="F2" s="16" t="s">
        <v>56</v>
      </c>
      <c r="G2" s="16" t="s">
        <v>57</v>
      </c>
      <c r="H2" s="17" t="s">
        <v>58</v>
      </c>
      <c r="I2" s="19" t="s">
        <v>1120</v>
      </c>
      <c r="J2" s="18" t="s">
        <v>59</v>
      </c>
      <c r="K2" s="19" t="s">
        <v>810</v>
      </c>
      <c r="L2" s="20" t="s">
        <v>60</v>
      </c>
      <c r="M2" s="12" t="s">
        <v>163</v>
      </c>
      <c r="N2" s="12" t="s">
        <v>61</v>
      </c>
      <c r="O2" s="21" t="s">
        <v>62</v>
      </c>
      <c r="P2" s="22" t="s">
        <v>63</v>
      </c>
      <c r="Q2" s="21" t="s">
        <v>64</v>
      </c>
      <c r="R2" s="21" t="s">
        <v>65</v>
      </c>
      <c r="S2" s="21" t="s">
        <v>890</v>
      </c>
      <c r="T2" s="21" t="s">
        <v>66</v>
      </c>
      <c r="U2" s="21" t="s">
        <v>889</v>
      </c>
      <c r="V2" s="21" t="s">
        <v>888</v>
      </c>
      <c r="W2" s="21" t="s">
        <v>67</v>
      </c>
      <c r="X2" s="19" t="s">
        <v>68</v>
      </c>
    </row>
    <row r="3" spans="1:24" ht="16.5" thickBot="1" x14ac:dyDescent="0.3">
      <c r="A3" s="4"/>
      <c r="B3" s="4"/>
      <c r="C3" s="3" t="s">
        <v>69</v>
      </c>
      <c r="D3" s="9"/>
      <c r="E3" s="143">
        <f>O3*0.846</f>
        <v>0.87983999999999996</v>
      </c>
      <c r="F3" s="143">
        <f>A3*0.231+M3*0.1+O3*0.0588+P3*0.18+Q3*0.27+R3*0.33+T3*0.005*0.434</f>
        <v>0.11541040000000001</v>
      </c>
      <c r="G3" s="143">
        <f>A3*0.6447+M3*0.51+O3*0.396+P3*1.06+Q3*0.96+R3*0.921+T3*0.005*1.575</f>
        <v>0.62209000000000003</v>
      </c>
      <c r="H3" s="143">
        <f>A3*(0.777+0.45)+M3*(1.5)+P3*1.11+Q3*1.11+R3*1.11</f>
        <v>0.20424000000000003</v>
      </c>
      <c r="I3" s="5"/>
      <c r="J3" s="98">
        <f>A3*306.45+M3*238+N3*90.76+O3*438+P3*340.38+Q3*378.52+R3*404.81+S3*411.043+T3*412.45*0.005+U3*17.12+V3*18.08+W3*19.34+X3*234.12+K3*436.99+I3*367.03</f>
        <v>1106.2077400000001</v>
      </c>
      <c r="K3" s="5"/>
      <c r="L3" s="143">
        <f>O3*0.0282</f>
        <v>2.9328E-2</v>
      </c>
      <c r="M3" s="6"/>
      <c r="N3" s="400">
        <f>ROUND(1.5*1.25/4,2)</f>
        <v>0.47</v>
      </c>
      <c r="O3" s="400">
        <f>ROUND(O4/1.5*1.2,2)</f>
        <v>1.04</v>
      </c>
      <c r="P3" s="400">
        <v>9.4E-2</v>
      </c>
      <c r="Q3" s="8"/>
      <c r="R3" s="400">
        <v>0.09</v>
      </c>
      <c r="S3" s="7"/>
      <c r="T3" s="400">
        <f>ROUND(T4/1.5*1.2,2)</f>
        <v>3.52</v>
      </c>
      <c r="U3" s="7"/>
      <c r="V3" s="7"/>
      <c r="W3" s="400">
        <v>15.42</v>
      </c>
      <c r="X3" s="399">
        <v>1</v>
      </c>
    </row>
    <row r="4" spans="1:24" ht="16.5" thickBot="1" x14ac:dyDescent="0.3">
      <c r="A4" s="4"/>
      <c r="B4" s="4"/>
      <c r="C4" s="3" t="s">
        <v>70</v>
      </c>
      <c r="D4" s="9"/>
      <c r="E4" s="1">
        <f t="shared" ref="E4:E67" si="0">O4*0.846</f>
        <v>1.0998000000000001</v>
      </c>
      <c r="F4" s="1">
        <f t="shared" ref="F4:F67" si="1">A4*0.231+M4*0.1+O4*0.0588+P4*0.18+Q4*0.27+R4*0.33+T4*0.005*0.434</f>
        <v>0.132608</v>
      </c>
      <c r="G4" s="1">
        <f t="shared" ref="G4:G67" si="2">A4*0.6447+M4*0.51+O4*0.396+P4*1.06+Q4*0.96+R4*0.921+T4*0.005*1.575</f>
        <v>0.73198000000000008</v>
      </c>
      <c r="H4" s="1">
        <f>A4*(0.777+0.45)+M4*(1.5)+P4*1.11+Q4*1.11+R4*1.11</f>
        <v>0.20424000000000003</v>
      </c>
      <c r="I4" s="5"/>
      <c r="J4" s="98">
        <f t="shared" ref="J4:J15" si="3">A4*306.45+M4*238+N4*90.76+O4*438+P4*340.38+Q4*378.52+R4*404.81+S4*411.043+T4*412.45*0.005+U4*17.12+V4*18.08+W4*19.34+X4*234.12+K4*436.99+I4*367.03</f>
        <v>1221.9025200000001</v>
      </c>
      <c r="K4" s="5"/>
      <c r="L4" s="1">
        <f t="shared" ref="L4:L67" si="4">O4*0.0282</f>
        <v>3.6659999999999998E-2</v>
      </c>
      <c r="M4" s="6"/>
      <c r="N4" s="7">
        <f>ROUND(1.5*1.25/4,2)</f>
        <v>0.47</v>
      </c>
      <c r="O4" s="23">
        <f>ROUND(0.89*2*0.25*(1.5+0.75)*1.3,2)</f>
        <v>1.3</v>
      </c>
      <c r="P4" s="7">
        <v>9.4E-2</v>
      </c>
      <c r="Q4" s="8"/>
      <c r="R4" s="7">
        <v>0.09</v>
      </c>
      <c r="S4" s="7"/>
      <c r="T4" s="23">
        <v>4.4000000000000004</v>
      </c>
      <c r="U4" s="7"/>
      <c r="V4" s="7"/>
      <c r="W4" s="7">
        <v>15.42</v>
      </c>
      <c r="X4" s="8">
        <v>1</v>
      </c>
    </row>
    <row r="5" spans="1:24" ht="16.5" thickBot="1" x14ac:dyDescent="0.3">
      <c r="A5" s="4"/>
      <c r="B5" s="4"/>
      <c r="C5" s="3" t="s">
        <v>71</v>
      </c>
      <c r="D5" s="9"/>
      <c r="E5" s="1">
        <f t="shared" si="0"/>
        <v>1.4635799999999999</v>
      </c>
      <c r="F5" s="1">
        <f t="shared" si="1"/>
        <v>0.1610819</v>
      </c>
      <c r="G5" s="1">
        <f t="shared" si="2"/>
        <v>0.91383625000000013</v>
      </c>
      <c r="H5" s="1">
        <f t="shared" ref="H5:H68" si="5">A5*(0.777+0.45)+M5*(1.5)+P5*1.11+Q5*1.11+R5*1.11</f>
        <v>0.20424000000000003</v>
      </c>
      <c r="I5" s="5"/>
      <c r="J5" s="98">
        <f t="shared" si="3"/>
        <v>1413.2740275000001</v>
      </c>
      <c r="K5" s="5"/>
      <c r="L5" s="1">
        <f t="shared" si="4"/>
        <v>4.8785999999999996E-2</v>
      </c>
      <c r="M5" s="6"/>
      <c r="N5" s="7">
        <f>ROUND(1.5*1.25/4,2)</f>
        <v>0.47</v>
      </c>
      <c r="O5" s="7">
        <f>ROUND(O4/1.5*2,2)</f>
        <v>1.73</v>
      </c>
      <c r="P5" s="7">
        <v>9.4E-2</v>
      </c>
      <c r="Q5" s="8"/>
      <c r="R5" s="7">
        <v>0.09</v>
      </c>
      <c r="S5" s="7"/>
      <c r="T5" s="7">
        <f>ROUND(T4/1.5*2,2)</f>
        <v>5.87</v>
      </c>
      <c r="U5" s="7"/>
      <c r="V5" s="7"/>
      <c r="W5" s="7">
        <v>15.42</v>
      </c>
      <c r="X5" s="8">
        <v>1</v>
      </c>
    </row>
    <row r="6" spans="1:24" ht="16.5" thickBot="1" x14ac:dyDescent="0.3">
      <c r="A6" s="4"/>
      <c r="B6" s="4"/>
      <c r="C6" s="3" t="s">
        <v>72</v>
      </c>
      <c r="D6" s="9"/>
      <c r="E6" s="1">
        <f t="shared" si="0"/>
        <v>1.8358199999999998</v>
      </c>
      <c r="F6" s="1">
        <f t="shared" si="1"/>
        <v>0.19012209999999999</v>
      </c>
      <c r="G6" s="1">
        <f t="shared" si="2"/>
        <v>1.09957375</v>
      </c>
      <c r="H6" s="1">
        <f t="shared" si="5"/>
        <v>0.20424000000000003</v>
      </c>
      <c r="I6" s="5"/>
      <c r="J6" s="98">
        <f t="shared" si="3"/>
        <v>1609.0049125</v>
      </c>
      <c r="K6" s="5"/>
      <c r="L6" s="1">
        <f t="shared" si="4"/>
        <v>6.1193999999999998E-2</v>
      </c>
      <c r="M6" s="6"/>
      <c r="N6" s="7">
        <f>ROUND(1.5*1.25/4,2)</f>
        <v>0.47</v>
      </c>
      <c r="O6" s="7">
        <f>ROUND(O4/1.5*2.5,2)</f>
        <v>2.17</v>
      </c>
      <c r="P6" s="7">
        <v>9.4E-2</v>
      </c>
      <c r="Q6" s="8"/>
      <c r="R6" s="7">
        <v>0.09</v>
      </c>
      <c r="S6" s="7"/>
      <c r="T6" s="7">
        <f>ROUND(T4/1.5*2.5,2)</f>
        <v>7.33</v>
      </c>
      <c r="U6" s="7"/>
      <c r="V6" s="7"/>
      <c r="W6" s="7">
        <v>15.42</v>
      </c>
      <c r="X6" s="8">
        <v>1</v>
      </c>
    </row>
    <row r="7" spans="1:24" ht="16.5" thickBot="1" x14ac:dyDescent="0.3">
      <c r="A7" s="4"/>
      <c r="B7" s="4"/>
      <c r="C7" s="3" t="s">
        <v>421</v>
      </c>
      <c r="D7" s="9"/>
      <c r="E7" s="1">
        <f t="shared" si="0"/>
        <v>0</v>
      </c>
      <c r="F7" s="1">
        <f t="shared" si="1"/>
        <v>0.43266000000000004</v>
      </c>
      <c r="G7" s="1">
        <f t="shared" si="2"/>
        <v>1.26997</v>
      </c>
      <c r="H7" s="1">
        <f t="shared" si="5"/>
        <v>1.5118200000000002</v>
      </c>
      <c r="I7" s="5"/>
      <c r="J7" s="98">
        <f t="shared" si="3"/>
        <v>895.78926000000001</v>
      </c>
      <c r="K7" s="5"/>
      <c r="L7" s="1">
        <f>O7*0.0282</f>
        <v>0</v>
      </c>
      <c r="M7" s="6"/>
      <c r="N7" s="7">
        <f>N11/2</f>
        <v>1.2949999999999999</v>
      </c>
      <c r="O7" s="7"/>
      <c r="P7" s="7">
        <v>0.112</v>
      </c>
      <c r="Q7" s="8"/>
      <c r="R7" s="7">
        <f>ROUND(1.58/1.45*1.15,2)</f>
        <v>1.25</v>
      </c>
      <c r="S7" s="7"/>
      <c r="T7" s="7"/>
      <c r="U7" s="7"/>
      <c r="V7" s="7"/>
      <c r="W7" s="7"/>
      <c r="X7" s="8">
        <v>1</v>
      </c>
    </row>
    <row r="8" spans="1:24" ht="16.5" thickBot="1" x14ac:dyDescent="0.3">
      <c r="A8" s="4"/>
      <c r="B8" s="4"/>
      <c r="C8" s="3" t="s">
        <v>422</v>
      </c>
      <c r="D8" s="9"/>
      <c r="E8" s="1">
        <f t="shared" si="0"/>
        <v>0</v>
      </c>
      <c r="F8" s="1">
        <f t="shared" si="1"/>
        <v>0.54156000000000004</v>
      </c>
      <c r="G8" s="1">
        <f t="shared" si="2"/>
        <v>1.5739000000000001</v>
      </c>
      <c r="H8" s="1">
        <f t="shared" si="5"/>
        <v>1.8781200000000002</v>
      </c>
      <c r="I8" s="5"/>
      <c r="J8" s="98">
        <f t="shared" si="3"/>
        <v>1060.2349600000002</v>
      </c>
      <c r="K8" s="5"/>
      <c r="L8" s="1">
        <f t="shared" si="4"/>
        <v>0</v>
      </c>
      <c r="M8" s="6"/>
      <c r="N8" s="7">
        <f>N12/2</f>
        <v>1.635</v>
      </c>
      <c r="O8" s="7"/>
      <c r="P8" s="7">
        <v>0.112</v>
      </c>
      <c r="Q8" s="8"/>
      <c r="R8" s="7">
        <v>1.58</v>
      </c>
      <c r="S8" s="7"/>
      <c r="T8" s="7"/>
      <c r="U8" s="7"/>
      <c r="V8" s="7"/>
      <c r="W8" s="7"/>
      <c r="X8" s="8">
        <v>1</v>
      </c>
    </row>
    <row r="9" spans="1:24" ht="16.5" thickBot="1" x14ac:dyDescent="0.3">
      <c r="A9" s="4"/>
      <c r="B9" s="4"/>
      <c r="C9" s="3" t="s">
        <v>423</v>
      </c>
      <c r="D9" s="9"/>
      <c r="E9" s="1">
        <f t="shared" si="0"/>
        <v>0</v>
      </c>
      <c r="F9" s="1">
        <f t="shared" si="1"/>
        <v>0.71976000000000007</v>
      </c>
      <c r="G9" s="1">
        <f t="shared" si="2"/>
        <v>2.0712400000000004</v>
      </c>
      <c r="H9" s="1">
        <f t="shared" si="5"/>
        <v>2.4775200000000002</v>
      </c>
      <c r="I9" s="5"/>
      <c r="J9" s="98">
        <f t="shared" si="3"/>
        <v>1330.1117600000002</v>
      </c>
      <c r="K9" s="5"/>
      <c r="L9" s="1">
        <f t="shared" si="4"/>
        <v>0</v>
      </c>
      <c r="M9" s="6"/>
      <c r="N9" s="7">
        <f>N13/2</f>
        <v>2.2000000000000002</v>
      </c>
      <c r="O9" s="7"/>
      <c r="P9" s="7">
        <v>0.112</v>
      </c>
      <c r="Q9" s="8"/>
      <c r="R9" s="7">
        <f>ROUND(1.58/1.45*1.95,2)</f>
        <v>2.12</v>
      </c>
      <c r="S9" s="7"/>
      <c r="T9" s="7"/>
      <c r="U9" s="7"/>
      <c r="V9" s="7"/>
      <c r="W9" s="7"/>
      <c r="X9" s="8">
        <v>1</v>
      </c>
    </row>
    <row r="10" spans="1:24" ht="16.5" thickBot="1" x14ac:dyDescent="0.3">
      <c r="A10" s="4"/>
      <c r="B10" s="4"/>
      <c r="C10" s="3" t="s">
        <v>424</v>
      </c>
      <c r="D10" s="9"/>
      <c r="E10" s="1">
        <f t="shared" si="0"/>
        <v>0</v>
      </c>
      <c r="F10" s="1">
        <f t="shared" si="1"/>
        <v>0.90125999999999995</v>
      </c>
      <c r="G10" s="1">
        <f t="shared" si="2"/>
        <v>2.5777900000000002</v>
      </c>
      <c r="H10" s="1">
        <f t="shared" si="5"/>
        <v>3.0880200000000002</v>
      </c>
      <c r="I10" s="5"/>
      <c r="J10" s="98">
        <f t="shared" si="3"/>
        <v>1604.0366599999998</v>
      </c>
      <c r="K10" s="5"/>
      <c r="L10" s="1">
        <f t="shared" si="4"/>
        <v>0</v>
      </c>
      <c r="M10" s="6"/>
      <c r="N10" s="7">
        <f>N14/2</f>
        <v>2.7650000000000001</v>
      </c>
      <c r="O10" s="7"/>
      <c r="P10" s="7">
        <v>0.112</v>
      </c>
      <c r="Q10" s="8"/>
      <c r="R10" s="7">
        <f>ROUND(1.58/1.45*2.45,2)</f>
        <v>2.67</v>
      </c>
      <c r="S10" s="7"/>
      <c r="T10" s="7"/>
      <c r="U10" s="7"/>
      <c r="V10" s="7"/>
      <c r="W10" s="7"/>
      <c r="X10" s="8">
        <v>1</v>
      </c>
    </row>
    <row r="11" spans="1:24" ht="16.5" thickBot="1" x14ac:dyDescent="0.3">
      <c r="A11" s="4"/>
      <c r="B11" s="4"/>
      <c r="C11" s="3" t="s">
        <v>105</v>
      </c>
      <c r="D11" s="9"/>
      <c r="E11" s="1">
        <f t="shared" si="0"/>
        <v>0</v>
      </c>
      <c r="F11" s="1">
        <f t="shared" si="1"/>
        <v>0.20478000000000002</v>
      </c>
      <c r="G11" s="1">
        <f t="shared" si="2"/>
        <v>0.60275000000000001</v>
      </c>
      <c r="H11" s="1">
        <f t="shared" si="5"/>
        <v>0.71706000000000003</v>
      </c>
      <c r="I11" s="5"/>
      <c r="J11" s="98">
        <f t="shared" si="3"/>
        <v>1723.0975800000001</v>
      </c>
      <c r="K11" s="5"/>
      <c r="L11" s="1">
        <f t="shared" si="4"/>
        <v>0</v>
      </c>
      <c r="M11" s="6"/>
      <c r="N11" s="7">
        <f>ROUND(N12/1.45*1.15,2)</f>
        <v>2.59</v>
      </c>
      <c r="O11" s="7"/>
      <c r="P11" s="7">
        <f>0.112/2</f>
        <v>5.6000000000000001E-2</v>
      </c>
      <c r="Q11" s="8"/>
      <c r="R11" s="7">
        <f>ROUND(R12/1.45*1.15,2)</f>
        <v>0.59</v>
      </c>
      <c r="S11" s="7"/>
      <c r="T11" s="7"/>
      <c r="U11" s="7"/>
      <c r="V11" s="7"/>
      <c r="W11" s="7">
        <f>ROUND(W12/1.45*1.15,2)</f>
        <v>51.5</v>
      </c>
      <c r="X11" s="8">
        <v>1</v>
      </c>
    </row>
    <row r="12" spans="1:24" ht="16.5" thickBot="1" x14ac:dyDescent="0.3">
      <c r="A12" s="4"/>
      <c r="B12" s="4"/>
      <c r="C12" s="3" t="s">
        <v>102</v>
      </c>
      <c r="D12" s="9"/>
      <c r="E12" s="1">
        <f t="shared" si="0"/>
        <v>0</v>
      </c>
      <c r="F12" s="1">
        <f t="shared" si="1"/>
        <v>0.25757999999999998</v>
      </c>
      <c r="G12" s="1">
        <f t="shared" si="2"/>
        <v>0.75010999999999994</v>
      </c>
      <c r="H12" s="1">
        <f t="shared" si="5"/>
        <v>0.89466000000000001</v>
      </c>
      <c r="I12" s="5"/>
      <c r="J12" s="98">
        <f t="shared" si="3"/>
        <v>2109.5135799999998</v>
      </c>
      <c r="K12" s="5"/>
      <c r="L12" s="1">
        <f t="shared" si="4"/>
        <v>0</v>
      </c>
      <c r="M12" s="6"/>
      <c r="N12" s="23">
        <f>ROUND(9.8/3,2)</f>
        <v>3.27</v>
      </c>
      <c r="O12" s="7"/>
      <c r="P12" s="7">
        <f>0.112/2</f>
        <v>5.6000000000000001E-2</v>
      </c>
      <c r="Q12" s="8"/>
      <c r="R12" s="23">
        <v>0.75</v>
      </c>
      <c r="S12" s="23"/>
      <c r="T12" s="7"/>
      <c r="U12" s="23"/>
      <c r="V12" s="23"/>
      <c r="W12" s="23">
        <v>64.94</v>
      </c>
      <c r="X12" s="8">
        <v>1</v>
      </c>
    </row>
    <row r="13" spans="1:24" ht="16.5" thickBot="1" x14ac:dyDescent="0.3">
      <c r="A13" s="4"/>
      <c r="B13" s="4"/>
      <c r="C13" s="3" t="s">
        <v>103</v>
      </c>
      <c r="D13" s="9"/>
      <c r="E13" s="1">
        <f t="shared" si="0"/>
        <v>0</v>
      </c>
      <c r="F13" s="1">
        <f t="shared" si="1"/>
        <v>0.34338000000000002</v>
      </c>
      <c r="G13" s="1">
        <f t="shared" si="2"/>
        <v>0.98957000000000006</v>
      </c>
      <c r="H13" s="1">
        <f t="shared" si="5"/>
        <v>1.1832600000000002</v>
      </c>
      <c r="I13" s="5"/>
      <c r="J13" s="98">
        <f t="shared" si="3"/>
        <v>2317.3229799999999</v>
      </c>
      <c r="K13" s="5"/>
      <c r="L13" s="1">
        <f t="shared" si="4"/>
        <v>0</v>
      </c>
      <c r="M13" s="6"/>
      <c r="N13" s="7">
        <f>ROUND(N12/1.45*1.95,2)</f>
        <v>4.4000000000000004</v>
      </c>
      <c r="O13" s="7"/>
      <c r="P13" s="7">
        <f>0.112/2</f>
        <v>5.6000000000000001E-2</v>
      </c>
      <c r="Q13" s="8"/>
      <c r="R13" s="7">
        <f>ROUND(R12/1.45*1.95,2)</f>
        <v>1.01</v>
      </c>
      <c r="S13" s="7"/>
      <c r="T13" s="7"/>
      <c r="U13" s="7"/>
      <c r="V13" s="7"/>
      <c r="W13" s="7">
        <f>ROUND(W12/1.95*1.95,2)</f>
        <v>64.94</v>
      </c>
      <c r="X13" s="8">
        <v>1</v>
      </c>
    </row>
    <row r="14" spans="1:24" ht="16.5" thickBot="1" x14ac:dyDescent="0.3">
      <c r="A14" s="4"/>
      <c r="B14" s="4"/>
      <c r="C14" s="3" t="s">
        <v>104</v>
      </c>
      <c r="D14" s="9"/>
      <c r="E14" s="1">
        <f t="shared" si="0"/>
        <v>0</v>
      </c>
      <c r="F14" s="1">
        <f t="shared" si="1"/>
        <v>0.42918000000000001</v>
      </c>
      <c r="G14" s="1">
        <f t="shared" si="2"/>
        <v>1.2290300000000001</v>
      </c>
      <c r="H14" s="1">
        <f t="shared" si="5"/>
        <v>1.4718600000000002</v>
      </c>
      <c r="I14" s="5"/>
      <c r="J14" s="98">
        <f t="shared" si="3"/>
        <v>2847.14338</v>
      </c>
      <c r="K14" s="5"/>
      <c r="L14" s="1">
        <f t="shared" si="4"/>
        <v>0</v>
      </c>
      <c r="M14" s="6"/>
      <c r="N14" s="7">
        <f>ROUND(N12/1.45*2.45,2)</f>
        <v>5.53</v>
      </c>
      <c r="O14" s="7"/>
      <c r="P14" s="7">
        <f>0.112/2</f>
        <v>5.6000000000000001E-2</v>
      </c>
      <c r="Q14" s="8"/>
      <c r="R14" s="7">
        <f>ROUND(R12/1.45*2.45,2)</f>
        <v>1.27</v>
      </c>
      <c r="S14" s="7"/>
      <c r="T14" s="7"/>
      <c r="U14" s="7"/>
      <c r="V14" s="7"/>
      <c r="W14" s="7">
        <f>ROUND(W12/1.95*2.45,2)</f>
        <v>81.59</v>
      </c>
      <c r="X14" s="8">
        <v>1</v>
      </c>
    </row>
    <row r="15" spans="1:24" ht="16.5" thickBot="1" x14ac:dyDescent="0.3">
      <c r="A15" s="4"/>
      <c r="B15" s="4"/>
      <c r="C15" s="3" t="s">
        <v>98</v>
      </c>
      <c r="D15" s="9"/>
      <c r="E15" s="1">
        <f t="shared" si="0"/>
        <v>1.6716959999999998</v>
      </c>
      <c r="F15" s="1">
        <f t="shared" si="1"/>
        <v>0.2047668</v>
      </c>
      <c r="G15" s="1">
        <f t="shared" si="2"/>
        <v>1.1293030000000002</v>
      </c>
      <c r="H15" s="1">
        <f t="shared" si="5"/>
        <v>0.38805600000000001</v>
      </c>
      <c r="I15" s="5"/>
      <c r="J15" s="98">
        <f t="shared" si="3"/>
        <v>2111.4143779999999</v>
      </c>
      <c r="K15" s="5"/>
      <c r="L15" s="1">
        <f t="shared" si="4"/>
        <v>5.5723200000000001E-2</v>
      </c>
      <c r="M15" s="6"/>
      <c r="N15" s="7">
        <f>N3*1.9</f>
        <v>0.8929999999999999</v>
      </c>
      <c r="O15" s="7">
        <f>O3*1.9</f>
        <v>1.976</v>
      </c>
      <c r="P15" s="7">
        <f>P3*1.9</f>
        <v>0.17859999999999998</v>
      </c>
      <c r="Q15" s="8"/>
      <c r="R15" s="7">
        <f>R3*1.9</f>
        <v>0.17099999999999999</v>
      </c>
      <c r="S15" s="7"/>
      <c r="T15" s="7"/>
      <c r="U15" s="7"/>
      <c r="V15" s="7"/>
      <c r="W15" s="7">
        <f>W3*1.9</f>
        <v>29.297999999999998</v>
      </c>
      <c r="X15" s="8">
        <v>2</v>
      </c>
    </row>
    <row r="16" spans="1:24" ht="16.5" thickBot="1" x14ac:dyDescent="0.3">
      <c r="A16" s="4"/>
      <c r="B16" s="4"/>
      <c r="C16" s="3" t="s">
        <v>99</v>
      </c>
      <c r="D16" s="9"/>
      <c r="E16" s="1">
        <f t="shared" si="0"/>
        <v>2.0896199999999996</v>
      </c>
      <c r="F16" s="1">
        <f t="shared" si="1"/>
        <v>0.23381399999999999</v>
      </c>
      <c r="G16" s="1">
        <f t="shared" si="2"/>
        <v>1.324927</v>
      </c>
      <c r="H16" s="1">
        <f t="shared" si="5"/>
        <v>0.38805600000000001</v>
      </c>
      <c r="I16" s="5"/>
      <c r="J16" s="98">
        <f t="shared" ref="J16:J67" si="6">A16*306.45+M16*238+N16*90.76+O16*438+P16*340.38+Q16*378.52+R16*404.81+S16*411.043+T16*412.45*0.005+U16*17.12+V16*18.08+W16*19.34+X16*234.12+K16*436.99+I16*367.03</f>
        <v>2327.7863779999998</v>
      </c>
      <c r="K16" s="5"/>
      <c r="L16" s="1">
        <f t="shared" si="4"/>
        <v>6.9653999999999994E-2</v>
      </c>
      <c r="M16" s="6"/>
      <c r="N16" s="7">
        <f t="shared" ref="N16:P18" si="7">N4*1.9</f>
        <v>0.8929999999999999</v>
      </c>
      <c r="O16" s="7">
        <f t="shared" si="7"/>
        <v>2.4699999999999998</v>
      </c>
      <c r="P16" s="7">
        <f t="shared" si="7"/>
        <v>0.17859999999999998</v>
      </c>
      <c r="Q16" s="8"/>
      <c r="R16" s="7">
        <f>R4*1.9</f>
        <v>0.17099999999999999</v>
      </c>
      <c r="S16" s="7"/>
      <c r="T16" s="7"/>
      <c r="U16" s="7"/>
      <c r="V16" s="7"/>
      <c r="W16" s="7">
        <f>W4*1.9</f>
        <v>29.297999999999998</v>
      </c>
      <c r="X16" s="8">
        <v>2</v>
      </c>
    </row>
    <row r="17" spans="1:26" ht="16.5" thickBot="1" x14ac:dyDescent="0.3">
      <c r="A17" s="4"/>
      <c r="B17" s="4"/>
      <c r="C17" s="3" t="s">
        <v>100</v>
      </c>
      <c r="D17" s="9"/>
      <c r="E17" s="1">
        <f t="shared" si="0"/>
        <v>2.780802</v>
      </c>
      <c r="F17" s="1">
        <f t="shared" si="1"/>
        <v>0.28185359999999998</v>
      </c>
      <c r="G17" s="1">
        <f t="shared" si="2"/>
        <v>1.6484590000000001</v>
      </c>
      <c r="H17" s="1">
        <f t="shared" si="5"/>
        <v>0.38805600000000001</v>
      </c>
      <c r="I17" s="5"/>
      <c r="J17" s="98">
        <f t="shared" si="6"/>
        <v>2685.6323780000002</v>
      </c>
      <c r="K17" s="5"/>
      <c r="L17" s="1">
        <f t="shared" si="4"/>
        <v>9.2693399999999995E-2</v>
      </c>
      <c r="M17" s="6"/>
      <c r="N17" s="7">
        <f t="shared" si="7"/>
        <v>0.8929999999999999</v>
      </c>
      <c r="O17" s="7">
        <f t="shared" si="7"/>
        <v>3.2869999999999999</v>
      </c>
      <c r="P17" s="7">
        <f t="shared" si="7"/>
        <v>0.17859999999999998</v>
      </c>
      <c r="Q17" s="8"/>
      <c r="R17" s="7">
        <f>R5*1.9</f>
        <v>0.17099999999999999</v>
      </c>
      <c r="S17" s="7"/>
      <c r="T17" s="7"/>
      <c r="U17" s="7"/>
      <c r="V17" s="7"/>
      <c r="W17" s="7">
        <f>W5*1.9</f>
        <v>29.297999999999998</v>
      </c>
      <c r="X17" s="8">
        <v>2</v>
      </c>
    </row>
    <row r="18" spans="1:26" ht="16.5" thickBot="1" x14ac:dyDescent="0.3">
      <c r="A18" s="4"/>
      <c r="B18" s="4"/>
      <c r="C18" s="3" t="s">
        <v>101</v>
      </c>
      <c r="D18" s="9"/>
      <c r="E18" s="1">
        <f t="shared" si="0"/>
        <v>3.4880579999999992</v>
      </c>
      <c r="F18" s="1">
        <f t="shared" si="1"/>
        <v>0.33101039999999993</v>
      </c>
      <c r="G18" s="1">
        <f t="shared" si="2"/>
        <v>1.9795149999999999</v>
      </c>
      <c r="H18" s="1">
        <f t="shared" si="5"/>
        <v>0.38805600000000001</v>
      </c>
      <c r="I18" s="5"/>
      <c r="J18" s="98">
        <f t="shared" si="6"/>
        <v>3051.8003779999999</v>
      </c>
      <c r="K18" s="5"/>
      <c r="L18" s="1">
        <f t="shared" si="4"/>
        <v>0.11626859999999997</v>
      </c>
      <c r="M18" s="6"/>
      <c r="N18" s="7">
        <f t="shared" si="7"/>
        <v>0.8929999999999999</v>
      </c>
      <c r="O18" s="7">
        <f t="shared" si="7"/>
        <v>4.1229999999999993</v>
      </c>
      <c r="P18" s="7">
        <f t="shared" si="7"/>
        <v>0.17859999999999998</v>
      </c>
      <c r="Q18" s="8"/>
      <c r="R18" s="7">
        <f>R6*1.9</f>
        <v>0.17099999999999999</v>
      </c>
      <c r="S18" s="7"/>
      <c r="T18" s="7"/>
      <c r="U18" s="7"/>
      <c r="V18" s="7"/>
      <c r="W18" s="7">
        <f>W6*1.9</f>
        <v>29.297999999999998</v>
      </c>
      <c r="X18" s="8">
        <v>2</v>
      </c>
    </row>
    <row r="19" spans="1:26" ht="16.5" thickBot="1" x14ac:dyDescent="0.3">
      <c r="A19" s="4"/>
      <c r="B19" s="4"/>
      <c r="C19" s="3" t="s">
        <v>425</v>
      </c>
      <c r="D19" s="9"/>
      <c r="E19" s="1">
        <f t="shared" si="0"/>
        <v>0</v>
      </c>
      <c r="F19" s="1">
        <f t="shared" si="1"/>
        <v>0.82205400000000006</v>
      </c>
      <c r="G19" s="1">
        <f t="shared" si="2"/>
        <v>2.4129430000000003</v>
      </c>
      <c r="H19" s="1">
        <f t="shared" si="5"/>
        <v>2.8724580000000004</v>
      </c>
      <c r="I19" s="5"/>
      <c r="J19" s="98">
        <f t="shared" si="6"/>
        <v>1725.4115939999999</v>
      </c>
      <c r="K19" s="5"/>
      <c r="L19" s="1">
        <f t="shared" si="4"/>
        <v>0</v>
      </c>
      <c r="M19" s="6"/>
      <c r="N19" s="7">
        <f>1.9*N7</f>
        <v>2.4604999999999997</v>
      </c>
      <c r="O19" s="7"/>
      <c r="P19" s="7">
        <f t="shared" ref="P19:P26" si="8">1.9*P7</f>
        <v>0.21279999999999999</v>
      </c>
      <c r="Q19" s="8"/>
      <c r="R19" s="7">
        <f t="shared" ref="R19:R26" si="9">1.9*R7</f>
        <v>2.375</v>
      </c>
      <c r="S19" s="7"/>
      <c r="T19" s="7"/>
      <c r="U19" s="7"/>
      <c r="V19" s="7"/>
      <c r="W19" s="7"/>
      <c r="X19" s="8">
        <v>2</v>
      </c>
    </row>
    <row r="20" spans="1:26" ht="16.5" thickBot="1" x14ac:dyDescent="0.3">
      <c r="A20" s="4"/>
      <c r="B20" s="4"/>
      <c r="C20" s="3" t="s">
        <v>426</v>
      </c>
      <c r="D20" s="9"/>
      <c r="E20" s="1">
        <f t="shared" si="0"/>
        <v>0</v>
      </c>
      <c r="F20" s="1">
        <f t="shared" si="1"/>
        <v>1.028964</v>
      </c>
      <c r="G20" s="1">
        <f t="shared" si="2"/>
        <v>2.9904099999999998</v>
      </c>
      <c r="H20" s="1">
        <f t="shared" si="5"/>
        <v>3.5684279999999999</v>
      </c>
      <c r="I20" s="5"/>
      <c r="J20" s="98">
        <f t="shared" si="6"/>
        <v>2037.8584239999998</v>
      </c>
      <c r="K20" s="5"/>
      <c r="L20" s="1">
        <f t="shared" si="4"/>
        <v>0</v>
      </c>
      <c r="M20" s="6"/>
      <c r="N20" s="7">
        <f t="shared" ref="N20:N26" si="10">1.9*N8</f>
        <v>3.1065</v>
      </c>
      <c r="O20" s="7"/>
      <c r="P20" s="7">
        <f t="shared" si="8"/>
        <v>0.21279999999999999</v>
      </c>
      <c r="Q20" s="8"/>
      <c r="R20" s="7">
        <f t="shared" si="9"/>
        <v>3.0019999999999998</v>
      </c>
      <c r="S20" s="7"/>
      <c r="T20" s="7"/>
      <c r="U20" s="7"/>
      <c r="V20" s="7"/>
      <c r="W20" s="7"/>
      <c r="X20" s="8">
        <v>2</v>
      </c>
    </row>
    <row r="21" spans="1:26" ht="16.5" thickBot="1" x14ac:dyDescent="0.3">
      <c r="A21" s="4"/>
      <c r="B21" s="4"/>
      <c r="C21" s="3" t="s">
        <v>427</v>
      </c>
      <c r="D21" s="9"/>
      <c r="E21" s="1">
        <f t="shared" si="0"/>
        <v>0</v>
      </c>
      <c r="F21" s="1">
        <f t="shared" si="1"/>
        <v>1.3675439999999999</v>
      </c>
      <c r="G21" s="1">
        <f t="shared" si="2"/>
        <v>3.9353559999999996</v>
      </c>
      <c r="H21" s="1">
        <f t="shared" si="5"/>
        <v>4.7072880000000001</v>
      </c>
      <c r="I21" s="5"/>
      <c r="J21" s="98">
        <f t="shared" si="6"/>
        <v>2550.6243439999998</v>
      </c>
      <c r="K21" s="5"/>
      <c r="L21" s="1">
        <f t="shared" si="4"/>
        <v>0</v>
      </c>
      <c r="M21" s="6"/>
      <c r="N21" s="7">
        <f t="shared" si="10"/>
        <v>4.18</v>
      </c>
      <c r="O21" s="7"/>
      <c r="P21" s="7">
        <f t="shared" si="8"/>
        <v>0.21279999999999999</v>
      </c>
      <c r="Q21" s="8"/>
      <c r="R21" s="7">
        <f t="shared" si="9"/>
        <v>4.0279999999999996</v>
      </c>
      <c r="S21" s="7"/>
      <c r="T21" s="7"/>
      <c r="U21" s="7"/>
      <c r="V21" s="7"/>
      <c r="W21" s="7"/>
      <c r="X21" s="8">
        <v>2</v>
      </c>
    </row>
    <row r="22" spans="1:26" ht="16.5" thickBot="1" x14ac:dyDescent="0.3">
      <c r="A22" s="4"/>
      <c r="B22" s="4"/>
      <c r="C22" s="3" t="s">
        <v>428</v>
      </c>
      <c r="D22" s="9"/>
      <c r="E22" s="1">
        <f t="shared" si="0"/>
        <v>0</v>
      </c>
      <c r="F22" s="1">
        <f t="shared" si="1"/>
        <v>1.7123939999999997</v>
      </c>
      <c r="G22" s="1">
        <f t="shared" si="2"/>
        <v>4.8978009999999994</v>
      </c>
      <c r="H22" s="1">
        <f t="shared" si="5"/>
        <v>5.8672380000000004</v>
      </c>
      <c r="I22" s="5"/>
      <c r="J22" s="98">
        <f t="shared" si="6"/>
        <v>3071.0816539999996</v>
      </c>
      <c r="K22" s="5"/>
      <c r="L22" s="1">
        <f t="shared" si="4"/>
        <v>0</v>
      </c>
      <c r="M22" s="6"/>
      <c r="N22" s="7">
        <f t="shared" si="10"/>
        <v>5.2534999999999998</v>
      </c>
      <c r="O22" s="7"/>
      <c r="P22" s="7">
        <f t="shared" si="8"/>
        <v>0.21279999999999999</v>
      </c>
      <c r="Q22" s="8"/>
      <c r="R22" s="7">
        <f t="shared" si="9"/>
        <v>5.0729999999999995</v>
      </c>
      <c r="S22" s="7"/>
      <c r="T22" s="7"/>
      <c r="U22" s="7"/>
      <c r="V22" s="7"/>
      <c r="W22" s="7"/>
      <c r="X22" s="8">
        <v>2</v>
      </c>
    </row>
    <row r="23" spans="1:26" ht="16.5" thickBot="1" x14ac:dyDescent="0.3">
      <c r="A23" s="4"/>
      <c r="B23" s="4"/>
      <c r="C23" s="3" t="s">
        <v>109</v>
      </c>
      <c r="D23" s="9"/>
      <c r="E23" s="1">
        <f t="shared" si="0"/>
        <v>0</v>
      </c>
      <c r="F23" s="1">
        <f t="shared" si="1"/>
        <v>0.38908200000000004</v>
      </c>
      <c r="G23" s="1">
        <f t="shared" si="2"/>
        <v>1.1452249999999999</v>
      </c>
      <c r="H23" s="1">
        <f t="shared" si="5"/>
        <v>1.362414</v>
      </c>
      <c r="I23" s="5"/>
      <c r="J23" s="98">
        <f t="shared" si="6"/>
        <v>3297.2974020000001</v>
      </c>
      <c r="K23" s="5"/>
      <c r="L23" s="1">
        <f t="shared" si="4"/>
        <v>0</v>
      </c>
      <c r="M23" s="6"/>
      <c r="N23" s="7">
        <f>1.9*N11</f>
        <v>4.9209999999999994</v>
      </c>
      <c r="O23" s="7"/>
      <c r="P23" s="7">
        <f t="shared" si="8"/>
        <v>0.10639999999999999</v>
      </c>
      <c r="Q23" s="8"/>
      <c r="R23" s="7">
        <f>1.9*R11</f>
        <v>1.121</v>
      </c>
      <c r="S23" s="7"/>
      <c r="T23" s="7"/>
      <c r="U23" s="7"/>
      <c r="V23" s="7"/>
      <c r="W23" s="7">
        <f>1.9*W11</f>
        <v>97.85</v>
      </c>
      <c r="X23" s="8">
        <v>2</v>
      </c>
    </row>
    <row r="24" spans="1:26" ht="16.5" thickBot="1" x14ac:dyDescent="0.3">
      <c r="A24" s="4"/>
      <c r="B24" s="4"/>
      <c r="C24" s="3" t="s">
        <v>106</v>
      </c>
      <c r="D24" s="9"/>
      <c r="E24" s="1">
        <f t="shared" si="0"/>
        <v>0</v>
      </c>
      <c r="F24" s="1">
        <f t="shared" si="1"/>
        <v>0.48940199999999995</v>
      </c>
      <c r="G24" s="1">
        <f t="shared" si="2"/>
        <v>1.4252089999999999</v>
      </c>
      <c r="H24" s="1">
        <f t="shared" si="5"/>
        <v>1.699854</v>
      </c>
      <c r="I24" s="5"/>
      <c r="J24" s="98">
        <f t="shared" si="6"/>
        <v>4031.4878019999996</v>
      </c>
      <c r="K24" s="5"/>
      <c r="L24" s="1">
        <f t="shared" si="4"/>
        <v>0</v>
      </c>
      <c r="M24" s="6"/>
      <c r="N24" s="7">
        <f t="shared" si="10"/>
        <v>6.2130000000000001</v>
      </c>
      <c r="O24" s="7"/>
      <c r="P24" s="7">
        <f t="shared" si="8"/>
        <v>0.10639999999999999</v>
      </c>
      <c r="Q24" s="8"/>
      <c r="R24" s="7">
        <f t="shared" si="9"/>
        <v>1.4249999999999998</v>
      </c>
      <c r="S24" s="7"/>
      <c r="T24" s="7"/>
      <c r="U24" s="7"/>
      <c r="V24" s="7"/>
      <c r="W24" s="7">
        <f>1.9*W12</f>
        <v>123.386</v>
      </c>
      <c r="X24" s="8">
        <v>2</v>
      </c>
    </row>
    <row r="25" spans="1:26" ht="16.5" thickBot="1" x14ac:dyDescent="0.3">
      <c r="A25" s="4"/>
      <c r="B25" s="4"/>
      <c r="C25" s="3" t="s">
        <v>107</v>
      </c>
      <c r="D25" s="9"/>
      <c r="E25" s="1">
        <f t="shared" si="0"/>
        <v>0</v>
      </c>
      <c r="F25" s="1">
        <f t="shared" si="1"/>
        <v>0.65242199999999995</v>
      </c>
      <c r="G25" s="1">
        <f t="shared" si="2"/>
        <v>1.8801829999999999</v>
      </c>
      <c r="H25" s="1">
        <f t="shared" si="5"/>
        <v>2.2481940000000002</v>
      </c>
      <c r="I25" s="5"/>
      <c r="J25" s="98">
        <f t="shared" si="6"/>
        <v>4426.3256619999993</v>
      </c>
      <c r="K25" s="5"/>
      <c r="L25" s="1">
        <f t="shared" si="4"/>
        <v>0</v>
      </c>
      <c r="M25" s="6"/>
      <c r="N25" s="7">
        <f t="shared" si="10"/>
        <v>8.36</v>
      </c>
      <c r="O25" s="7"/>
      <c r="P25" s="7">
        <f t="shared" si="8"/>
        <v>0.10639999999999999</v>
      </c>
      <c r="Q25" s="8"/>
      <c r="R25" s="7">
        <f t="shared" si="9"/>
        <v>1.9189999999999998</v>
      </c>
      <c r="S25" s="7"/>
      <c r="T25" s="7"/>
      <c r="U25" s="7"/>
      <c r="V25" s="7"/>
      <c r="W25" s="7">
        <f>1.9*W13</f>
        <v>123.386</v>
      </c>
      <c r="X25" s="8">
        <v>2</v>
      </c>
    </row>
    <row r="26" spans="1:26" ht="16.5" thickBot="1" x14ac:dyDescent="0.3">
      <c r="A26" s="4"/>
      <c r="B26" s="4"/>
      <c r="C26" s="3" t="s">
        <v>108</v>
      </c>
      <c r="D26" s="9"/>
      <c r="E26" s="1">
        <f t="shared" si="0"/>
        <v>0</v>
      </c>
      <c r="F26" s="1">
        <f t="shared" si="1"/>
        <v>0.81544199999999989</v>
      </c>
      <c r="G26" s="1">
        <f t="shared" si="2"/>
        <v>2.3351569999999997</v>
      </c>
      <c r="H26" s="1">
        <f t="shared" si="5"/>
        <v>2.7965340000000003</v>
      </c>
      <c r="I26" s="5"/>
      <c r="J26" s="98">
        <f t="shared" si="6"/>
        <v>5432.9844219999995</v>
      </c>
      <c r="K26" s="5"/>
      <c r="L26" s="1">
        <f t="shared" si="4"/>
        <v>0</v>
      </c>
      <c r="M26" s="6"/>
      <c r="N26" s="7">
        <f t="shared" si="10"/>
        <v>10.507</v>
      </c>
      <c r="O26" s="7"/>
      <c r="P26" s="7">
        <f t="shared" si="8"/>
        <v>0.10639999999999999</v>
      </c>
      <c r="Q26" s="8"/>
      <c r="R26" s="7">
        <f t="shared" si="9"/>
        <v>2.4129999999999998</v>
      </c>
      <c r="S26" s="7"/>
      <c r="T26" s="7"/>
      <c r="U26" s="7"/>
      <c r="V26" s="7"/>
      <c r="W26" s="7">
        <f>1.9*W14</f>
        <v>155.02099999999999</v>
      </c>
      <c r="X26" s="8">
        <v>2</v>
      </c>
    </row>
    <row r="27" spans="1:26" s="144" customFormat="1" ht="16.5" thickBot="1" x14ac:dyDescent="0.3">
      <c r="A27" s="35"/>
      <c r="B27" s="35"/>
      <c r="C27" s="141" t="s">
        <v>96</v>
      </c>
      <c r="D27" s="142"/>
      <c r="E27" s="143">
        <f t="shared" si="0"/>
        <v>0.17055359999999997</v>
      </c>
      <c r="F27" s="143">
        <f t="shared" si="1"/>
        <v>9.9453823999999996E-2</v>
      </c>
      <c r="G27" s="143">
        <f t="shared" si="2"/>
        <v>0.3618486528</v>
      </c>
      <c r="H27" s="1">
        <f t="shared" si="5"/>
        <v>0.308576448</v>
      </c>
      <c r="I27" s="82"/>
      <c r="J27" s="98">
        <f t="shared" si="6"/>
        <v>399.28746636799997</v>
      </c>
      <c r="K27" s="82"/>
      <c r="L27" s="143">
        <f t="shared" si="4"/>
        <v>5.6851199999999992E-3</v>
      </c>
      <c r="M27" s="87"/>
      <c r="N27" s="85">
        <f>(0.88*0.88+4*0.09*0.09*0.8)/2.5</f>
        <v>0.32012799999999997</v>
      </c>
      <c r="O27" s="85">
        <f>2*(0.7+0.7)*0.8*0.09</f>
        <v>0.20159999999999997</v>
      </c>
      <c r="P27" s="85">
        <v>0.06</v>
      </c>
      <c r="Q27" s="86"/>
      <c r="R27" s="85">
        <f>3*N27*2*0.1+0.09*0.09*0.8*4</f>
        <v>0.21799679999999999</v>
      </c>
      <c r="S27" s="85"/>
      <c r="T27" s="85">
        <f>4*(0.7+0.7)/2*0.8</f>
        <v>2.2399999999999998</v>
      </c>
      <c r="U27" s="85"/>
      <c r="V27" s="85"/>
      <c r="W27" s="7">
        <f>40*R27</f>
        <v>8.7198719999999987</v>
      </c>
      <c r="X27" s="86"/>
      <c r="Y27" s="2"/>
      <c r="Z27" s="2"/>
    </row>
    <row r="28" spans="1:26" ht="16.5" thickBot="1" x14ac:dyDescent="0.3">
      <c r="A28" s="4"/>
      <c r="B28" s="4"/>
      <c r="C28" s="3" t="s">
        <v>97</v>
      </c>
      <c r="D28" s="9"/>
      <c r="E28" s="1">
        <f t="shared" si="0"/>
        <v>0.28019519999999998</v>
      </c>
      <c r="F28" s="1">
        <f t="shared" si="1"/>
        <v>0.14735024000000002</v>
      </c>
      <c r="G28" s="1">
        <f t="shared" si="2"/>
        <v>0.52819569600000005</v>
      </c>
      <c r="H28" s="1">
        <f t="shared" si="5"/>
        <v>0.43353936000000004</v>
      </c>
      <c r="I28" s="5"/>
      <c r="J28" s="98">
        <f t="shared" si="6"/>
        <v>607.73563376000004</v>
      </c>
      <c r="K28" s="5"/>
      <c r="L28" s="1">
        <f t="shared" si="4"/>
        <v>9.3398400000000003E-3</v>
      </c>
      <c r="M28" s="6"/>
      <c r="N28" s="7">
        <f>(1.1*1.1+4*0.09*0.09*1)/2.5</f>
        <v>0.49696000000000007</v>
      </c>
      <c r="O28" s="7">
        <f>2*(0.92+0.92)*1*0.09</f>
        <v>0.33119999999999999</v>
      </c>
      <c r="P28" s="7">
        <v>0.06</v>
      </c>
      <c r="Q28" s="8"/>
      <c r="R28" s="7">
        <f>3*N28*2*0.1+0.09*0.09*1*4</f>
        <v>0.33057600000000004</v>
      </c>
      <c r="S28" s="7"/>
      <c r="T28" s="7">
        <f>4*(0.92+0.92)/2*1</f>
        <v>3.68</v>
      </c>
      <c r="U28" s="7"/>
      <c r="V28" s="7"/>
      <c r="W28" s="7">
        <f t="shared" ref="W28:W31" si="11">40*R28</f>
        <v>13.223040000000001</v>
      </c>
      <c r="X28" s="8"/>
    </row>
    <row r="29" spans="1:26" ht="16.5" thickBot="1" x14ac:dyDescent="0.3">
      <c r="A29" s="4"/>
      <c r="B29" s="4"/>
      <c r="C29" s="3" t="s">
        <v>73</v>
      </c>
      <c r="D29" s="9"/>
      <c r="E29" s="1">
        <f t="shared" si="0"/>
        <v>0.6822144</v>
      </c>
      <c r="F29" s="1">
        <f t="shared" si="1"/>
        <v>0.25613760000000002</v>
      </c>
      <c r="G29" s="1">
        <f t="shared" si="2"/>
        <v>0.95694329600000005</v>
      </c>
      <c r="H29" s="1">
        <f t="shared" si="5"/>
        <v>0.70038336000000012</v>
      </c>
      <c r="I29" s="5"/>
      <c r="J29" s="98">
        <f t="shared" si="6"/>
        <v>1110.7009230933334</v>
      </c>
      <c r="K29" s="5"/>
      <c r="L29" s="1">
        <f t="shared" si="4"/>
        <v>2.274048E-2</v>
      </c>
      <c r="M29" s="6"/>
      <c r="N29" s="7">
        <f>(1.48*1.48+4*0.14*0.14*1.2)/3</f>
        <v>0.76149333333333324</v>
      </c>
      <c r="O29" s="7">
        <f>2*(1.2+1.2)*1.2*0.14</f>
        <v>0.80640000000000001</v>
      </c>
      <c r="P29" s="7">
        <v>0.08</v>
      </c>
      <c r="Q29" s="8"/>
      <c r="R29" s="7">
        <f>3*N29*2*0.1+0.14*0.14*1.2*4</f>
        <v>0.55097600000000002</v>
      </c>
      <c r="S29" s="7"/>
      <c r="T29" s="7">
        <f>4*(1.2+1.2)/2*1.2</f>
        <v>5.76</v>
      </c>
      <c r="U29" s="7"/>
      <c r="V29" s="7"/>
      <c r="W29" s="7">
        <f t="shared" si="11"/>
        <v>22.03904</v>
      </c>
      <c r="X29" s="8"/>
    </row>
    <row r="30" spans="1:26" ht="16.5" thickBot="1" x14ac:dyDescent="0.3">
      <c r="A30" s="4"/>
      <c r="B30" s="4"/>
      <c r="C30" s="3" t="s">
        <v>74</v>
      </c>
      <c r="D30" s="9"/>
      <c r="E30" s="1">
        <f t="shared" si="0"/>
        <v>0.92856959999999988</v>
      </c>
      <c r="F30" s="1">
        <f t="shared" si="1"/>
        <v>0.33109503999999995</v>
      </c>
      <c r="G30" s="1">
        <f t="shared" si="2"/>
        <v>1.2541824319999999</v>
      </c>
      <c r="H30" s="1">
        <f t="shared" si="5"/>
        <v>0.89487311999999997</v>
      </c>
      <c r="I30" s="5"/>
      <c r="J30" s="98">
        <f t="shared" si="6"/>
        <v>1443.4658685866666</v>
      </c>
      <c r="K30" s="5"/>
      <c r="L30" s="1">
        <f t="shared" si="4"/>
        <v>3.0952319999999998E-2</v>
      </c>
      <c r="M30" s="6"/>
      <c r="N30" s="7">
        <f>(1.68*1.68+4*0.14*0.14*1.4)/3</f>
        <v>0.97738666666666651</v>
      </c>
      <c r="O30" s="7">
        <f>2*(1.4+1.4)*1.4*0.14</f>
        <v>1.0975999999999999</v>
      </c>
      <c r="P30" s="7">
        <v>0.11</v>
      </c>
      <c r="Q30" s="8"/>
      <c r="R30" s="7">
        <f>3*N30*2*0.1+0.14*0.14*1.4*4</f>
        <v>0.69619199999999992</v>
      </c>
      <c r="S30" s="7"/>
      <c r="T30" s="7">
        <f>4*(1.4+1.4)/2*1.4</f>
        <v>7.839999999999999</v>
      </c>
      <c r="U30" s="7"/>
      <c r="V30" s="7"/>
      <c r="W30" s="7">
        <f t="shared" si="11"/>
        <v>27.847679999999997</v>
      </c>
      <c r="X30" s="8"/>
    </row>
    <row r="31" spans="1:26" ht="16.5" thickBot="1" x14ac:dyDescent="0.3">
      <c r="A31" s="4"/>
      <c r="B31" s="4"/>
      <c r="C31" s="3" t="s">
        <v>75</v>
      </c>
      <c r="D31" s="9"/>
      <c r="E31" s="1">
        <f t="shared" si="0"/>
        <v>1.3189478400000001</v>
      </c>
      <c r="F31" s="1">
        <f t="shared" si="1"/>
        <v>0.45250179200000007</v>
      </c>
      <c r="G31" s="1">
        <f t="shared" si="2"/>
        <v>1.7334338080000002</v>
      </c>
      <c r="H31" s="1">
        <f t="shared" si="5"/>
        <v>1.2150148800000002</v>
      </c>
      <c r="I31" s="5"/>
      <c r="J31" s="98">
        <f t="shared" si="6"/>
        <v>1983.5091594133335</v>
      </c>
      <c r="K31" s="5"/>
      <c r="L31" s="1">
        <f t="shared" si="4"/>
        <v>4.3964928000000007E-2</v>
      </c>
      <c r="M31" s="6"/>
      <c r="N31" s="7">
        <f>(1.98*1.98+4*0.14*0.14*1.6)/3</f>
        <v>1.3486133333333334</v>
      </c>
      <c r="O31" s="7">
        <f>2*(1.7+1.78)*1.6*0.14</f>
        <v>1.5590400000000002</v>
      </c>
      <c r="P31" s="7">
        <v>0.16</v>
      </c>
      <c r="Q31" s="8"/>
      <c r="R31" s="7">
        <f>3*N31*2*0.1+0.14*0.14*1.6*4</f>
        <v>0.93460800000000011</v>
      </c>
      <c r="S31" s="7"/>
      <c r="T31" s="7">
        <f>4*(1.7+1.7)/2*1.6</f>
        <v>10.88</v>
      </c>
      <c r="U31" s="7"/>
      <c r="V31" s="7"/>
      <c r="W31" s="7">
        <f t="shared" si="11"/>
        <v>37.384320000000002</v>
      </c>
      <c r="X31" s="8"/>
    </row>
    <row r="32" spans="1:26" ht="16.5" thickBot="1" x14ac:dyDescent="0.3">
      <c r="A32" s="4"/>
      <c r="B32" s="4"/>
      <c r="C32" s="3" t="s">
        <v>429</v>
      </c>
      <c r="D32" s="9"/>
      <c r="E32" s="1">
        <f t="shared" si="0"/>
        <v>0</v>
      </c>
      <c r="F32" s="1">
        <f t="shared" si="1"/>
        <v>0.1320288</v>
      </c>
      <c r="G32" s="1">
        <f t="shared" si="2"/>
        <v>0.40193856</v>
      </c>
      <c r="H32" s="1">
        <f t="shared" si="5"/>
        <v>0.47436960000000006</v>
      </c>
      <c r="I32" s="5"/>
      <c r="J32" s="98">
        <f t="shared" si="6"/>
        <v>423.93761941333332</v>
      </c>
      <c r="K32" s="5"/>
      <c r="L32" s="1">
        <f t="shared" si="4"/>
        <v>0</v>
      </c>
      <c r="M32" s="6"/>
      <c r="N32" s="7">
        <f>N37/2</f>
        <v>0.94933333333333358</v>
      </c>
      <c r="O32" s="7"/>
      <c r="P32" s="7">
        <v>0.06</v>
      </c>
      <c r="Q32" s="8"/>
      <c r="R32" s="7">
        <f>(4*0.8*0.12*(0.7+0.88)/2+(0.8*0.8)*0.1)</f>
        <v>0.36736000000000002</v>
      </c>
      <c r="S32" s="7"/>
      <c r="T32" s="7"/>
      <c r="U32" s="7"/>
      <c r="V32" s="7"/>
      <c r="W32" s="7">
        <f>W27</f>
        <v>8.7198719999999987</v>
      </c>
      <c r="X32" s="8"/>
    </row>
    <row r="33" spans="1:24" ht="16.5" thickBot="1" x14ac:dyDescent="0.3">
      <c r="A33" s="4"/>
      <c r="B33" s="4"/>
      <c r="C33" s="3" t="s">
        <v>430</v>
      </c>
      <c r="D33" s="9"/>
      <c r="E33" s="1">
        <f t="shared" si="0"/>
        <v>0</v>
      </c>
      <c r="F33" s="1">
        <f t="shared" si="1"/>
        <v>0.20444730000000003</v>
      </c>
      <c r="G33" s="1">
        <f t="shared" si="2"/>
        <v>0.60405201000000008</v>
      </c>
      <c r="H33" s="1">
        <f t="shared" si="5"/>
        <v>0.71795910000000007</v>
      </c>
      <c r="I33" s="5"/>
      <c r="J33" s="98">
        <f t="shared" si="6"/>
        <v>651.35712903333342</v>
      </c>
      <c r="K33" s="5"/>
      <c r="L33" s="1">
        <f t="shared" si="4"/>
        <v>0</v>
      </c>
      <c r="M33" s="6"/>
      <c r="N33" s="7">
        <f>N38/2</f>
        <v>1.5166833333333332</v>
      </c>
      <c r="O33" s="7"/>
      <c r="P33" s="7">
        <v>0.06</v>
      </c>
      <c r="Q33" s="8"/>
      <c r="R33" s="7">
        <f>(4*1*0.12*(0.92+1.1)/2+(1.01*1.01)*0.1)</f>
        <v>0.58681000000000005</v>
      </c>
      <c r="S33" s="7"/>
      <c r="T33" s="7"/>
      <c r="U33" s="7"/>
      <c r="V33" s="7"/>
      <c r="W33" s="7">
        <f>W28</f>
        <v>13.223040000000001</v>
      </c>
      <c r="X33" s="8"/>
    </row>
    <row r="34" spans="1:24" ht="16.5" thickBot="1" x14ac:dyDescent="0.3">
      <c r="A34" s="4"/>
      <c r="B34" s="4"/>
      <c r="C34" s="3" t="s">
        <v>431</v>
      </c>
      <c r="D34" s="9"/>
      <c r="E34" s="1">
        <f t="shared" si="0"/>
        <v>0</v>
      </c>
      <c r="F34" s="1">
        <f t="shared" si="1"/>
        <v>0.38327894999999995</v>
      </c>
      <c r="G34" s="1">
        <f t="shared" si="2"/>
        <v>1.1143076149999998</v>
      </c>
      <c r="H34" s="1">
        <f t="shared" si="5"/>
        <v>1.3295746499999999</v>
      </c>
      <c r="I34" s="5"/>
      <c r="J34" s="98">
        <f t="shared" si="6"/>
        <v>1127.7190064166666</v>
      </c>
      <c r="K34" s="5"/>
      <c r="L34" s="1">
        <f t="shared" si="4"/>
        <v>0</v>
      </c>
      <c r="M34" s="6"/>
      <c r="N34" s="7">
        <f>N39/2</f>
        <v>2.4432666666666667</v>
      </c>
      <c r="O34" s="7"/>
      <c r="P34" s="7">
        <v>0.08</v>
      </c>
      <c r="Q34" s="8"/>
      <c r="R34" s="7">
        <f>(4*1.2*0.15*(1.2+1.48)/2+(1.01*1.01)*0.15)</f>
        <v>1.1178149999999998</v>
      </c>
      <c r="S34" s="7"/>
      <c r="T34" s="7"/>
      <c r="U34" s="7"/>
      <c r="V34" s="7"/>
      <c r="W34" s="7">
        <f>W29</f>
        <v>22.03904</v>
      </c>
      <c r="X34" s="8"/>
    </row>
    <row r="35" spans="1:24" ht="16.5" thickBot="1" x14ac:dyDescent="0.3">
      <c r="A35" s="4"/>
      <c r="B35" s="4"/>
      <c r="C35" s="3" t="s">
        <v>432</v>
      </c>
      <c r="D35" s="9"/>
      <c r="E35" s="1">
        <f t="shared" si="0"/>
        <v>0</v>
      </c>
      <c r="F35" s="1">
        <f t="shared" si="1"/>
        <v>0.56408220000000009</v>
      </c>
      <c r="G35" s="1">
        <f t="shared" si="2"/>
        <v>1.6356421400000001</v>
      </c>
      <c r="H35" s="1">
        <f t="shared" si="5"/>
        <v>1.9528674000000004</v>
      </c>
      <c r="I35" s="5"/>
      <c r="J35" s="98">
        <f t="shared" si="6"/>
        <v>1540.4644059333332</v>
      </c>
      <c r="K35" s="5"/>
      <c r="L35" s="1">
        <f t="shared" si="4"/>
        <v>0</v>
      </c>
      <c r="M35" s="6"/>
      <c r="N35" s="7">
        <f>N40/2</f>
        <v>3.2699333333333329</v>
      </c>
      <c r="O35" s="7"/>
      <c r="P35" s="7">
        <v>0.11</v>
      </c>
      <c r="Q35" s="8"/>
      <c r="R35" s="7">
        <f>(4*1.4*0.15*(1.4+1.68)/2+(1.54*1.54)*0.15)</f>
        <v>1.64934</v>
      </c>
      <c r="S35" s="7"/>
      <c r="T35" s="7"/>
      <c r="U35" s="7"/>
      <c r="V35" s="7"/>
      <c r="W35" s="7">
        <f>W30</f>
        <v>27.847679999999997</v>
      </c>
      <c r="X35" s="8"/>
    </row>
    <row r="36" spans="1:24" ht="16.5" thickBot="1" x14ac:dyDescent="0.3">
      <c r="A36" s="4"/>
      <c r="B36" s="4"/>
      <c r="C36" s="3" t="s">
        <v>433</v>
      </c>
      <c r="D36" s="9"/>
      <c r="E36" s="1">
        <f t="shared" si="0"/>
        <v>0</v>
      </c>
      <c r="F36" s="1">
        <f t="shared" si="1"/>
        <v>0.77929919999999997</v>
      </c>
      <c r="G36" s="1">
        <f t="shared" si="2"/>
        <v>2.26417504</v>
      </c>
      <c r="H36" s="1">
        <f t="shared" si="5"/>
        <v>2.7020064000000001</v>
      </c>
      <c r="I36" s="5"/>
      <c r="J36" s="98">
        <f t="shared" si="6"/>
        <v>2105.5847392000001</v>
      </c>
      <c r="K36" s="5"/>
      <c r="L36" s="1">
        <f t="shared" si="4"/>
        <v>0</v>
      </c>
      <c r="M36" s="6"/>
      <c r="N36" s="7">
        <f>N41/2</f>
        <v>4.4896000000000003</v>
      </c>
      <c r="O36" s="7"/>
      <c r="P36" s="7">
        <v>0.16</v>
      </c>
      <c r="Q36" s="8"/>
      <c r="R36" s="7">
        <f>(4*1.6*0.15*(1.7+1.98)/2+(1.84*1.84)*0.15)</f>
        <v>2.2742399999999998</v>
      </c>
      <c r="S36" s="7"/>
      <c r="T36" s="7"/>
      <c r="U36" s="7"/>
      <c r="V36" s="7"/>
      <c r="W36" s="7">
        <f>W31</f>
        <v>37.384320000000002</v>
      </c>
      <c r="X36" s="8"/>
    </row>
    <row r="37" spans="1:24" ht="16.5" thickBot="1" x14ac:dyDescent="0.3">
      <c r="A37" s="4"/>
      <c r="B37" s="4"/>
      <c r="C37" s="3" t="s">
        <v>434</v>
      </c>
      <c r="D37" s="9"/>
      <c r="E37" s="1">
        <f t="shared" si="0"/>
        <v>0</v>
      </c>
      <c r="F37" s="1">
        <f t="shared" si="1"/>
        <v>0.13625280000000003</v>
      </c>
      <c r="G37" s="1">
        <f t="shared" si="2"/>
        <v>0.41372736000000004</v>
      </c>
      <c r="H37" s="1">
        <f t="shared" si="5"/>
        <v>0.48857760000000011</v>
      </c>
      <c r="I37" s="5"/>
      <c r="J37" s="98">
        <f t="shared" si="6"/>
        <v>898.02175626666678</v>
      </c>
      <c r="K37" s="5"/>
      <c r="L37" s="1">
        <f t="shared" si="4"/>
        <v>0</v>
      </c>
      <c r="M37" s="6"/>
      <c r="N37" s="7">
        <f>(4*0.8*(0.7+0.88)+(0.8*0.8))/3</f>
        <v>1.8986666666666672</v>
      </c>
      <c r="O37" s="7"/>
      <c r="P37" s="7">
        <v>0.06</v>
      </c>
      <c r="Q37" s="8"/>
      <c r="R37" s="7">
        <f>(4*0.8*0.12*(0.7+0.88)/2+(0.8*0.8)*0.12)</f>
        <v>0.38016000000000005</v>
      </c>
      <c r="S37" s="7"/>
      <c r="T37" s="7"/>
      <c r="U37" s="7"/>
      <c r="V37" s="7"/>
      <c r="W37" s="7">
        <f>ROUND(R37*75,2)</f>
        <v>28.51</v>
      </c>
      <c r="X37" s="8"/>
    </row>
    <row r="38" spans="1:24" ht="16.5" thickBot="1" x14ac:dyDescent="0.3">
      <c r="A38" s="4"/>
      <c r="B38" s="4"/>
      <c r="C38" s="3" t="s">
        <v>435</v>
      </c>
      <c r="D38" s="9"/>
      <c r="E38" s="1">
        <f t="shared" si="0"/>
        <v>0</v>
      </c>
      <c r="F38" s="1">
        <f t="shared" si="1"/>
        <v>0.21117996</v>
      </c>
      <c r="G38" s="1">
        <f t="shared" si="2"/>
        <v>0.62284225199999999</v>
      </c>
      <c r="H38" s="1">
        <f t="shared" si="5"/>
        <v>0.74060532000000001</v>
      </c>
      <c r="I38" s="5"/>
      <c r="J38" s="98">
        <f t="shared" si="6"/>
        <v>1422.2802483866667</v>
      </c>
      <c r="K38" s="5"/>
      <c r="L38" s="1">
        <f t="shared" si="4"/>
        <v>0</v>
      </c>
      <c r="M38" s="6"/>
      <c r="N38" s="7">
        <f>(4*1*(0.92+1.1)+(1.01*1.01))/3</f>
        <v>3.0333666666666663</v>
      </c>
      <c r="O38" s="7"/>
      <c r="P38" s="7">
        <v>0.06</v>
      </c>
      <c r="Q38" s="8"/>
      <c r="R38" s="7">
        <f>(4*1*0.12*(0.92+1.1)/2+(1.01*1.01)*0.12)</f>
        <v>0.60721199999999997</v>
      </c>
      <c r="S38" s="7"/>
      <c r="T38" s="7"/>
      <c r="U38" s="7"/>
      <c r="V38" s="7"/>
      <c r="W38" s="7">
        <f t="shared" ref="W38" si="12">ROUND(R38*75,2)</f>
        <v>45.54</v>
      </c>
      <c r="X38" s="8"/>
    </row>
    <row r="39" spans="1:24" ht="16.5" thickBot="1" x14ac:dyDescent="0.3">
      <c r="A39" s="4"/>
      <c r="B39" s="4"/>
      <c r="C39" s="3" t="s">
        <v>436</v>
      </c>
      <c r="D39" s="9"/>
      <c r="E39" s="1">
        <f t="shared" si="0"/>
        <v>0</v>
      </c>
      <c r="F39" s="1">
        <f t="shared" si="1"/>
        <v>0.38327894999999995</v>
      </c>
      <c r="G39" s="1">
        <f t="shared" si="2"/>
        <v>1.1143076149999998</v>
      </c>
      <c r="H39" s="1">
        <f t="shared" si="5"/>
        <v>1.3295746499999999</v>
      </c>
      <c r="I39" s="5"/>
      <c r="J39" s="98">
        <f t="shared" si="6"/>
        <v>2436.5898554833334</v>
      </c>
      <c r="K39" s="5"/>
      <c r="L39" s="1">
        <f t="shared" si="4"/>
        <v>0</v>
      </c>
      <c r="M39" s="6"/>
      <c r="N39" s="7">
        <f>(4*1.2*(1.2+1.48)+(1.34*1.34))/3</f>
        <v>4.8865333333333334</v>
      </c>
      <c r="O39" s="7"/>
      <c r="P39" s="7">
        <v>0.08</v>
      </c>
      <c r="Q39" s="8"/>
      <c r="R39" s="7">
        <f>(4*1.2*0.15*(1.2+1.48)/2+(1.01*1.01)*0.15)</f>
        <v>1.1178149999999998</v>
      </c>
      <c r="S39" s="7"/>
      <c r="T39" s="7"/>
      <c r="U39" s="7"/>
      <c r="V39" s="7"/>
      <c r="W39" s="7">
        <f>ROUND(R39*70,2)</f>
        <v>78.25</v>
      </c>
      <c r="X39" s="8"/>
    </row>
    <row r="40" spans="1:24" ht="16.5" thickBot="1" x14ac:dyDescent="0.3">
      <c r="A40" s="4"/>
      <c r="B40" s="4"/>
      <c r="C40" s="3" t="s">
        <v>437</v>
      </c>
      <c r="D40" s="9"/>
      <c r="E40" s="1">
        <f t="shared" si="0"/>
        <v>0</v>
      </c>
      <c r="F40" s="1">
        <f t="shared" si="1"/>
        <v>0.56408220000000009</v>
      </c>
      <c r="G40" s="1">
        <f t="shared" si="2"/>
        <v>1.6356421400000001</v>
      </c>
      <c r="H40" s="1">
        <f t="shared" si="5"/>
        <v>1.9528674000000004</v>
      </c>
      <c r="I40" s="5"/>
      <c r="J40" s="98">
        <f t="shared" si="6"/>
        <v>3531.4724240666665</v>
      </c>
      <c r="K40" s="5"/>
      <c r="L40" s="1">
        <f t="shared" si="4"/>
        <v>0</v>
      </c>
      <c r="M40" s="6"/>
      <c r="N40" s="7">
        <f>(4*1.4*(1.4+1.68)+(1.54*1.54))/3</f>
        <v>6.5398666666666658</v>
      </c>
      <c r="O40" s="7"/>
      <c r="P40" s="7">
        <v>0.11</v>
      </c>
      <c r="Q40" s="8"/>
      <c r="R40" s="7">
        <f>(4*1.4*0.15*(1.4+1.68)/2+(1.54*1.54)*0.15)</f>
        <v>1.64934</v>
      </c>
      <c r="S40" s="7"/>
      <c r="T40" s="7"/>
      <c r="U40" s="7"/>
      <c r="V40" s="7"/>
      <c r="W40" s="7">
        <f t="shared" ref="W40:W43" si="13">ROUND(R40*70,2)</f>
        <v>115.45</v>
      </c>
      <c r="X40" s="8"/>
    </row>
    <row r="41" spans="1:24" ht="16.5" thickBot="1" x14ac:dyDescent="0.3">
      <c r="A41" s="4"/>
      <c r="B41" s="4"/>
      <c r="C41" s="3" t="s">
        <v>438</v>
      </c>
      <c r="D41" s="9"/>
      <c r="E41" s="1">
        <f t="shared" si="0"/>
        <v>0</v>
      </c>
      <c r="F41" s="1">
        <f t="shared" si="1"/>
        <v>0.77929919999999997</v>
      </c>
      <c r="G41" s="1">
        <f t="shared" si="2"/>
        <v>2.26417504</v>
      </c>
      <c r="H41" s="1">
        <f t="shared" si="5"/>
        <v>2.7020064000000001</v>
      </c>
      <c r="I41" s="5"/>
      <c r="J41" s="98">
        <f t="shared" si="6"/>
        <v>4868.9760864</v>
      </c>
      <c r="K41" s="5"/>
      <c r="L41" s="1">
        <f t="shared" si="4"/>
        <v>0</v>
      </c>
      <c r="M41" s="6"/>
      <c r="N41" s="7">
        <f>(4*1.6*(1.7+1.98)+(1.84*1.84))/3</f>
        <v>8.9792000000000005</v>
      </c>
      <c r="O41" s="7"/>
      <c r="P41" s="7">
        <v>0.16</v>
      </c>
      <c r="Q41" s="8"/>
      <c r="R41" s="7">
        <f>(4*1.6*0.15*(1.7+1.98)/2+(1.84*1.84)*0.15)</f>
        <v>2.2742399999999998</v>
      </c>
      <c r="S41" s="7"/>
      <c r="T41" s="7"/>
      <c r="U41" s="7"/>
      <c r="V41" s="7"/>
      <c r="W41" s="7">
        <f t="shared" si="13"/>
        <v>159.19999999999999</v>
      </c>
      <c r="X41" s="8"/>
    </row>
    <row r="42" spans="1:24" ht="16.5" thickBot="1" x14ac:dyDescent="0.3">
      <c r="A42" s="4"/>
      <c r="B42" s="4"/>
      <c r="C42" s="3" t="s">
        <v>439</v>
      </c>
      <c r="D42" s="9"/>
      <c r="E42" s="1">
        <f t="shared" si="0"/>
        <v>0</v>
      </c>
      <c r="F42" s="1">
        <f t="shared" si="1"/>
        <v>1.2096229499999998</v>
      </c>
      <c r="G42" s="1">
        <f t="shared" si="2"/>
        <v>3.5097804149999998</v>
      </c>
      <c r="H42" s="1">
        <f t="shared" si="5"/>
        <v>4.18982265</v>
      </c>
      <c r="I42" s="5"/>
      <c r="J42" s="98">
        <f t="shared" si="6"/>
        <v>7247.9917271499999</v>
      </c>
      <c r="K42" s="5"/>
      <c r="L42" s="1">
        <f t="shared" si="4"/>
        <v>0</v>
      </c>
      <c r="M42" s="6"/>
      <c r="N42" s="7">
        <f>(4*2*(2.1+2.48)+(2.29*2.29))/4</f>
        <v>10.471025000000001</v>
      </c>
      <c r="O42" s="7"/>
      <c r="P42" s="7">
        <v>0.24</v>
      </c>
      <c r="Q42" s="8"/>
      <c r="R42" s="7">
        <f>(4*2*0.15*(2.1+2.48)/2+(2.29*2.29)*0.15)</f>
        <v>3.5346149999999996</v>
      </c>
      <c r="S42" s="7"/>
      <c r="T42" s="7"/>
      <c r="U42" s="7"/>
      <c r="V42" s="7"/>
      <c r="W42" s="7">
        <f t="shared" si="13"/>
        <v>247.42</v>
      </c>
      <c r="X42" s="8"/>
    </row>
    <row r="43" spans="1:24" ht="16.5" thickBot="1" x14ac:dyDescent="0.3">
      <c r="A43" s="4"/>
      <c r="B43" s="4"/>
      <c r="C43" s="3" t="s">
        <v>440</v>
      </c>
      <c r="D43" s="9"/>
      <c r="E43" s="1">
        <f t="shared" si="0"/>
        <v>0</v>
      </c>
      <c r="F43" s="1">
        <f t="shared" si="1"/>
        <v>1.9087789500000001</v>
      </c>
      <c r="G43" s="1">
        <f t="shared" si="2"/>
        <v>5.5279776150000002</v>
      </c>
      <c r="H43" s="1">
        <f t="shared" si="5"/>
        <v>6.6020746500000005</v>
      </c>
      <c r="I43" s="5"/>
      <c r="J43" s="98">
        <f t="shared" si="6"/>
        <v>11450.372339149999</v>
      </c>
      <c r="K43" s="5"/>
      <c r="L43" s="1">
        <f t="shared" si="4"/>
        <v>0</v>
      </c>
      <c r="M43" s="6"/>
      <c r="N43" s="7">
        <f>(4*2.5*(2.7+3.08)+(2.89*2.89))/4</f>
        <v>16.538025000000001</v>
      </c>
      <c r="O43" s="7"/>
      <c r="P43" s="7">
        <v>0.36</v>
      </c>
      <c r="Q43" s="8"/>
      <c r="R43" s="7">
        <f>(4*2.5*0.15*(2.7+3.08)/2+(2.89*2.89)*0.15)</f>
        <v>5.587815</v>
      </c>
      <c r="S43" s="7"/>
      <c r="T43" s="7"/>
      <c r="U43" s="7"/>
      <c r="V43" s="7"/>
      <c r="W43" s="7">
        <f t="shared" si="13"/>
        <v>391.15</v>
      </c>
      <c r="X43" s="8"/>
    </row>
    <row r="44" spans="1:24" ht="16.5" thickBot="1" x14ac:dyDescent="0.3">
      <c r="A44" s="4"/>
      <c r="B44" s="4"/>
      <c r="C44" s="3" t="s">
        <v>142</v>
      </c>
      <c r="D44" s="9"/>
      <c r="E44" s="1">
        <f t="shared" si="0"/>
        <v>0.54144000000000003</v>
      </c>
      <c r="F44" s="1">
        <f t="shared" si="1"/>
        <v>0.35276220000000008</v>
      </c>
      <c r="G44" s="1">
        <f t="shared" si="2"/>
        <v>1.1888125000000003</v>
      </c>
      <c r="H44" s="1">
        <f t="shared" si="5"/>
        <v>1.1100000000000001</v>
      </c>
      <c r="I44" s="5">
        <v>1</v>
      </c>
      <c r="J44" s="98">
        <f t="shared" si="6"/>
        <v>2080.0031349999999</v>
      </c>
      <c r="K44" s="5">
        <v>1</v>
      </c>
      <c r="L44" s="1">
        <f t="shared" si="4"/>
        <v>1.8048000000000002E-2</v>
      </c>
      <c r="M44" s="6"/>
      <c r="N44" s="7">
        <f>ROUND((4.9+2*0.5)/5,2)</f>
        <v>1.18</v>
      </c>
      <c r="O44" s="7">
        <f>ROUND((1.285*0.5),2)</f>
        <v>0.64</v>
      </c>
      <c r="P44" s="7">
        <v>0.1</v>
      </c>
      <c r="Q44" s="8"/>
      <c r="R44" s="7">
        <f>ROUND((0.8 +0.205 *0.5),2)</f>
        <v>0.9</v>
      </c>
      <c r="S44" s="7"/>
      <c r="T44" s="7">
        <f>ROUND((0.12 *0.5),2)</f>
        <v>0.06</v>
      </c>
      <c r="U44" s="7"/>
      <c r="V44" s="7"/>
      <c r="W44" s="7">
        <f>ROUND((21.07 +8.54 *0.5),2)</f>
        <v>25.34</v>
      </c>
      <c r="X44" s="8"/>
    </row>
    <row r="45" spans="1:24" ht="16.5" thickBot="1" x14ac:dyDescent="0.3">
      <c r="A45" s="4"/>
      <c r="B45" s="4"/>
      <c r="C45" s="3" t="s">
        <v>143</v>
      </c>
      <c r="D45" s="9"/>
      <c r="E45" s="1">
        <f t="shared" si="0"/>
        <v>0.76139999999999997</v>
      </c>
      <c r="F45" s="1">
        <f t="shared" si="1"/>
        <v>0.38489359999999995</v>
      </c>
      <c r="G45" s="1">
        <f t="shared" si="2"/>
        <v>1.3499699999999999</v>
      </c>
      <c r="H45" s="1">
        <f t="shared" si="5"/>
        <v>1.1766000000000001</v>
      </c>
      <c r="I45" s="5">
        <v>1</v>
      </c>
      <c r="J45" s="98">
        <f t="shared" si="6"/>
        <v>2257.2565800000002</v>
      </c>
      <c r="K45" s="5">
        <v>1</v>
      </c>
      <c r="L45" s="1">
        <f t="shared" si="4"/>
        <v>2.538E-2</v>
      </c>
      <c r="M45" s="6"/>
      <c r="N45" s="7">
        <f>ROUND((4.9+2*0.7)/5,2)</f>
        <v>1.26</v>
      </c>
      <c r="O45" s="7">
        <f>ROUND((1.285*0.7),2)</f>
        <v>0.9</v>
      </c>
      <c r="P45" s="7">
        <v>0.12</v>
      </c>
      <c r="Q45" s="8"/>
      <c r="R45" s="7">
        <f>ROUND((0.8 +0.205 *0.7),2)</f>
        <v>0.94</v>
      </c>
      <c r="S45" s="7"/>
      <c r="T45" s="7">
        <f>ROUND((0.12 *0.7),2)</f>
        <v>0.08</v>
      </c>
      <c r="U45" s="7"/>
      <c r="V45" s="7"/>
      <c r="W45" s="7">
        <f>ROUND((21.07 +8.54 *0.7),2)</f>
        <v>27.05</v>
      </c>
      <c r="X45" s="8"/>
    </row>
    <row r="46" spans="1:24" ht="16.5" thickBot="1" x14ac:dyDescent="0.3">
      <c r="A46" s="4"/>
      <c r="B46" s="4"/>
      <c r="C46" s="3" t="s">
        <v>144</v>
      </c>
      <c r="D46" s="9"/>
      <c r="E46" s="1">
        <f t="shared" si="0"/>
        <v>1.09134</v>
      </c>
      <c r="F46" s="1">
        <f t="shared" si="1"/>
        <v>0.43281240000000004</v>
      </c>
      <c r="G46" s="1">
        <f t="shared" si="2"/>
        <v>1.5797950000000001</v>
      </c>
      <c r="H46" s="1">
        <f t="shared" si="5"/>
        <v>1.2654000000000003</v>
      </c>
      <c r="I46" s="5">
        <v>1</v>
      </c>
      <c r="J46" s="98">
        <f t="shared" si="6"/>
        <v>2520.3011699999997</v>
      </c>
      <c r="K46" s="5">
        <v>1</v>
      </c>
      <c r="L46" s="1">
        <f t="shared" si="4"/>
        <v>3.6378000000000001E-2</v>
      </c>
      <c r="M46" s="6"/>
      <c r="N46" s="7">
        <f>ROUND((4.9+2*1)/5,2)</f>
        <v>1.38</v>
      </c>
      <c r="O46" s="7">
        <f>ROUND((1.285*1),2)</f>
        <v>1.29</v>
      </c>
      <c r="P46" s="7">
        <v>0.13</v>
      </c>
      <c r="Q46" s="8">
        <f>(Q45+Q47)/2</f>
        <v>0</v>
      </c>
      <c r="R46" s="7">
        <f>ROUND((0.8 +0.205 *1),2)</f>
        <v>1.01</v>
      </c>
      <c r="S46" s="7"/>
      <c r="T46" s="7">
        <f>ROUND((0.12 *1),2)</f>
        <v>0.12</v>
      </c>
      <c r="U46" s="7"/>
      <c r="V46" s="7"/>
      <c r="W46" s="7">
        <f>ROUND((21.07 +8.54 *1),2)</f>
        <v>29.61</v>
      </c>
      <c r="X46" s="8"/>
    </row>
    <row r="47" spans="1:24" ht="16.5" thickBot="1" x14ac:dyDescent="0.3">
      <c r="A47" s="4"/>
      <c r="B47" s="4"/>
      <c r="C47" s="3" t="s">
        <v>145</v>
      </c>
      <c r="D47" s="9"/>
      <c r="E47" s="1">
        <f t="shared" si="0"/>
        <v>1.30284</v>
      </c>
      <c r="F47" s="1">
        <f t="shared" si="1"/>
        <v>0.46255580000000002</v>
      </c>
      <c r="G47" s="1">
        <f t="shared" si="2"/>
        <v>1.7263925000000002</v>
      </c>
      <c r="H47" s="1">
        <f t="shared" si="5"/>
        <v>1.3209000000000002</v>
      </c>
      <c r="I47" s="5">
        <v>1</v>
      </c>
      <c r="J47" s="98">
        <f t="shared" si="6"/>
        <v>2689.7708149999999</v>
      </c>
      <c r="K47" s="5">
        <v>1</v>
      </c>
      <c r="L47" s="1">
        <f t="shared" si="4"/>
        <v>4.3428000000000001E-2</v>
      </c>
      <c r="M47" s="6"/>
      <c r="N47" s="7">
        <f>ROUND((4.9+2*1.2)/5,2)</f>
        <v>1.46</v>
      </c>
      <c r="O47" s="7">
        <f>ROUND((1.285*1.2),2)</f>
        <v>1.54</v>
      </c>
      <c r="P47" s="7">
        <v>0.14000000000000001</v>
      </c>
      <c r="Q47" s="8"/>
      <c r="R47" s="7">
        <f>ROUND((0.8 +0.205 *1.2),2)</f>
        <v>1.05</v>
      </c>
      <c r="S47" s="7"/>
      <c r="T47" s="7">
        <f>ROUND((0.12 *1.2),2)</f>
        <v>0.14000000000000001</v>
      </c>
      <c r="U47" s="7"/>
      <c r="V47" s="7"/>
      <c r="W47" s="7">
        <f>ROUND((21.07 +8.54 *1.2),2)</f>
        <v>31.32</v>
      </c>
      <c r="X47" s="8"/>
    </row>
    <row r="48" spans="1:24" ht="16.5" thickBot="1" x14ac:dyDescent="0.3">
      <c r="A48" s="4"/>
      <c r="B48" s="4"/>
      <c r="C48" s="3" t="s">
        <v>146</v>
      </c>
      <c r="D48" s="9"/>
      <c r="E48" s="1">
        <f t="shared" si="0"/>
        <v>1.6327799999999999</v>
      </c>
      <c r="F48" s="1">
        <f t="shared" si="1"/>
        <v>0.50537460000000012</v>
      </c>
      <c r="G48" s="1">
        <f t="shared" si="2"/>
        <v>1.9364075000000001</v>
      </c>
      <c r="H48" s="1">
        <f t="shared" si="5"/>
        <v>1.3875000000000002</v>
      </c>
      <c r="I48" s="5">
        <v>1</v>
      </c>
      <c r="J48" s="98">
        <f t="shared" si="6"/>
        <v>2945.3635049999993</v>
      </c>
      <c r="K48" s="5">
        <v>1</v>
      </c>
      <c r="L48" s="1">
        <f t="shared" si="4"/>
        <v>5.4425999999999995E-2</v>
      </c>
      <c r="M48" s="6"/>
      <c r="N48" s="7">
        <f>ROUND((4.9+2*1.5)/5,2)</f>
        <v>1.58</v>
      </c>
      <c r="O48" s="7">
        <f>ROUND((1.285*1.5),2)</f>
        <v>1.93</v>
      </c>
      <c r="P48" s="7">
        <v>0.14000000000000001</v>
      </c>
      <c r="Q48" s="8"/>
      <c r="R48" s="7">
        <f>ROUND((0.8 +0.205 *1.5),2)</f>
        <v>1.1100000000000001</v>
      </c>
      <c r="S48" s="7"/>
      <c r="T48" s="7">
        <f>ROUND((0.12 *1.5),2)</f>
        <v>0.18</v>
      </c>
      <c r="U48" s="7"/>
      <c r="V48" s="7"/>
      <c r="W48" s="7">
        <f>ROUND((21.07 +8.54 *1.5),2)</f>
        <v>33.880000000000003</v>
      </c>
      <c r="X48" s="8"/>
    </row>
    <row r="49" spans="1:24" ht="16.5" thickBot="1" x14ac:dyDescent="0.3">
      <c r="A49" s="4"/>
      <c r="B49" s="4"/>
      <c r="C49" s="3" t="s">
        <v>147</v>
      </c>
      <c r="D49" s="9"/>
      <c r="E49" s="1">
        <f t="shared" si="0"/>
        <v>0</v>
      </c>
      <c r="F49" s="1">
        <f t="shared" si="1"/>
        <v>0.38250000000000006</v>
      </c>
      <c r="G49" s="1">
        <f t="shared" si="2"/>
        <v>1.1483800000000002</v>
      </c>
      <c r="H49" s="1">
        <f t="shared" si="5"/>
        <v>1.35975</v>
      </c>
      <c r="I49" s="5">
        <v>1</v>
      </c>
      <c r="J49" s="98">
        <f t="shared" si="6"/>
        <v>1388.1369</v>
      </c>
      <c r="K49" s="5">
        <v>1</v>
      </c>
      <c r="L49" s="1">
        <f t="shared" si="4"/>
        <v>0</v>
      </c>
      <c r="M49" s="6"/>
      <c r="N49" s="7">
        <f>N54/2</f>
        <v>1.075</v>
      </c>
      <c r="O49" s="7"/>
      <c r="P49" s="7">
        <f>P54</f>
        <v>0.14499999999999999</v>
      </c>
      <c r="Q49" s="8"/>
      <c r="R49" s="7">
        <f>R54</f>
        <v>1.08</v>
      </c>
      <c r="S49" s="7"/>
      <c r="T49" s="7"/>
      <c r="U49" s="7"/>
      <c r="V49" s="7"/>
      <c r="W49" s="7"/>
      <c r="X49" s="8"/>
    </row>
    <row r="50" spans="1:24" ht="16.5" thickBot="1" x14ac:dyDescent="0.3">
      <c r="A50" s="4"/>
      <c r="B50" s="4"/>
      <c r="C50" s="3" t="s">
        <v>148</v>
      </c>
      <c r="D50" s="9"/>
      <c r="E50" s="1">
        <f t="shared" si="0"/>
        <v>0</v>
      </c>
      <c r="F50" s="1">
        <f t="shared" si="1"/>
        <v>0.43200000000000005</v>
      </c>
      <c r="G50" s="1">
        <f t="shared" si="2"/>
        <v>1.28653</v>
      </c>
      <c r="H50" s="1">
        <f t="shared" si="5"/>
        <v>1.5262500000000001</v>
      </c>
      <c r="I50" s="5">
        <v>1</v>
      </c>
      <c r="J50" s="98">
        <f t="shared" si="6"/>
        <v>1471.5483999999999</v>
      </c>
      <c r="K50" s="5">
        <v>1</v>
      </c>
      <c r="L50" s="1">
        <f t="shared" si="4"/>
        <v>0</v>
      </c>
      <c r="M50" s="6"/>
      <c r="N50" s="7">
        <f>N55/2</f>
        <v>1.325</v>
      </c>
      <c r="O50" s="7"/>
      <c r="P50" s="7">
        <f>P55</f>
        <v>0.14499999999999999</v>
      </c>
      <c r="Q50" s="8"/>
      <c r="R50" s="7">
        <f>R55</f>
        <v>1.23</v>
      </c>
      <c r="S50" s="7"/>
      <c r="T50" s="7"/>
      <c r="U50" s="7"/>
      <c r="V50" s="7"/>
      <c r="W50" s="7"/>
      <c r="X50" s="8"/>
    </row>
    <row r="51" spans="1:24" ht="16.5" thickBot="1" x14ac:dyDescent="0.3">
      <c r="A51" s="4"/>
      <c r="B51" s="4"/>
      <c r="C51" s="3" t="s">
        <v>149</v>
      </c>
      <c r="D51" s="9"/>
      <c r="E51" s="1">
        <f t="shared" si="0"/>
        <v>0</v>
      </c>
      <c r="F51" s="1">
        <f t="shared" si="1"/>
        <v>0.50459999999999994</v>
      </c>
      <c r="G51" s="1">
        <f t="shared" si="2"/>
        <v>1.48915</v>
      </c>
      <c r="H51" s="1">
        <f t="shared" si="5"/>
        <v>1.7704500000000001</v>
      </c>
      <c r="I51" s="5">
        <v>1</v>
      </c>
      <c r="J51" s="98">
        <f t="shared" si="6"/>
        <v>1594.6416000000002</v>
      </c>
      <c r="K51" s="5">
        <v>1</v>
      </c>
      <c r="L51" s="1">
        <f t="shared" si="4"/>
        <v>0</v>
      </c>
      <c r="M51" s="6"/>
      <c r="N51" s="7">
        <f>N56/2</f>
        <v>1.7</v>
      </c>
      <c r="O51" s="7">
        <f>(O50+O52)/2</f>
        <v>0</v>
      </c>
      <c r="P51" s="7">
        <f>P56</f>
        <v>0.14499999999999999</v>
      </c>
      <c r="Q51" s="8">
        <f>(Q50+Q52)/2</f>
        <v>0</v>
      </c>
      <c r="R51" s="7">
        <f>R56</f>
        <v>1.45</v>
      </c>
      <c r="S51" s="7"/>
      <c r="T51" s="7">
        <f>(T50+T52)/2</f>
        <v>0</v>
      </c>
      <c r="U51" s="7"/>
      <c r="V51" s="7"/>
      <c r="W51" s="7"/>
      <c r="X51" s="8"/>
    </row>
    <row r="52" spans="1:24" ht="16.5" thickBot="1" x14ac:dyDescent="0.3">
      <c r="A52" s="4"/>
      <c r="B52" s="4"/>
      <c r="C52" s="3" t="s">
        <v>150</v>
      </c>
      <c r="D52" s="9"/>
      <c r="E52" s="1">
        <f t="shared" si="0"/>
        <v>0</v>
      </c>
      <c r="F52" s="1">
        <f t="shared" si="1"/>
        <v>0.6411</v>
      </c>
      <c r="G52" s="1">
        <f t="shared" si="2"/>
        <v>1.8840500000000002</v>
      </c>
      <c r="H52" s="1">
        <f t="shared" si="5"/>
        <v>2.2422</v>
      </c>
      <c r="I52" s="5">
        <v>1</v>
      </c>
      <c r="J52" s="98">
        <f t="shared" si="6"/>
        <v>1783.2270999999998</v>
      </c>
      <c r="K52" s="5">
        <v>1</v>
      </c>
      <c r="L52" s="1">
        <f t="shared" si="4"/>
        <v>0</v>
      </c>
      <c r="M52" s="6"/>
      <c r="N52" s="7">
        <f>N57/2</f>
        <v>1.9</v>
      </c>
      <c r="O52" s="7"/>
      <c r="P52" s="7">
        <f>P57</f>
        <v>0.17</v>
      </c>
      <c r="Q52" s="8"/>
      <c r="R52" s="7">
        <f>R57</f>
        <v>1.85</v>
      </c>
      <c r="S52" s="7"/>
      <c r="T52" s="7"/>
      <c r="U52" s="7"/>
      <c r="V52" s="7"/>
      <c r="W52" s="7"/>
      <c r="X52" s="8"/>
    </row>
    <row r="53" spans="1:24" ht="16.5" thickBot="1" x14ac:dyDescent="0.3">
      <c r="A53" s="4"/>
      <c r="B53" s="4"/>
      <c r="C53" s="3" t="s">
        <v>151</v>
      </c>
      <c r="D53" s="9"/>
      <c r="E53" s="1">
        <f t="shared" si="0"/>
        <v>0</v>
      </c>
      <c r="F53" s="1">
        <f t="shared" si="1"/>
        <v>0.80657999999999996</v>
      </c>
      <c r="G53" s="1">
        <f t="shared" si="2"/>
        <v>2.3575999999999997</v>
      </c>
      <c r="H53" s="1">
        <f t="shared" si="5"/>
        <v>2.8094099999999997</v>
      </c>
      <c r="I53" s="5">
        <v>1</v>
      </c>
      <c r="J53" s="98">
        <f t="shared" si="6"/>
        <v>2005.9763799999998</v>
      </c>
      <c r="K53" s="5">
        <v>1</v>
      </c>
      <c r="L53" s="1">
        <f t="shared" si="4"/>
        <v>0</v>
      </c>
      <c r="M53" s="6"/>
      <c r="N53" s="7">
        <f>N58/2</f>
        <v>2.09</v>
      </c>
      <c r="O53" s="7"/>
      <c r="P53" s="7">
        <f>P58</f>
        <v>0.191</v>
      </c>
      <c r="Q53" s="8"/>
      <c r="R53" s="7">
        <f>R58</f>
        <v>2.34</v>
      </c>
      <c r="S53" s="7"/>
      <c r="T53" s="7"/>
      <c r="U53" s="7"/>
      <c r="V53" s="7"/>
      <c r="W53" s="7"/>
      <c r="X53" s="8"/>
    </row>
    <row r="54" spans="1:24" ht="16.5" thickBot="1" x14ac:dyDescent="0.3">
      <c r="A54" s="4"/>
      <c r="B54" s="4"/>
      <c r="C54" s="3" t="s">
        <v>152</v>
      </c>
      <c r="D54" s="9"/>
      <c r="E54" s="1">
        <f t="shared" si="0"/>
        <v>0</v>
      </c>
      <c r="F54" s="1">
        <f t="shared" si="1"/>
        <v>0.38250000000000006</v>
      </c>
      <c r="G54" s="1">
        <f t="shared" si="2"/>
        <v>1.1483800000000002</v>
      </c>
      <c r="H54" s="1">
        <f t="shared" si="5"/>
        <v>1.35975</v>
      </c>
      <c r="I54" s="5">
        <v>1</v>
      </c>
      <c r="J54" s="98">
        <f t="shared" si="6"/>
        <v>3101.3288199999997</v>
      </c>
      <c r="K54" s="5">
        <v>1</v>
      </c>
      <c r="L54" s="1">
        <f t="shared" si="4"/>
        <v>0</v>
      </c>
      <c r="M54" s="6"/>
      <c r="N54" s="7">
        <f>ROUND((3.59+10*0.5)/4,2)</f>
        <v>2.15</v>
      </c>
      <c r="O54" s="7"/>
      <c r="P54" s="7">
        <v>0.14499999999999999</v>
      </c>
      <c r="Q54" s="8"/>
      <c r="R54" s="7">
        <f>ROUND((0.704 +0.75 *0.5),2)</f>
        <v>1.08</v>
      </c>
      <c r="S54" s="7"/>
      <c r="T54" s="7"/>
      <c r="U54" s="7"/>
      <c r="V54" s="7"/>
      <c r="W54" s="7">
        <f t="shared" ref="W54:W60" si="14">R54*77.35</f>
        <v>83.537999999999997</v>
      </c>
      <c r="X54" s="8"/>
    </row>
    <row r="55" spans="1:24" ht="16.5" thickBot="1" x14ac:dyDescent="0.3">
      <c r="A55" s="4"/>
      <c r="B55" s="4"/>
      <c r="C55" s="3" t="s">
        <v>153</v>
      </c>
      <c r="D55" s="9"/>
      <c r="E55" s="1">
        <f t="shared" si="0"/>
        <v>0</v>
      </c>
      <c r="F55" s="1">
        <f t="shared" si="1"/>
        <v>0.43200000000000005</v>
      </c>
      <c r="G55" s="1">
        <f t="shared" si="2"/>
        <v>1.28653</v>
      </c>
      <c r="H55" s="1">
        <f t="shared" si="5"/>
        <v>1.5262500000000001</v>
      </c>
      <c r="I55" s="5">
        <v>1</v>
      </c>
      <c r="J55" s="98">
        <f t="shared" si="6"/>
        <v>3431.8226699999996</v>
      </c>
      <c r="K55" s="5">
        <v>1</v>
      </c>
      <c r="L55" s="1">
        <f t="shared" si="4"/>
        <v>0</v>
      </c>
      <c r="M55" s="6"/>
      <c r="N55" s="7">
        <f>ROUND((3.59+10*0.7)/4,2)</f>
        <v>2.65</v>
      </c>
      <c r="O55" s="7"/>
      <c r="P55" s="7">
        <v>0.14499999999999999</v>
      </c>
      <c r="Q55" s="8"/>
      <c r="R55" s="7">
        <f>ROUND((0.704 +0.75 *0.7),2)</f>
        <v>1.23</v>
      </c>
      <c r="S55" s="7"/>
      <c r="T55" s="7"/>
      <c r="U55" s="7"/>
      <c r="V55" s="7"/>
      <c r="W55" s="7">
        <f t="shared" si="14"/>
        <v>95.140499999999989</v>
      </c>
      <c r="X55" s="8"/>
    </row>
    <row r="56" spans="1:24" ht="16.5" thickBot="1" x14ac:dyDescent="0.3">
      <c r="A56" s="4"/>
      <c r="B56" s="4"/>
      <c r="C56" s="3" t="s">
        <v>154</v>
      </c>
      <c r="D56" s="9"/>
      <c r="E56" s="1">
        <f t="shared" si="0"/>
        <v>0</v>
      </c>
      <c r="F56" s="1">
        <f t="shared" si="1"/>
        <v>0.50459999999999994</v>
      </c>
      <c r="G56" s="1">
        <f t="shared" si="2"/>
        <v>1.48915</v>
      </c>
      <c r="H56" s="1">
        <f t="shared" si="5"/>
        <v>1.7704500000000001</v>
      </c>
      <c r="I56" s="5">
        <v>1</v>
      </c>
      <c r="J56" s="98">
        <f t="shared" si="6"/>
        <v>3918.0596499999992</v>
      </c>
      <c r="K56" s="5">
        <v>1</v>
      </c>
      <c r="L56" s="1">
        <f t="shared" si="4"/>
        <v>0</v>
      </c>
      <c r="M56" s="6"/>
      <c r="N56" s="7">
        <f>ROUND((3.59+10*1)/4,2)</f>
        <v>3.4</v>
      </c>
      <c r="O56" s="7">
        <f>(O55+O57)/2</f>
        <v>0</v>
      </c>
      <c r="P56" s="7">
        <v>0.14499999999999999</v>
      </c>
      <c r="Q56" s="8">
        <f>(Q55+Q57)/2</f>
        <v>0</v>
      </c>
      <c r="R56" s="7">
        <f>ROUND((0.704 +0.75 *1),2)</f>
        <v>1.45</v>
      </c>
      <c r="S56" s="7"/>
      <c r="T56" s="7"/>
      <c r="U56" s="7"/>
      <c r="V56" s="7"/>
      <c r="W56" s="7">
        <f t="shared" si="14"/>
        <v>112.15749999999998</v>
      </c>
      <c r="X56" s="8"/>
    </row>
    <row r="57" spans="1:24" ht="16.5" thickBot="1" x14ac:dyDescent="0.3">
      <c r="A57" s="4"/>
      <c r="B57" s="4"/>
      <c r="C57" s="3" t="s">
        <v>155</v>
      </c>
      <c r="D57" s="9"/>
      <c r="E57" s="1">
        <f t="shared" si="0"/>
        <v>0</v>
      </c>
      <c r="F57" s="1">
        <f t="shared" si="1"/>
        <v>0.6411</v>
      </c>
      <c r="G57" s="1">
        <f t="shared" si="2"/>
        <v>1.8840500000000002</v>
      </c>
      <c r="H57" s="1">
        <f t="shared" si="5"/>
        <v>2.2422</v>
      </c>
      <c r="I57" s="5">
        <v>1</v>
      </c>
      <c r="J57" s="98">
        <f t="shared" si="6"/>
        <v>4723.1767499999996</v>
      </c>
      <c r="K57" s="5">
        <v>1</v>
      </c>
      <c r="L57" s="1">
        <f t="shared" si="4"/>
        <v>0</v>
      </c>
      <c r="M57" s="6"/>
      <c r="N57" s="7">
        <f>ROUND((4+11.2*1)/4,2)</f>
        <v>3.8</v>
      </c>
      <c r="O57" s="7"/>
      <c r="P57" s="7">
        <v>0.17</v>
      </c>
      <c r="Q57" s="8"/>
      <c r="R57" s="7">
        <f>ROUND((0.843 +0.84*1.2),2)</f>
        <v>1.85</v>
      </c>
      <c r="S57" s="7"/>
      <c r="T57" s="7"/>
      <c r="U57" s="7"/>
      <c r="V57" s="7"/>
      <c r="W57" s="7">
        <f t="shared" si="14"/>
        <v>143.0975</v>
      </c>
      <c r="X57" s="8"/>
    </row>
    <row r="58" spans="1:24" ht="16.5" thickBot="1" x14ac:dyDescent="0.3">
      <c r="A58" s="4"/>
      <c r="B58" s="4"/>
      <c r="C58" s="3" t="s">
        <v>156</v>
      </c>
      <c r="D58" s="9"/>
      <c r="E58" s="1">
        <f t="shared" si="0"/>
        <v>0</v>
      </c>
      <c r="F58" s="1">
        <f t="shared" si="1"/>
        <v>0.80657999999999996</v>
      </c>
      <c r="G58" s="1">
        <f t="shared" si="2"/>
        <v>2.3575999999999997</v>
      </c>
      <c r="H58" s="1">
        <f t="shared" si="5"/>
        <v>2.8094099999999997</v>
      </c>
      <c r="I58" s="5">
        <v>1</v>
      </c>
      <c r="J58" s="98">
        <f t="shared" si="6"/>
        <v>5696.1854399999984</v>
      </c>
      <c r="K58" s="5">
        <v>1</v>
      </c>
      <c r="L58" s="1">
        <f t="shared" si="4"/>
        <v>0</v>
      </c>
      <c r="M58" s="6"/>
      <c r="N58" s="7">
        <f>ROUND((4.53+12.2*1)/4,2)</f>
        <v>4.18</v>
      </c>
      <c r="O58" s="7"/>
      <c r="P58" s="7">
        <v>0.191</v>
      </c>
      <c r="Q58" s="8"/>
      <c r="R58" s="7">
        <f>ROUND((0.968 +0.915 *1.5),2)</f>
        <v>2.34</v>
      </c>
      <c r="S58" s="7"/>
      <c r="T58" s="7"/>
      <c r="U58" s="7"/>
      <c r="V58" s="7"/>
      <c r="W58" s="7">
        <f t="shared" si="14"/>
        <v>180.99899999999997</v>
      </c>
      <c r="X58" s="8"/>
    </row>
    <row r="59" spans="1:24" ht="16.5" thickBot="1" x14ac:dyDescent="0.3">
      <c r="A59" s="4"/>
      <c r="B59" s="4"/>
      <c r="C59" s="3" t="s">
        <v>157</v>
      </c>
      <c r="D59" s="9"/>
      <c r="E59" s="1">
        <f t="shared" si="0"/>
        <v>0</v>
      </c>
      <c r="F59" s="1">
        <f t="shared" si="1"/>
        <v>0.89753699999999992</v>
      </c>
      <c r="G59" s="1">
        <f t="shared" si="2"/>
        <v>2.6274289999999998</v>
      </c>
      <c r="H59" s="1">
        <f t="shared" si="5"/>
        <v>3.1298114999999997</v>
      </c>
      <c r="I59" s="5">
        <v>1</v>
      </c>
      <c r="J59" s="98">
        <f t="shared" si="6"/>
        <v>6242.2876447777762</v>
      </c>
      <c r="K59" s="5">
        <v>1</v>
      </c>
      <c r="L59" s="1">
        <f t="shared" si="4"/>
        <v>0</v>
      </c>
      <c r="M59" s="6"/>
      <c r="N59" s="7">
        <f>N58/1.8*2</f>
        <v>4.6444444444444439</v>
      </c>
      <c r="O59" s="7"/>
      <c r="P59" s="7">
        <f>P58*1.15</f>
        <v>0.21964999999999998</v>
      </c>
      <c r="Q59" s="8"/>
      <c r="R59" s="7">
        <f>R58/1.8*2</f>
        <v>2.5999999999999996</v>
      </c>
      <c r="S59" s="7"/>
      <c r="T59" s="7"/>
      <c r="U59" s="7"/>
      <c r="V59" s="7"/>
      <c r="W59" s="7">
        <f t="shared" si="14"/>
        <v>201.10999999999996</v>
      </c>
      <c r="X59" s="8"/>
    </row>
    <row r="60" spans="1:24" ht="16.5" thickBot="1" x14ac:dyDescent="0.3">
      <c r="A60" s="4"/>
      <c r="B60" s="4"/>
      <c r="C60" s="3" t="s">
        <v>158</v>
      </c>
      <c r="D60" s="9"/>
      <c r="E60" s="1">
        <f t="shared" si="0"/>
        <v>0</v>
      </c>
      <c r="F60" s="1">
        <f t="shared" si="1"/>
        <v>1.1179675499999999</v>
      </c>
      <c r="G60" s="1">
        <f t="shared" si="2"/>
        <v>3.2610033499999997</v>
      </c>
      <c r="H60" s="1">
        <f t="shared" si="5"/>
        <v>3.8878832249999999</v>
      </c>
      <c r="I60" s="5">
        <v>1</v>
      </c>
      <c r="J60" s="98">
        <f t="shared" si="6"/>
        <v>7594.3781092722211</v>
      </c>
      <c r="K60" s="5">
        <v>1</v>
      </c>
      <c r="L60" s="1">
        <f t="shared" si="4"/>
        <v>0</v>
      </c>
      <c r="M60" s="6"/>
      <c r="N60" s="7">
        <f>N59/2*2.5</f>
        <v>5.8055555555555554</v>
      </c>
      <c r="O60" s="7"/>
      <c r="P60" s="7">
        <f>P59*1.15</f>
        <v>0.25259749999999997</v>
      </c>
      <c r="Q60" s="8"/>
      <c r="R60" s="7">
        <f>R59/2*2.5</f>
        <v>3.2499999999999996</v>
      </c>
      <c r="S60" s="7"/>
      <c r="T60" s="7"/>
      <c r="U60" s="7"/>
      <c r="V60" s="7"/>
      <c r="W60" s="7">
        <f t="shared" si="14"/>
        <v>251.38749999999996</v>
      </c>
      <c r="X60" s="8"/>
    </row>
    <row r="61" spans="1:24" ht="16.5" thickBot="1" x14ac:dyDescent="0.3">
      <c r="A61" s="4"/>
      <c r="B61" s="4"/>
      <c r="C61" s="3" t="s">
        <v>441</v>
      </c>
      <c r="D61" s="9"/>
      <c r="E61" s="1">
        <f t="shared" si="0"/>
        <v>0</v>
      </c>
      <c r="F61" s="1">
        <f t="shared" si="1"/>
        <v>0.11253000000000002</v>
      </c>
      <c r="G61" s="1">
        <f t="shared" si="2"/>
        <v>0.31406100000000003</v>
      </c>
      <c r="H61" s="1">
        <f t="shared" si="5"/>
        <v>0.37851000000000007</v>
      </c>
      <c r="I61" s="5"/>
      <c r="J61" s="98">
        <f t="shared" si="6"/>
        <v>813.88541000000009</v>
      </c>
      <c r="K61" s="5"/>
      <c r="L61" s="1">
        <f t="shared" si="4"/>
        <v>0</v>
      </c>
      <c r="M61" s="6"/>
      <c r="N61" s="7">
        <f>2+1.56+0.72</f>
        <v>4.28</v>
      </c>
      <c r="O61" s="7"/>
      <c r="P61" s="7"/>
      <c r="Q61" s="8"/>
      <c r="R61" s="7">
        <f>0.1+0.16+0.081</f>
        <v>0.34100000000000003</v>
      </c>
      <c r="S61" s="7"/>
      <c r="T61" s="7"/>
      <c r="U61" s="7"/>
      <c r="V61" s="7"/>
      <c r="W61" s="7">
        <f>1.32+4.11+4.74+1.69+3</f>
        <v>14.860000000000001</v>
      </c>
      <c r="X61" s="8"/>
    </row>
    <row r="62" spans="1:24" ht="16.5" thickBot="1" x14ac:dyDescent="0.3">
      <c r="A62" s="4"/>
      <c r="B62" s="4"/>
      <c r="C62" s="3" t="s">
        <v>442</v>
      </c>
      <c r="D62" s="9"/>
      <c r="E62" s="1">
        <f t="shared" si="0"/>
        <v>0</v>
      </c>
      <c r="F62" s="1">
        <f t="shared" si="1"/>
        <v>0.12243000000000002</v>
      </c>
      <c r="G62" s="1">
        <f t="shared" si="2"/>
        <v>0.34169100000000008</v>
      </c>
      <c r="H62" s="1">
        <f t="shared" si="5"/>
        <v>0.41181000000000012</v>
      </c>
      <c r="I62" s="5"/>
      <c r="J62" s="98">
        <f t="shared" si="6"/>
        <v>912.06511</v>
      </c>
      <c r="K62" s="5"/>
      <c r="L62" s="1">
        <f t="shared" si="4"/>
        <v>0</v>
      </c>
      <c r="M62" s="6"/>
      <c r="N62" s="7">
        <f>2+1.76+0.72</f>
        <v>4.4799999999999995</v>
      </c>
      <c r="O62" s="7"/>
      <c r="P62" s="7"/>
      <c r="Q62" s="8"/>
      <c r="R62" s="7">
        <f>0.1+0.19+0.081</f>
        <v>0.37100000000000005</v>
      </c>
      <c r="S62" s="7"/>
      <c r="T62" s="7"/>
      <c r="U62" s="7"/>
      <c r="V62" s="7"/>
      <c r="W62" s="7">
        <f>1.32+4.11+7.42+2.52+3</f>
        <v>18.37</v>
      </c>
      <c r="X62" s="8"/>
    </row>
    <row r="63" spans="1:24" ht="16.5" thickBot="1" x14ac:dyDescent="0.3">
      <c r="A63" s="4"/>
      <c r="B63" s="4"/>
      <c r="C63" s="3" t="s">
        <v>443</v>
      </c>
      <c r="D63" s="9"/>
      <c r="E63" s="1">
        <f t="shared" si="0"/>
        <v>0</v>
      </c>
      <c r="F63" s="1">
        <f t="shared" si="1"/>
        <v>0.13233</v>
      </c>
      <c r="G63" s="1">
        <f t="shared" si="2"/>
        <v>0.36932100000000001</v>
      </c>
      <c r="H63" s="1">
        <f t="shared" si="5"/>
        <v>0.44511000000000006</v>
      </c>
      <c r="I63" s="5"/>
      <c r="J63" s="98">
        <f t="shared" si="6"/>
        <v>1028.23101</v>
      </c>
      <c r="K63" s="5"/>
      <c r="L63" s="1">
        <f t="shared" si="4"/>
        <v>0</v>
      </c>
      <c r="M63" s="6"/>
      <c r="N63" s="7">
        <f>2+1.96+0.72</f>
        <v>4.68</v>
      </c>
      <c r="O63" s="7"/>
      <c r="P63" s="7"/>
      <c r="Q63" s="8"/>
      <c r="R63" s="7">
        <f>0.1+0.22+0.081</f>
        <v>0.40100000000000002</v>
      </c>
      <c r="S63" s="7"/>
      <c r="T63" s="7"/>
      <c r="U63" s="7"/>
      <c r="V63" s="7"/>
      <c r="W63" s="7">
        <f>1.32+4.11+10.23+3.15+4</f>
        <v>22.81</v>
      </c>
      <c r="X63" s="8"/>
    </row>
    <row r="64" spans="1:24" ht="16.5" thickBot="1" x14ac:dyDescent="0.3">
      <c r="A64" s="4"/>
      <c r="B64" s="4"/>
      <c r="C64" s="3" t="s">
        <v>444</v>
      </c>
      <c r="D64" s="9"/>
      <c r="E64" s="1">
        <f t="shared" si="0"/>
        <v>0</v>
      </c>
      <c r="F64" s="1">
        <f t="shared" si="1"/>
        <v>0.38417000000000001</v>
      </c>
      <c r="G64" s="1">
        <f t="shared" si="2"/>
        <v>1.55436</v>
      </c>
      <c r="H64" s="1">
        <f t="shared" si="5"/>
        <v>2.9078100000000004</v>
      </c>
      <c r="I64" s="5"/>
      <c r="J64" s="98">
        <f t="shared" si="6"/>
        <v>882.17088000000001</v>
      </c>
      <c r="K64" s="5"/>
      <c r="L64" s="1">
        <f t="shared" si="4"/>
        <v>0</v>
      </c>
      <c r="M64" s="6">
        <v>1.22</v>
      </c>
      <c r="N64" s="7">
        <f>7.413/3</f>
        <v>2.4710000000000001</v>
      </c>
      <c r="O64" s="7"/>
      <c r="P64" s="7"/>
      <c r="Q64" s="8">
        <v>0.97099999999999997</v>
      </c>
      <c r="R64" s="7"/>
      <c r="S64" s="7"/>
      <c r="T64" s="7"/>
      <c r="U64" s="7"/>
      <c r="V64" s="7"/>
      <c r="W64" s="7"/>
      <c r="X64" s="8"/>
    </row>
    <row r="65" spans="1:24" ht="16.5" thickBot="1" x14ac:dyDescent="0.3">
      <c r="A65" s="4"/>
      <c r="B65" s="4"/>
      <c r="C65" s="3" t="s">
        <v>445</v>
      </c>
      <c r="D65" s="9"/>
      <c r="E65" s="1">
        <f t="shared" si="0"/>
        <v>0</v>
      </c>
      <c r="F65" s="1">
        <f t="shared" si="1"/>
        <v>0.47295000000000004</v>
      </c>
      <c r="G65" s="1">
        <f t="shared" si="2"/>
        <v>1.9178999999999999</v>
      </c>
      <c r="H65" s="1">
        <f t="shared" si="5"/>
        <v>3.6103500000000004</v>
      </c>
      <c r="I65" s="5"/>
      <c r="J65" s="98">
        <f t="shared" si="6"/>
        <v>1059.2508666666668</v>
      </c>
      <c r="K65" s="5"/>
      <c r="L65" s="1">
        <f t="shared" si="4"/>
        <v>0</v>
      </c>
      <c r="M65" s="6">
        <v>1.53</v>
      </c>
      <c r="N65" s="7">
        <f>8.15/3</f>
        <v>2.7166666666666668</v>
      </c>
      <c r="O65" s="7"/>
      <c r="P65" s="7"/>
      <c r="Q65" s="8">
        <v>1.1850000000000001</v>
      </c>
      <c r="R65" s="7"/>
      <c r="S65" s="7"/>
      <c r="T65" s="7"/>
      <c r="U65" s="7"/>
      <c r="V65" s="7"/>
      <c r="W65" s="7"/>
      <c r="X65" s="8"/>
    </row>
    <row r="66" spans="1:24" ht="16.5" thickBot="1" x14ac:dyDescent="0.3">
      <c r="A66" s="4"/>
      <c r="B66" s="4"/>
      <c r="C66" s="3" t="s">
        <v>446</v>
      </c>
      <c r="D66" s="9"/>
      <c r="E66" s="1">
        <f t="shared" si="0"/>
        <v>0</v>
      </c>
      <c r="F66" s="1">
        <f t="shared" si="1"/>
        <v>0.75196000000000007</v>
      </c>
      <c r="G66" s="1">
        <f t="shared" si="2"/>
        <v>3.0643799999999999</v>
      </c>
      <c r="H66" s="1">
        <f t="shared" si="5"/>
        <v>5.8462800000000001</v>
      </c>
      <c r="I66" s="5"/>
      <c r="J66" s="98">
        <f t="shared" si="6"/>
        <v>1635.64176</v>
      </c>
      <c r="K66" s="5"/>
      <c r="L66" s="1">
        <f t="shared" si="4"/>
        <v>0</v>
      </c>
      <c r="M66" s="6">
        <v>2.5299999999999998</v>
      </c>
      <c r="N66" s="7">
        <f>11.04/3</f>
        <v>3.6799999999999997</v>
      </c>
      <c r="O66" s="7"/>
      <c r="P66" s="7"/>
      <c r="Q66" s="8">
        <v>1.8480000000000001</v>
      </c>
      <c r="R66" s="7"/>
      <c r="S66" s="7"/>
      <c r="T66" s="7"/>
      <c r="U66" s="7"/>
      <c r="V66" s="7"/>
      <c r="W66" s="7"/>
      <c r="X66" s="8"/>
    </row>
    <row r="67" spans="1:24" ht="16.5" thickBot="1" x14ac:dyDescent="0.3">
      <c r="A67" s="4"/>
      <c r="B67" s="4"/>
      <c r="C67" s="3" t="s">
        <v>160</v>
      </c>
      <c r="D67" s="9"/>
      <c r="E67" s="1">
        <f t="shared" si="0"/>
        <v>0</v>
      </c>
      <c r="F67" s="1">
        <f t="shared" si="1"/>
        <v>1.08901</v>
      </c>
      <c r="G67" s="1">
        <f t="shared" si="2"/>
        <v>4.4434800000000001</v>
      </c>
      <c r="H67" s="1">
        <f t="shared" si="5"/>
        <v>8.5059300000000011</v>
      </c>
      <c r="I67" s="5"/>
      <c r="J67" s="98">
        <f t="shared" si="6"/>
        <v>2313.6580933333335</v>
      </c>
      <c r="K67" s="5"/>
      <c r="L67" s="1">
        <f t="shared" si="4"/>
        <v>0</v>
      </c>
      <c r="M67" s="6">
        <v>3.7</v>
      </c>
      <c r="N67" s="7">
        <f>14.05/3</f>
        <v>4.6833333333333336</v>
      </c>
      <c r="O67" s="7"/>
      <c r="P67" s="7"/>
      <c r="Q67" s="8">
        <v>2.6629999999999998</v>
      </c>
      <c r="R67" s="7"/>
      <c r="S67" s="7"/>
      <c r="T67" s="7"/>
      <c r="U67" s="7"/>
      <c r="V67" s="7"/>
      <c r="W67" s="7"/>
      <c r="X67" s="8"/>
    </row>
    <row r="68" spans="1:24" ht="16.5" thickBot="1" x14ac:dyDescent="0.3">
      <c r="A68" s="4"/>
      <c r="B68" s="4"/>
      <c r="C68" s="3" t="s">
        <v>161</v>
      </c>
      <c r="D68" s="9"/>
      <c r="E68" s="1">
        <f t="shared" ref="E68:E82" si="15">O68*0.846</f>
        <v>0</v>
      </c>
      <c r="F68" s="1">
        <f t="shared" ref="F68:F82" si="16">A68*0.231+M68*0.1+O68*0.0588+P68*0.18+Q68*0.27+R68*0.33+T68*0.005*0.434</f>
        <v>1.4740100000000003</v>
      </c>
      <c r="G68" s="1">
        <f t="shared" ref="G68:G82" si="17">A68*0.6447+M68*0.51+O68*0.396+P68*1.06+Q68*0.96+R68*0.921+T68*0.005*1.575</f>
        <v>6.0316799999999997</v>
      </c>
      <c r="H68" s="1">
        <f t="shared" si="5"/>
        <v>11.634930000000001</v>
      </c>
      <c r="I68" s="5"/>
      <c r="J68" s="98">
        <f t="shared" ref="J68:J82" si="18">A68*306.45+M68*238+N68*90.76+O68*438+P68*340.38+Q68*378.52+R68*404.81+S68*411.043+T68*412.45*0.005+U68*17.12+V68*18.08+W68*19.34+X68*234.12+K68*436.99+I68*367.03</f>
        <v>3097.2651599999999</v>
      </c>
      <c r="K68" s="5"/>
      <c r="L68" s="1">
        <f t="shared" ref="L68:L82" si="19">O68*0.0282</f>
        <v>0</v>
      </c>
      <c r="M68" s="6">
        <v>5.12</v>
      </c>
      <c r="N68" s="7">
        <f>17.52/3</f>
        <v>5.84</v>
      </c>
      <c r="O68" s="7"/>
      <c r="P68" s="7"/>
      <c r="Q68" s="8">
        <v>3.5630000000000002</v>
      </c>
      <c r="R68" s="7"/>
      <c r="S68" s="7"/>
      <c r="T68" s="7"/>
      <c r="U68" s="7"/>
      <c r="V68" s="7"/>
      <c r="W68" s="7"/>
      <c r="X68" s="8"/>
    </row>
    <row r="69" spans="1:24" ht="16.5" thickBot="1" x14ac:dyDescent="0.3">
      <c r="A69" s="4"/>
      <c r="B69" s="4"/>
      <c r="C69" s="3" t="s">
        <v>162</v>
      </c>
      <c r="D69" s="9"/>
      <c r="E69" s="1">
        <f t="shared" si="15"/>
        <v>0</v>
      </c>
      <c r="F69" s="1">
        <f t="shared" si="16"/>
        <v>2.41967</v>
      </c>
      <c r="G69" s="1">
        <f t="shared" si="17"/>
        <v>9.9546600000000005</v>
      </c>
      <c r="H69" s="1">
        <f t="shared" ref="H69" si="20">A69*(0.777+0.45)+M69*(1.5)+P69*1.11+Q69*1.11+R69*1.11</f>
        <v>19.47531</v>
      </c>
      <c r="I69" s="5"/>
      <c r="J69" s="98">
        <f t="shared" si="18"/>
        <v>4958.966253333334</v>
      </c>
      <c r="K69" s="5"/>
      <c r="L69" s="1">
        <f t="shared" si="19"/>
        <v>0</v>
      </c>
      <c r="M69" s="6">
        <v>8.75</v>
      </c>
      <c r="N69" s="7">
        <f>23.5/3</f>
        <v>7.833333333333333</v>
      </c>
      <c r="O69" s="7"/>
      <c r="P69" s="7"/>
      <c r="Q69" s="8">
        <v>5.7210000000000001</v>
      </c>
      <c r="R69" s="7"/>
      <c r="S69" s="7"/>
      <c r="T69" s="7"/>
      <c r="U69" s="7"/>
      <c r="V69" s="7"/>
      <c r="W69" s="7"/>
      <c r="X69" s="8"/>
    </row>
    <row r="70" spans="1:24" ht="16.5" thickBot="1" x14ac:dyDescent="0.3">
      <c r="A70" s="35"/>
      <c r="B70" s="35"/>
      <c r="C70" s="81" t="s">
        <v>457</v>
      </c>
      <c r="D70" s="36"/>
      <c r="E70" s="1">
        <f t="shared" si="15"/>
        <v>0</v>
      </c>
      <c r="F70" s="1">
        <f t="shared" si="16"/>
        <v>0</v>
      </c>
      <c r="G70" s="1">
        <f t="shared" si="17"/>
        <v>0</v>
      </c>
      <c r="H70" s="1">
        <f t="shared" ref="H70:H82" si="21">A70*(0.777+0.45)+M70*(0.777+0.45)+P70*1.11+Q70*1.11+R70*1.11</f>
        <v>0</v>
      </c>
      <c r="I70" s="37"/>
      <c r="J70" s="98">
        <f t="shared" si="18"/>
        <v>0</v>
      </c>
      <c r="K70" s="82"/>
      <c r="L70" s="1">
        <f t="shared" si="19"/>
        <v>0</v>
      </c>
      <c r="M70" s="83"/>
      <c r="N70" s="83"/>
      <c r="O70" s="84"/>
      <c r="P70" s="85"/>
      <c r="Q70" s="86"/>
      <c r="R70" s="83"/>
      <c r="S70" s="83"/>
      <c r="T70" s="83"/>
      <c r="U70" s="83"/>
      <c r="V70" s="83"/>
      <c r="W70" s="83"/>
      <c r="X70" s="86"/>
    </row>
    <row r="71" spans="1:24" ht="16.5" thickBot="1" x14ac:dyDescent="0.3">
      <c r="A71" s="35"/>
      <c r="B71" s="35"/>
      <c r="C71" s="81" t="s">
        <v>458</v>
      </c>
      <c r="D71" s="36"/>
      <c r="E71" s="1">
        <f t="shared" si="15"/>
        <v>0</v>
      </c>
      <c r="F71" s="1">
        <f t="shared" si="16"/>
        <v>0</v>
      </c>
      <c r="G71" s="1">
        <f t="shared" si="17"/>
        <v>0</v>
      </c>
      <c r="H71" s="1">
        <f t="shared" si="21"/>
        <v>0</v>
      </c>
      <c r="I71" s="37"/>
      <c r="J71" s="98">
        <f t="shared" si="18"/>
        <v>0</v>
      </c>
      <c r="K71" s="82"/>
      <c r="L71" s="1">
        <f t="shared" si="19"/>
        <v>0</v>
      </c>
      <c r="M71" s="83"/>
      <c r="N71" s="83"/>
      <c r="O71" s="84"/>
      <c r="P71" s="85"/>
      <c r="Q71" s="86"/>
      <c r="R71" s="83"/>
      <c r="S71" s="83"/>
      <c r="T71" s="83"/>
      <c r="U71" s="83"/>
      <c r="V71" s="83"/>
      <c r="W71" s="83"/>
      <c r="X71" s="86"/>
    </row>
    <row r="72" spans="1:24" ht="16.5" thickBot="1" x14ac:dyDescent="0.3">
      <c r="A72" s="35"/>
      <c r="B72" s="35"/>
      <c r="C72" s="81" t="s">
        <v>459</v>
      </c>
      <c r="D72" s="36"/>
      <c r="E72" s="1">
        <f t="shared" si="15"/>
        <v>0</v>
      </c>
      <c r="F72" s="1">
        <f t="shared" si="16"/>
        <v>0</v>
      </c>
      <c r="G72" s="1">
        <f t="shared" si="17"/>
        <v>0</v>
      </c>
      <c r="H72" s="1">
        <f t="shared" si="21"/>
        <v>0</v>
      </c>
      <c r="I72" s="37"/>
      <c r="J72" s="98">
        <f t="shared" si="18"/>
        <v>0</v>
      </c>
      <c r="K72" s="82"/>
      <c r="L72" s="1">
        <f t="shared" si="19"/>
        <v>0</v>
      </c>
      <c r="M72" s="83"/>
      <c r="N72" s="83"/>
      <c r="O72" s="84"/>
      <c r="P72" s="85"/>
      <c r="Q72" s="86"/>
      <c r="R72" s="83"/>
      <c r="S72" s="83"/>
      <c r="T72" s="83"/>
      <c r="U72" s="83"/>
      <c r="V72" s="83"/>
      <c r="W72" s="83"/>
      <c r="X72" s="86"/>
    </row>
    <row r="73" spans="1:24" ht="16.5" thickBot="1" x14ac:dyDescent="0.3">
      <c r="A73" s="35"/>
      <c r="B73" s="35"/>
      <c r="C73" s="81" t="s">
        <v>460</v>
      </c>
      <c r="D73" s="36"/>
      <c r="E73" s="1">
        <f t="shared" si="15"/>
        <v>0</v>
      </c>
      <c r="F73" s="1">
        <f t="shared" si="16"/>
        <v>0</v>
      </c>
      <c r="G73" s="1">
        <f t="shared" si="17"/>
        <v>0</v>
      </c>
      <c r="H73" s="1">
        <f t="shared" si="21"/>
        <v>0</v>
      </c>
      <c r="I73" s="37"/>
      <c r="J73" s="98">
        <f t="shared" si="18"/>
        <v>0</v>
      </c>
      <c r="K73" s="82"/>
      <c r="L73" s="1">
        <f t="shared" si="19"/>
        <v>0</v>
      </c>
      <c r="M73" s="83"/>
      <c r="N73" s="83"/>
      <c r="O73" s="84"/>
      <c r="P73" s="85"/>
      <c r="Q73" s="86"/>
      <c r="R73" s="83"/>
      <c r="S73" s="83"/>
      <c r="T73" s="83"/>
      <c r="U73" s="83"/>
      <c r="V73" s="83"/>
      <c r="W73" s="83"/>
      <c r="X73" s="86"/>
    </row>
    <row r="74" spans="1:24" ht="16.5" thickBot="1" x14ac:dyDescent="0.3">
      <c r="A74" s="35"/>
      <c r="B74" s="35"/>
      <c r="C74" s="81" t="s">
        <v>461</v>
      </c>
      <c r="D74" s="36"/>
      <c r="E74" s="1">
        <f t="shared" si="15"/>
        <v>0</v>
      </c>
      <c r="F74" s="1">
        <f t="shared" si="16"/>
        <v>0</v>
      </c>
      <c r="G74" s="1">
        <f t="shared" si="17"/>
        <v>0</v>
      </c>
      <c r="H74" s="1">
        <f t="shared" si="21"/>
        <v>0</v>
      </c>
      <c r="I74" s="37"/>
      <c r="J74" s="98">
        <f t="shared" si="18"/>
        <v>0</v>
      </c>
      <c r="K74" s="82"/>
      <c r="L74" s="1">
        <f t="shared" si="19"/>
        <v>0</v>
      </c>
      <c r="M74" s="83"/>
      <c r="N74" s="83"/>
      <c r="O74" s="84"/>
      <c r="P74" s="85"/>
      <c r="Q74" s="86"/>
      <c r="R74" s="83"/>
      <c r="S74" s="83"/>
      <c r="T74" s="83"/>
      <c r="U74" s="83"/>
      <c r="V74" s="83"/>
      <c r="W74" s="83"/>
      <c r="X74" s="86"/>
    </row>
    <row r="75" spans="1:24" ht="16.5" thickBot="1" x14ac:dyDescent="0.3">
      <c r="A75" s="35"/>
      <c r="B75" s="35"/>
      <c r="C75" s="81" t="s">
        <v>462</v>
      </c>
      <c r="D75" s="36"/>
      <c r="E75" s="1">
        <f t="shared" si="15"/>
        <v>0</v>
      </c>
      <c r="F75" s="1">
        <f t="shared" si="16"/>
        <v>0</v>
      </c>
      <c r="G75" s="1">
        <f t="shared" si="17"/>
        <v>0</v>
      </c>
      <c r="H75" s="1">
        <f t="shared" si="21"/>
        <v>0</v>
      </c>
      <c r="I75" s="37"/>
      <c r="J75" s="98">
        <f t="shared" si="18"/>
        <v>0</v>
      </c>
      <c r="K75" s="82"/>
      <c r="L75" s="1">
        <f t="shared" si="19"/>
        <v>0</v>
      </c>
      <c r="M75" s="83"/>
      <c r="N75" s="83"/>
      <c r="O75" s="84"/>
      <c r="P75" s="85"/>
      <c r="Q75" s="86"/>
      <c r="R75" s="83"/>
      <c r="S75" s="83"/>
      <c r="T75" s="83"/>
      <c r="U75" s="83"/>
      <c r="V75" s="83"/>
      <c r="W75" s="83"/>
      <c r="X75" s="86"/>
    </row>
    <row r="76" spans="1:24" ht="16.5" thickBot="1" x14ac:dyDescent="0.3">
      <c r="A76" s="35"/>
      <c r="B76" s="35"/>
      <c r="C76" s="81" t="s">
        <v>463</v>
      </c>
      <c r="D76" s="36"/>
      <c r="E76" s="1">
        <f t="shared" si="15"/>
        <v>0</v>
      </c>
      <c r="F76" s="1">
        <f t="shared" si="16"/>
        <v>0</v>
      </c>
      <c r="G76" s="1">
        <f t="shared" si="17"/>
        <v>0</v>
      </c>
      <c r="H76" s="1">
        <f t="shared" si="21"/>
        <v>0</v>
      </c>
      <c r="I76" s="37"/>
      <c r="J76" s="98">
        <f t="shared" si="18"/>
        <v>0</v>
      </c>
      <c r="K76" s="82"/>
      <c r="L76" s="1">
        <f t="shared" si="19"/>
        <v>0</v>
      </c>
      <c r="M76" s="83"/>
      <c r="N76" s="83"/>
      <c r="O76" s="84"/>
      <c r="P76" s="85"/>
      <c r="Q76" s="86"/>
      <c r="R76" s="83"/>
      <c r="S76" s="83"/>
      <c r="T76" s="83"/>
      <c r="U76" s="83"/>
      <c r="V76" s="83"/>
      <c r="W76" s="83"/>
      <c r="X76" s="86"/>
    </row>
    <row r="77" spans="1:24" ht="16.5" thickBot="1" x14ac:dyDescent="0.3">
      <c r="A77" s="35"/>
      <c r="B77" s="35"/>
      <c r="C77" s="81" t="s">
        <v>464</v>
      </c>
      <c r="D77" s="36"/>
      <c r="E77" s="1">
        <f t="shared" si="15"/>
        <v>0</v>
      </c>
      <c r="F77" s="1">
        <f t="shared" si="16"/>
        <v>0</v>
      </c>
      <c r="G77" s="1">
        <f t="shared" si="17"/>
        <v>0</v>
      </c>
      <c r="H77" s="1">
        <f t="shared" si="21"/>
        <v>0</v>
      </c>
      <c r="I77" s="37"/>
      <c r="J77" s="98">
        <f t="shared" si="18"/>
        <v>0</v>
      </c>
      <c r="K77" s="82"/>
      <c r="L77" s="1">
        <f t="shared" si="19"/>
        <v>0</v>
      </c>
      <c r="M77" s="83"/>
      <c r="N77" s="83"/>
      <c r="O77" s="84"/>
      <c r="P77" s="85"/>
      <c r="Q77" s="86"/>
      <c r="R77" s="83"/>
      <c r="S77" s="83"/>
      <c r="T77" s="83"/>
      <c r="U77" s="83"/>
      <c r="V77" s="83"/>
      <c r="W77" s="83"/>
      <c r="X77" s="86"/>
    </row>
    <row r="78" spans="1:24" ht="16.5" thickBot="1" x14ac:dyDescent="0.3">
      <c r="A78" s="35"/>
      <c r="B78" s="35"/>
      <c r="C78" s="81" t="s">
        <v>465</v>
      </c>
      <c r="D78" s="36"/>
      <c r="E78" s="1">
        <f t="shared" si="15"/>
        <v>0</v>
      </c>
      <c r="F78" s="1">
        <f t="shared" si="16"/>
        <v>0</v>
      </c>
      <c r="G78" s="1">
        <f t="shared" si="17"/>
        <v>0</v>
      </c>
      <c r="H78" s="1">
        <f t="shared" si="21"/>
        <v>0</v>
      </c>
      <c r="I78" s="37"/>
      <c r="J78" s="98">
        <f t="shared" si="18"/>
        <v>0</v>
      </c>
      <c r="K78" s="82"/>
      <c r="L78" s="1">
        <f t="shared" si="19"/>
        <v>0</v>
      </c>
      <c r="M78" s="83"/>
      <c r="N78" s="83"/>
      <c r="O78" s="84"/>
      <c r="P78" s="85"/>
      <c r="Q78" s="86"/>
      <c r="R78" s="83"/>
      <c r="S78" s="83"/>
      <c r="T78" s="83"/>
      <c r="U78" s="83"/>
      <c r="V78" s="83"/>
      <c r="W78" s="83"/>
      <c r="X78" s="86"/>
    </row>
    <row r="79" spans="1:24" ht="16.5" thickBot="1" x14ac:dyDescent="0.3">
      <c r="A79" s="35"/>
      <c r="B79" s="35"/>
      <c r="C79" s="81" t="s">
        <v>466</v>
      </c>
      <c r="D79" s="36"/>
      <c r="E79" s="1">
        <f t="shared" si="15"/>
        <v>0</v>
      </c>
      <c r="F79" s="1">
        <f t="shared" si="16"/>
        <v>0</v>
      </c>
      <c r="G79" s="1">
        <f t="shared" si="17"/>
        <v>0</v>
      </c>
      <c r="H79" s="1">
        <f t="shared" si="21"/>
        <v>0</v>
      </c>
      <c r="I79" s="37"/>
      <c r="J79" s="98">
        <f t="shared" si="18"/>
        <v>0</v>
      </c>
      <c r="K79" s="82"/>
      <c r="L79" s="1">
        <f t="shared" si="19"/>
        <v>0</v>
      </c>
      <c r="M79" s="83"/>
      <c r="N79" s="83"/>
      <c r="O79" s="84"/>
      <c r="P79" s="85"/>
      <c r="Q79" s="86"/>
      <c r="R79" s="83"/>
      <c r="S79" s="83"/>
      <c r="T79" s="83"/>
      <c r="U79" s="83"/>
      <c r="V79" s="83"/>
      <c r="W79" s="83"/>
      <c r="X79" s="86"/>
    </row>
    <row r="80" spans="1:24" ht="15" customHeight="1" thickBot="1" x14ac:dyDescent="0.3">
      <c r="A80" s="35"/>
      <c r="B80" s="35"/>
      <c r="C80" s="81"/>
      <c r="D80" s="24"/>
      <c r="E80" s="1">
        <f t="shared" si="15"/>
        <v>0</v>
      </c>
      <c r="F80" s="1">
        <f t="shared" si="16"/>
        <v>0</v>
      </c>
      <c r="G80" s="1">
        <f t="shared" si="17"/>
        <v>0</v>
      </c>
      <c r="H80" s="1">
        <f t="shared" si="21"/>
        <v>0</v>
      </c>
      <c r="I80" s="37"/>
      <c r="J80" s="98">
        <f t="shared" si="18"/>
        <v>0</v>
      </c>
      <c r="K80" s="82"/>
      <c r="L80" s="1">
        <f t="shared" si="19"/>
        <v>0</v>
      </c>
      <c r="M80" s="83"/>
      <c r="N80" s="87"/>
      <c r="O80" s="87"/>
      <c r="P80" s="85"/>
      <c r="Q80" s="85"/>
      <c r="R80" s="85"/>
      <c r="S80" s="85"/>
      <c r="T80" s="85"/>
      <c r="U80" s="85"/>
      <c r="V80" s="85"/>
      <c r="W80" s="85"/>
      <c r="X80" s="85"/>
    </row>
    <row r="81" spans="1:24" ht="15" customHeight="1" thickBot="1" x14ac:dyDescent="0.3">
      <c r="A81" s="35"/>
      <c r="B81" s="35"/>
      <c r="C81" s="81"/>
      <c r="D81" s="24"/>
      <c r="E81" s="1">
        <f t="shared" si="15"/>
        <v>0</v>
      </c>
      <c r="F81" s="1">
        <f t="shared" si="16"/>
        <v>0</v>
      </c>
      <c r="G81" s="1">
        <f t="shared" si="17"/>
        <v>0</v>
      </c>
      <c r="H81" s="1">
        <f t="shared" si="21"/>
        <v>0</v>
      </c>
      <c r="I81" s="37"/>
      <c r="J81" s="98">
        <f t="shared" si="18"/>
        <v>0</v>
      </c>
      <c r="K81" s="82"/>
      <c r="L81" s="1">
        <f t="shared" si="19"/>
        <v>0</v>
      </c>
      <c r="M81" s="83"/>
      <c r="N81" s="87"/>
      <c r="O81" s="87"/>
      <c r="P81" s="85"/>
      <c r="Q81" s="85"/>
      <c r="R81" s="85"/>
      <c r="S81" s="85"/>
      <c r="T81" s="85"/>
      <c r="U81" s="85"/>
      <c r="V81" s="85"/>
      <c r="W81" s="85"/>
      <c r="X81" s="85"/>
    </row>
    <row r="82" spans="1:24" ht="15" customHeight="1" thickBot="1" x14ac:dyDescent="0.3">
      <c r="A82" s="35"/>
      <c r="B82" s="35"/>
      <c r="C82" s="81"/>
      <c r="D82" s="24"/>
      <c r="E82" s="1">
        <f t="shared" si="15"/>
        <v>0</v>
      </c>
      <c r="F82" s="1">
        <f t="shared" si="16"/>
        <v>0</v>
      </c>
      <c r="G82" s="1">
        <f t="shared" si="17"/>
        <v>0</v>
      </c>
      <c r="H82" s="1">
        <f t="shared" si="21"/>
        <v>0</v>
      </c>
      <c r="I82" s="37"/>
      <c r="J82" s="98">
        <f t="shared" si="18"/>
        <v>0</v>
      </c>
      <c r="K82" s="82"/>
      <c r="L82" s="1">
        <f t="shared" si="19"/>
        <v>0</v>
      </c>
      <c r="M82" s="83"/>
      <c r="N82" s="87"/>
      <c r="O82" s="87"/>
      <c r="P82" s="85"/>
      <c r="Q82" s="85"/>
      <c r="R82" s="85"/>
      <c r="S82" s="85"/>
      <c r="T82" s="85"/>
      <c r="U82" s="85"/>
      <c r="V82" s="85"/>
      <c r="W82" s="85"/>
      <c r="X82" s="85"/>
    </row>
    <row r="83" spans="1:24" ht="19.5" customHeight="1" x14ac:dyDescent="0.25">
      <c r="A83" s="4"/>
      <c r="B83" s="4"/>
      <c r="C83" s="25"/>
      <c r="D83" s="25"/>
      <c r="E83" s="26"/>
      <c r="F83" s="26"/>
      <c r="G83" s="27"/>
      <c r="H83" s="27"/>
      <c r="I83" s="27"/>
      <c r="J83" s="6"/>
      <c r="K83" s="27" t="s">
        <v>76</v>
      </c>
      <c r="L83" s="27" t="s">
        <v>1121</v>
      </c>
      <c r="M83" s="27" t="s">
        <v>77</v>
      </c>
      <c r="N83" s="27" t="s">
        <v>78</v>
      </c>
      <c r="O83" s="27" t="s">
        <v>79</v>
      </c>
      <c r="P83" s="27" t="s">
        <v>80</v>
      </c>
      <c r="Q83" s="27" t="s">
        <v>81</v>
      </c>
      <c r="R83" s="27" t="s">
        <v>82</v>
      </c>
      <c r="S83" s="27" t="s">
        <v>83</v>
      </c>
      <c r="T83" s="27" t="s">
        <v>977</v>
      </c>
      <c r="U83" s="27" t="s">
        <v>1122</v>
      </c>
      <c r="V83" s="27" t="s">
        <v>1123</v>
      </c>
      <c r="W83" s="27" t="s">
        <v>1124</v>
      </c>
      <c r="X83" s="28" t="s">
        <v>1125</v>
      </c>
    </row>
    <row r="84" spans="1:24" ht="15" x14ac:dyDescent="0.2">
      <c r="A84" s="29"/>
      <c r="B84" s="29"/>
      <c r="C84" s="30"/>
      <c r="D84" s="30"/>
      <c r="E84" s="30"/>
      <c r="F84" s="31"/>
      <c r="G84" s="30"/>
      <c r="H84" s="30"/>
      <c r="I84" s="30"/>
      <c r="J84" s="32"/>
      <c r="K84" s="33"/>
      <c r="L84" s="30"/>
      <c r="M84" s="31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28"/>
    </row>
  </sheetData>
  <phoneticPr fontId="0" type="noConversion"/>
  <printOptions horizontalCentered="1" verticalCentered="1" gridLines="1" gridLinesSet="0"/>
  <pageMargins left="0.78740157480314965" right="0.6692913385826772" top="1.1811023622047245" bottom="0.98425196850393704" header="0.70866141732283472" footer="0.51181102362204722"/>
  <pageSetup paperSize="9" scale="10" orientation="landscape" horizontalDpi="4294967292" verticalDpi="180" r:id="rId1"/>
  <headerFooter alignWithMargins="0">
    <oddHeader>&amp;C&amp;"Arial,Negrito"&amp;14&amp;A</oddHeader>
    <oddFooter>&amp;C&amp;"Arial,Negrito"&amp;14&amp;F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AI2748"/>
  <sheetViews>
    <sheetView showGridLines="0" showZeros="0" topLeftCell="A1605" zoomScale="90" zoomScaleNormal="90" zoomScaleSheetLayoutView="70" workbookViewId="0">
      <selection activeCell="S2696" sqref="S2696"/>
    </sheetView>
  </sheetViews>
  <sheetFormatPr defaultColWidth="21.6640625" defaultRowHeight="12.75" x14ac:dyDescent="0.2"/>
  <cols>
    <col min="1" max="1" width="15.6640625" style="97" customWidth="1"/>
    <col min="2" max="2" width="18" style="709" customWidth="1"/>
    <col min="3" max="3" width="14.83203125" style="709" customWidth="1"/>
    <col min="4" max="4" width="102.6640625" style="97" customWidth="1"/>
    <col min="5" max="5" width="0.6640625" style="97" customWidth="1"/>
    <col min="6" max="7" width="14" style="97" hidden="1" customWidth="1"/>
    <col min="8" max="9" width="12.33203125" style="97" hidden="1" customWidth="1"/>
    <col min="10" max="11" width="16.33203125" style="97" hidden="1" customWidth="1"/>
    <col min="12" max="12" width="6.5" style="97" hidden="1" customWidth="1"/>
    <col min="13" max="13" width="12.83203125" style="97" hidden="1" customWidth="1"/>
    <col min="14" max="14" width="12.1640625" style="97" hidden="1" customWidth="1"/>
    <col min="15" max="16" width="16.83203125" style="97" hidden="1" customWidth="1"/>
    <col min="17" max="17" width="24.83203125" style="97" hidden="1" customWidth="1"/>
    <col min="18" max="18" width="12.83203125" style="97" customWidth="1"/>
    <col min="19" max="19" width="12.1640625" style="97" customWidth="1"/>
    <col min="20" max="22" width="17.33203125" style="97" customWidth="1"/>
    <col min="23" max="23" width="4.6640625" style="96" customWidth="1"/>
    <col min="24" max="26" width="4.6640625" style="97" customWidth="1"/>
    <col min="27" max="27" width="21.6640625" style="97"/>
    <col min="28" max="28" width="21.6640625" style="51"/>
    <col min="29" max="29" width="5.6640625" style="51" customWidth="1"/>
    <col min="30" max="16384" width="21.6640625" style="51"/>
  </cols>
  <sheetData>
    <row r="1" spans="1:27" s="39" customFormat="1" ht="13.5" thickBot="1" x14ac:dyDescent="0.25">
      <c r="A1" s="97" t="s">
        <v>475</v>
      </c>
      <c r="B1" s="900"/>
      <c r="C1" s="462"/>
      <c r="D1" s="463"/>
      <c r="E1" s="464"/>
      <c r="F1" s="465"/>
      <c r="G1" s="466"/>
      <c r="H1" s="467"/>
      <c r="I1" s="468"/>
      <c r="J1" s="469"/>
      <c r="K1" s="469"/>
      <c r="L1" s="470" t="s">
        <v>490</v>
      </c>
      <c r="M1" s="471"/>
      <c r="N1" s="471"/>
      <c r="O1" s="472"/>
      <c r="P1" s="468"/>
      <c r="Q1" s="473"/>
      <c r="R1" s="474" t="s">
        <v>490</v>
      </c>
      <c r="S1" s="462"/>
      <c r="T1" s="475"/>
      <c r="U1" s="476" t="s">
        <v>490</v>
      </c>
      <c r="V1" s="477"/>
      <c r="W1" s="478"/>
      <c r="X1" s="479"/>
      <c r="Y1" s="479"/>
      <c r="Z1" s="479"/>
      <c r="AA1" s="479"/>
    </row>
    <row r="2" spans="1:27" s="39" customFormat="1" ht="28.5" customHeight="1" thickBot="1" x14ac:dyDescent="0.25">
      <c r="A2" s="97" t="s">
        <v>170</v>
      </c>
      <c r="B2" s="480" t="s">
        <v>170</v>
      </c>
      <c r="C2" s="481"/>
      <c r="D2" s="482"/>
      <c r="E2" s="483"/>
      <c r="F2" s="1200" t="s">
        <v>1862</v>
      </c>
      <c r="G2" s="1201"/>
      <c r="H2" s="484"/>
      <c r="I2" s="485"/>
      <c r="J2" s="486"/>
      <c r="K2" s="485"/>
      <c r="L2" s="485"/>
      <c r="M2" s="485"/>
      <c r="N2" s="487"/>
      <c r="O2" s="488"/>
      <c r="P2" s="489"/>
      <c r="Q2" s="490"/>
      <c r="R2" s="491"/>
      <c r="S2" s="492"/>
      <c r="T2" s="493"/>
      <c r="U2" s="494"/>
      <c r="V2" s="495"/>
      <c r="W2" s="478"/>
      <c r="X2" s="479"/>
      <c r="Y2" s="479"/>
      <c r="Z2" s="479"/>
      <c r="AA2" s="479"/>
    </row>
    <row r="3" spans="1:27" s="39" customFormat="1" x14ac:dyDescent="0.2">
      <c r="A3" s="97"/>
      <c r="B3" s="901"/>
      <c r="C3" s="496"/>
      <c r="D3" s="497" t="s">
        <v>491</v>
      </c>
      <c r="E3" s="498"/>
      <c r="F3" s="499" t="s">
        <v>491</v>
      </c>
      <c r="G3" s="500"/>
      <c r="H3" s="501"/>
      <c r="I3" s="502"/>
      <c r="J3" s="486"/>
      <c r="K3" s="503"/>
      <c r="L3" s="497" t="s">
        <v>491</v>
      </c>
      <c r="M3" s="503"/>
      <c r="N3" s="503"/>
      <c r="O3" s="504"/>
      <c r="P3" s="502"/>
      <c r="Q3" s="505"/>
      <c r="R3" s="497" t="s">
        <v>491</v>
      </c>
      <c r="S3" s="492"/>
      <c r="T3" s="493"/>
      <c r="U3" s="494"/>
      <c r="V3" s="495"/>
      <c r="W3" s="478"/>
      <c r="X3" s="479"/>
      <c r="Y3" s="479"/>
      <c r="Z3" s="479"/>
      <c r="AA3" s="479"/>
    </row>
    <row r="4" spans="1:27" s="39" customFormat="1" x14ac:dyDescent="0.2">
      <c r="A4" s="97" t="s">
        <v>171</v>
      </c>
      <c r="B4" s="506" t="s">
        <v>171</v>
      </c>
      <c r="C4" s="507"/>
      <c r="D4" s="508" t="s">
        <v>172</v>
      </c>
      <c r="E4" s="509" t="s">
        <v>0</v>
      </c>
      <c r="F4" s="510" t="s">
        <v>2236</v>
      </c>
      <c r="G4" s="511"/>
      <c r="H4" s="501"/>
      <c r="I4" s="502"/>
      <c r="J4" s="486"/>
      <c r="K4" s="503"/>
      <c r="L4" s="503"/>
      <c r="M4" s="503"/>
      <c r="N4" s="503"/>
      <c r="O4" s="504"/>
      <c r="P4" s="502"/>
      <c r="Q4" s="505"/>
      <c r="R4" s="512"/>
      <c r="S4" s="492"/>
      <c r="T4" s="493"/>
      <c r="U4" s="494"/>
      <c r="V4" s="495"/>
      <c r="W4" s="478"/>
      <c r="X4" s="479"/>
      <c r="Y4" s="479"/>
      <c r="Z4" s="479"/>
      <c r="AA4" s="479"/>
    </row>
    <row r="5" spans="1:27" s="39" customFormat="1" x14ac:dyDescent="0.2">
      <c r="A5" s="97" t="s">
        <v>171</v>
      </c>
      <c r="B5" s="506" t="s">
        <v>171</v>
      </c>
      <c r="C5" s="507"/>
      <c r="D5" s="508" t="s">
        <v>1</v>
      </c>
      <c r="E5" s="509" t="s">
        <v>0</v>
      </c>
      <c r="F5" s="510" t="s">
        <v>864</v>
      </c>
      <c r="G5" s="513"/>
      <c r="H5" s="501"/>
      <c r="I5" s="502"/>
      <c r="J5" s="486"/>
      <c r="K5" s="503"/>
      <c r="L5" s="503"/>
      <c r="M5" s="503"/>
      <c r="N5" s="503"/>
      <c r="O5" s="504"/>
      <c r="P5" s="502"/>
      <c r="Q5" s="505"/>
      <c r="R5" s="512"/>
      <c r="S5" s="492"/>
      <c r="T5" s="493"/>
      <c r="U5" s="494"/>
      <c r="V5" s="495"/>
      <c r="W5" s="478"/>
      <c r="X5" s="479"/>
      <c r="Y5" s="479"/>
      <c r="Z5" s="479"/>
      <c r="AA5" s="479"/>
    </row>
    <row r="6" spans="1:27" s="39" customFormat="1" x14ac:dyDescent="0.2">
      <c r="A6" s="97" t="s">
        <v>171</v>
      </c>
      <c r="B6" s="506" t="s">
        <v>171</v>
      </c>
      <c r="C6" s="507"/>
      <c r="D6" s="508" t="s">
        <v>2</v>
      </c>
      <c r="E6" s="509" t="s">
        <v>0</v>
      </c>
      <c r="F6" s="510"/>
      <c r="G6" s="511"/>
      <c r="H6" s="501"/>
      <c r="I6" s="502"/>
      <c r="J6" s="486"/>
      <c r="K6" s="503"/>
      <c r="L6" s="503"/>
      <c r="M6" s="503"/>
      <c r="N6" s="503"/>
      <c r="O6" s="504"/>
      <c r="P6" s="502"/>
      <c r="Q6" s="505"/>
      <c r="R6" s="512"/>
      <c r="S6" s="492"/>
      <c r="T6" s="493"/>
      <c r="U6" s="494"/>
      <c r="V6" s="495"/>
      <c r="W6" s="478"/>
      <c r="X6" s="479"/>
      <c r="Y6" s="479"/>
      <c r="Z6" s="479"/>
      <c r="AA6" s="479"/>
    </row>
    <row r="7" spans="1:27" s="39" customFormat="1" x14ac:dyDescent="0.2">
      <c r="A7" s="97" t="s">
        <v>171</v>
      </c>
      <c r="B7" s="506" t="s">
        <v>171</v>
      </c>
      <c r="C7" s="507"/>
      <c r="D7" s="508" t="s">
        <v>3</v>
      </c>
      <c r="E7" s="509" t="s">
        <v>0</v>
      </c>
      <c r="F7" s="510"/>
      <c r="G7" s="511"/>
      <c r="H7" s="501"/>
      <c r="I7" s="502"/>
      <c r="J7" s="486"/>
      <c r="K7" s="503"/>
      <c r="L7" s="503"/>
      <c r="M7" s="503"/>
      <c r="N7" s="503"/>
      <c r="O7" s="504"/>
      <c r="P7" s="502"/>
      <c r="Q7" s="505"/>
      <c r="R7" s="512"/>
      <c r="S7" s="492"/>
      <c r="T7" s="493"/>
      <c r="U7" s="494"/>
      <c r="V7" s="495"/>
      <c r="W7" s="478"/>
      <c r="X7" s="479"/>
      <c r="Y7" s="479"/>
      <c r="Z7" s="479"/>
      <c r="AA7" s="479"/>
    </row>
    <row r="8" spans="1:27" s="39" customFormat="1" ht="13.5" thickBot="1" x14ac:dyDescent="0.25">
      <c r="A8" s="97"/>
      <c r="B8" s="514"/>
      <c r="C8" s="515"/>
      <c r="D8" s="508" t="s">
        <v>4</v>
      </c>
      <c r="E8" s="509" t="s">
        <v>0</v>
      </c>
      <c r="F8" s="510" t="s">
        <v>2235</v>
      </c>
      <c r="G8" s="511"/>
      <c r="H8" s="501"/>
      <c r="I8" s="502"/>
      <c r="J8" s="486"/>
      <c r="K8" s="503"/>
      <c r="L8" s="503"/>
      <c r="M8" s="503"/>
      <c r="N8" s="503"/>
      <c r="O8" s="504"/>
      <c r="P8" s="502"/>
      <c r="Q8" s="505"/>
      <c r="R8" s="512"/>
      <c r="S8" s="492"/>
      <c r="T8" s="493"/>
      <c r="U8" s="494"/>
      <c r="V8" s="495"/>
      <c r="W8" s="478"/>
      <c r="X8" s="479"/>
      <c r="Y8" s="479"/>
      <c r="Z8" s="479"/>
      <c r="AA8" s="479"/>
    </row>
    <row r="9" spans="1:27" s="39" customFormat="1" ht="13.5" thickBot="1" x14ac:dyDescent="0.25">
      <c r="A9" s="97"/>
      <c r="B9" s="506"/>
      <c r="C9" s="507"/>
      <c r="D9" s="508" t="s">
        <v>791</v>
      </c>
      <c r="E9" s="509" t="s">
        <v>0</v>
      </c>
      <c r="F9" s="516">
        <f>IF(BDI!B17&lt;0,0,BDI!B17)</f>
        <v>0.18379999999999999</v>
      </c>
      <c r="G9" s="511"/>
      <c r="H9" s="501"/>
      <c r="I9" s="502"/>
      <c r="J9" s="486"/>
      <c r="K9" s="503"/>
      <c r="L9" s="503"/>
      <c r="M9" s="503"/>
      <c r="N9" s="503"/>
      <c r="O9" s="504"/>
      <c r="P9" s="502"/>
      <c r="Q9" s="505"/>
      <c r="R9" s="512"/>
      <c r="S9" s="492"/>
      <c r="T9" s="493"/>
      <c r="U9" s="494"/>
      <c r="V9" s="495"/>
      <c r="W9" s="478"/>
      <c r="X9" s="479"/>
      <c r="Y9" s="479"/>
      <c r="Z9" s="479"/>
      <c r="AA9" s="479"/>
    </row>
    <row r="10" spans="1:27" s="39" customFormat="1" ht="13.5" thickBot="1" x14ac:dyDescent="0.25">
      <c r="A10" s="97"/>
      <c r="B10" s="506"/>
      <c r="C10" s="507"/>
      <c r="D10" s="508" t="s">
        <v>790</v>
      </c>
      <c r="E10" s="509" t="s">
        <v>0</v>
      </c>
      <c r="F10" s="517">
        <f>BDI!B15</f>
        <v>0.21710000000000002</v>
      </c>
      <c r="G10" s="511"/>
      <c r="H10" s="501"/>
      <c r="I10" s="502"/>
      <c r="J10" s="486"/>
      <c r="K10" s="503"/>
      <c r="L10" s="503"/>
      <c r="M10" s="503"/>
      <c r="N10" s="503"/>
      <c r="O10" s="504"/>
      <c r="P10" s="502"/>
      <c r="Q10" s="505"/>
      <c r="R10" s="512"/>
      <c r="S10" s="492"/>
      <c r="T10" s="493"/>
      <c r="U10" s="494"/>
      <c r="V10" s="495"/>
      <c r="W10" s="478"/>
      <c r="X10" s="479"/>
      <c r="Y10" s="479"/>
      <c r="Z10" s="479"/>
      <c r="AA10" s="479"/>
    </row>
    <row r="11" spans="1:27" s="39" customFormat="1" ht="13.5" thickBot="1" x14ac:dyDescent="0.25">
      <c r="A11" s="97"/>
      <c r="B11" s="518"/>
      <c r="C11" s="519"/>
      <c r="D11" s="520" t="s">
        <v>159</v>
      </c>
      <c r="E11" s="521" t="s">
        <v>0</v>
      </c>
      <c r="F11" s="522"/>
      <c r="G11" s="523"/>
      <c r="H11" s="524"/>
      <c r="I11" s="525"/>
      <c r="J11" s="526"/>
      <c r="K11" s="527"/>
      <c r="L11" s="527"/>
      <c r="M11" s="527"/>
      <c r="N11" s="527"/>
      <c r="O11" s="528"/>
      <c r="P11" s="525"/>
      <c r="Q11" s="529"/>
      <c r="R11" s="530"/>
      <c r="S11" s="531"/>
      <c r="T11" s="532"/>
      <c r="U11" s="533"/>
      <c r="V11" s="534"/>
      <c r="W11" s="478"/>
      <c r="X11" s="479"/>
      <c r="Y11" s="479"/>
      <c r="Z11" s="479"/>
      <c r="AA11" s="479"/>
    </row>
    <row r="12" spans="1:27" s="39" customFormat="1" ht="25.15" customHeight="1" thickBot="1" x14ac:dyDescent="0.25">
      <c r="A12" s="97" t="s">
        <v>177</v>
      </c>
      <c r="B12" s="897" t="s">
        <v>177</v>
      </c>
      <c r="C12" s="40"/>
      <c r="D12" s="41"/>
      <c r="E12" s="42"/>
      <c r="F12" s="42"/>
      <c r="G12" s="43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1"/>
      <c r="V12" s="71"/>
      <c r="W12" s="478"/>
      <c r="X12" s="479"/>
      <c r="Y12" s="479"/>
      <c r="Z12" s="479"/>
      <c r="AA12" s="479"/>
    </row>
    <row r="13" spans="1:27" s="39" customFormat="1" x14ac:dyDescent="0.2">
      <c r="A13" s="97" t="s">
        <v>181</v>
      </c>
      <c r="B13" s="899" t="s">
        <v>181</v>
      </c>
      <c r="C13" s="898"/>
      <c r="D13" s="535" t="s">
        <v>2235</v>
      </c>
      <c r="E13" s="536"/>
      <c r="F13" s="537" t="s">
        <v>182</v>
      </c>
      <c r="G13" s="538" t="s">
        <v>2261</v>
      </c>
      <c r="H13" s="539"/>
      <c r="I13" s="540"/>
      <c r="J13" s="540"/>
      <c r="K13" s="540"/>
      <c r="L13" s="540"/>
      <c r="M13" s="540"/>
      <c r="N13" s="540"/>
      <c r="O13" s="540"/>
      <c r="P13" s="540"/>
      <c r="Q13" s="540"/>
      <c r="R13" s="540"/>
      <c r="S13" s="540"/>
      <c r="T13" s="540"/>
      <c r="U13" s="541" t="s">
        <v>182</v>
      </c>
      <c r="V13" s="542" t="s">
        <v>2261</v>
      </c>
      <c r="W13" s="478"/>
      <c r="X13" s="479"/>
      <c r="Y13" s="479"/>
      <c r="Z13" s="479"/>
      <c r="AA13" s="479"/>
    </row>
    <row r="14" spans="1:27" s="39" customFormat="1" x14ac:dyDescent="0.2">
      <c r="A14" s="97"/>
      <c r="B14" s="543" t="s">
        <v>1855</v>
      </c>
      <c r="C14" s="544"/>
      <c r="D14" s="545" t="s">
        <v>2267</v>
      </c>
      <c r="E14" s="546"/>
      <c r="F14" s="547" t="s">
        <v>185</v>
      </c>
      <c r="G14" s="548" t="s">
        <v>632</v>
      </c>
      <c r="H14" s="549"/>
      <c r="I14" s="550"/>
      <c r="J14" s="550"/>
      <c r="K14" s="550"/>
      <c r="L14" s="550"/>
      <c r="M14" s="550"/>
      <c r="N14" s="550"/>
      <c r="O14" s="550"/>
      <c r="P14" s="550"/>
      <c r="Q14" s="550"/>
      <c r="R14" s="550"/>
      <c r="S14" s="550"/>
      <c r="T14" s="550"/>
      <c r="U14" s="551" t="s">
        <v>184</v>
      </c>
      <c r="V14" s="552" t="s">
        <v>632</v>
      </c>
      <c r="W14" s="478"/>
      <c r="X14" s="479"/>
      <c r="Y14" s="479"/>
      <c r="Z14" s="479"/>
      <c r="AA14" s="479"/>
    </row>
    <row r="15" spans="1:27" s="39" customFormat="1" ht="13.5" thickBot="1" x14ac:dyDescent="0.25">
      <c r="A15" s="97"/>
      <c r="B15" s="553" t="s">
        <v>1861</v>
      </c>
      <c r="C15" s="554"/>
      <c r="D15" s="555" t="s">
        <v>2262</v>
      </c>
      <c r="E15" s="556"/>
      <c r="F15" s="557"/>
      <c r="G15" s="558"/>
      <c r="H15" s="559"/>
      <c r="I15" s="560"/>
      <c r="J15" s="560"/>
      <c r="K15" s="560"/>
      <c r="L15" s="560"/>
      <c r="M15" s="560"/>
      <c r="N15" s="560"/>
      <c r="O15" s="560"/>
      <c r="P15" s="560"/>
      <c r="Q15" s="560"/>
      <c r="R15" s="560"/>
      <c r="S15" s="560"/>
      <c r="T15" s="560"/>
      <c r="U15" s="560"/>
      <c r="V15" s="561"/>
      <c r="W15" s="478"/>
      <c r="X15" s="479"/>
      <c r="Y15" s="479"/>
      <c r="Z15" s="479"/>
      <c r="AA15" s="479"/>
    </row>
    <row r="16" spans="1:27" ht="13.5" thickBot="1" x14ac:dyDescent="0.25">
      <c r="B16" s="562" t="s">
        <v>471</v>
      </c>
      <c r="C16" s="563" t="s">
        <v>1858</v>
      </c>
      <c r="D16" s="564" t="s">
        <v>173</v>
      </c>
      <c r="E16" s="1202"/>
      <c r="F16" s="565" t="s">
        <v>5</v>
      </c>
      <c r="G16" s="566" t="s">
        <v>6</v>
      </c>
      <c r="H16" s="44" t="s">
        <v>7</v>
      </c>
      <c r="I16" s="45"/>
      <c r="J16" s="46"/>
      <c r="K16" s="45"/>
      <c r="L16" s="567" t="s">
        <v>176</v>
      </c>
      <c r="M16" s="47" t="s">
        <v>8</v>
      </c>
      <c r="N16" s="48"/>
      <c r="O16" s="48"/>
      <c r="P16" s="48"/>
      <c r="Q16" s="48"/>
      <c r="R16" s="990" t="s">
        <v>179</v>
      </c>
      <c r="S16" s="49"/>
      <c r="T16" s="49"/>
      <c r="U16" s="50"/>
      <c r="V16" s="50"/>
      <c r="W16" s="568" t="s">
        <v>472</v>
      </c>
      <c r="X16" s="568"/>
      <c r="Y16" s="569"/>
      <c r="Z16" s="569"/>
    </row>
    <row r="17" spans="1:26" ht="43.5" thickBot="1" x14ac:dyDescent="0.25">
      <c r="A17" s="974" t="s">
        <v>785</v>
      </c>
      <c r="B17" s="570" t="s">
        <v>187</v>
      </c>
      <c r="C17" s="1007"/>
      <c r="D17" s="571"/>
      <c r="E17" s="1203"/>
      <c r="F17" s="52" t="s">
        <v>174</v>
      </c>
      <c r="G17" s="572" t="s">
        <v>175</v>
      </c>
      <c r="H17" s="52" t="s">
        <v>9</v>
      </c>
      <c r="I17" s="53" t="s">
        <v>10</v>
      </c>
      <c r="J17" s="53" t="s">
        <v>11</v>
      </c>
      <c r="K17" s="54" t="s">
        <v>12</v>
      </c>
      <c r="L17" s="55"/>
      <c r="M17" s="56" t="s">
        <v>13</v>
      </c>
      <c r="N17" s="57" t="s">
        <v>14</v>
      </c>
      <c r="O17" s="58" t="s">
        <v>178</v>
      </c>
      <c r="P17" s="59" t="s">
        <v>15</v>
      </c>
      <c r="Q17" s="60" t="s">
        <v>180</v>
      </c>
      <c r="R17" s="56" t="s">
        <v>13</v>
      </c>
      <c r="S17" s="61" t="s">
        <v>14</v>
      </c>
      <c r="T17" s="58" t="s">
        <v>178</v>
      </c>
      <c r="U17" s="59" t="s">
        <v>15</v>
      </c>
      <c r="V17" s="62" t="s">
        <v>180</v>
      </c>
      <c r="W17" s="38" t="s">
        <v>473</v>
      </c>
      <c r="X17" s="38" t="s">
        <v>476</v>
      </c>
      <c r="Y17" s="38" t="s">
        <v>477</v>
      </c>
      <c r="Z17" s="38" t="s">
        <v>475</v>
      </c>
    </row>
    <row r="18" spans="1:26" ht="13.5" thickBot="1" x14ac:dyDescent="0.25">
      <c r="A18" s="97" t="s">
        <v>632</v>
      </c>
      <c r="B18" s="1099" t="s">
        <v>632</v>
      </c>
      <c r="C18" s="1100"/>
      <c r="D18" s="1101" t="s">
        <v>499</v>
      </c>
      <c r="E18" s="1102"/>
      <c r="F18" s="679"/>
      <c r="G18" s="574"/>
      <c r="H18" s="575"/>
      <c r="I18" s="576"/>
      <c r="J18" s="576"/>
      <c r="K18" s="576"/>
      <c r="L18" s="576" t="s">
        <v>783</v>
      </c>
      <c r="M18" s="575"/>
      <c r="N18" s="576"/>
      <c r="O18" s="576"/>
      <c r="P18" s="577"/>
      <c r="Q18" s="578">
        <f>SUM(P19:P67)</f>
        <v>6203.6200000000008</v>
      </c>
      <c r="R18" s="1103"/>
      <c r="S18" s="1104"/>
      <c r="T18" s="1104"/>
      <c r="U18" s="1105"/>
      <c r="V18" s="1106">
        <f>SUM(U19:U67)</f>
        <v>6097.39</v>
      </c>
      <c r="W18" s="579" t="str">
        <f>IF(OR(Q18&gt;0,V18&gt;0),"X","")</f>
        <v>X</v>
      </c>
      <c r="X18" s="580" t="str">
        <f t="shared" ref="X18:X86" si="0">IF(W18="X","x",IF(W18="xx","x",IF(W18="xy","x",IF(W18="y","x",IF(OR(P18&gt;0,U18&gt;0),"x","")))))</f>
        <v>x</v>
      </c>
      <c r="Y18" s="580" t="str">
        <f t="shared" ref="Y18:Y81" si="1">IF(W18="X","x",IF(W18="y","x",IF(W18="xx","x",IF(U18&gt;0,"x",""))))</f>
        <v>x</v>
      </c>
      <c r="Z18" s="580" t="str">
        <f t="shared" ref="Z18:Z81" si="2">IF(W18="X","x",IF(U18&gt;0,"x",""))</f>
        <v>x</v>
      </c>
    </row>
    <row r="19" spans="1:26" hidden="1" x14ac:dyDescent="0.2">
      <c r="A19" s="1008">
        <v>831000</v>
      </c>
      <c r="B19" s="1009" t="s">
        <v>1900</v>
      </c>
      <c r="C19" s="980" t="s">
        <v>212</v>
      </c>
      <c r="D19" s="581" t="s">
        <v>295</v>
      </c>
      <c r="E19" s="582"/>
      <c r="F19" s="906"/>
      <c r="G19" s="583"/>
      <c r="H19" s="907">
        <v>0</v>
      </c>
      <c r="I19" s="584">
        <v>35.379999999999995</v>
      </c>
      <c r="J19" s="584">
        <f>IF(ISBLANK(I19),"",SUM(H19:I19))</f>
        <v>35.379999999999995</v>
      </c>
      <c r="K19" s="585">
        <f t="shared" ref="K19:K41" si="3">IF(ISBLANK(I19),0,ROUND(J19*(1+$F$10)*(1+$F$11*E19),2))</f>
        <v>43.06</v>
      </c>
      <c r="L19" s="586" t="s">
        <v>19</v>
      </c>
      <c r="M19" s="92"/>
      <c r="N19" s="92"/>
      <c r="O19" s="587">
        <f t="shared" ref="O19:O41" si="4">IF(ISBLANK(M19),0,ROUND(K19*M19,2))</f>
        <v>0</v>
      </c>
      <c r="P19" s="93">
        <f t="shared" ref="P19:P41" si="5">IF(ISBLANK(N19),0,ROUND(M19*N19,2))</f>
        <v>0</v>
      </c>
      <c r="Q19" s="94"/>
      <c r="R19" s="92">
        <f t="shared" ref="R19:R41" si="6">M19</f>
        <v>0</v>
      </c>
      <c r="S19" s="92">
        <f t="shared" ref="S19:S41" si="7">N19</f>
        <v>0</v>
      </c>
      <c r="T19" s="93">
        <f t="shared" ref="T19:T41" si="8">IF(ISBLANK(R19),0,ROUND(K19*R19,2))</f>
        <v>0</v>
      </c>
      <c r="U19" s="95">
        <f t="shared" ref="U19:U41" si="9">IF(ISBLANK(R19),0,ROUND(R19*S19,2))</f>
        <v>0</v>
      </c>
      <c r="V19" s="588"/>
      <c r="X19" s="580" t="str">
        <f t="shared" si="0"/>
        <v/>
      </c>
      <c r="Y19" s="580" t="str">
        <f t="shared" si="1"/>
        <v/>
      </c>
      <c r="Z19" s="580" t="str">
        <f t="shared" si="2"/>
        <v/>
      </c>
    </row>
    <row r="20" spans="1:26" hidden="1" x14ac:dyDescent="0.2">
      <c r="A20" s="1008">
        <v>830000</v>
      </c>
      <c r="B20" s="1010" t="s">
        <v>1902</v>
      </c>
      <c r="C20" s="978" t="s">
        <v>212</v>
      </c>
      <c r="D20" s="589" t="s">
        <v>296</v>
      </c>
      <c r="E20" s="590"/>
      <c r="F20" s="601"/>
      <c r="G20" s="591"/>
      <c r="H20" s="908">
        <v>0</v>
      </c>
      <c r="I20" s="584">
        <v>26.82</v>
      </c>
      <c r="J20" s="592">
        <f>IF(ISBLANK(I20),"",SUM(H20:I20))</f>
        <v>26.82</v>
      </c>
      <c r="K20" s="593">
        <f t="shared" si="3"/>
        <v>32.64</v>
      </c>
      <c r="L20" s="594" t="s">
        <v>19</v>
      </c>
      <c r="M20" s="92"/>
      <c r="N20" s="92"/>
      <c r="O20" s="587">
        <f t="shared" si="4"/>
        <v>0</v>
      </c>
      <c r="P20" s="93">
        <f t="shared" si="5"/>
        <v>0</v>
      </c>
      <c r="Q20" s="94"/>
      <c r="R20" s="92">
        <f t="shared" ref="R20" si="10">M20</f>
        <v>0</v>
      </c>
      <c r="S20" s="92">
        <f t="shared" ref="S20" si="11">N20</f>
        <v>0</v>
      </c>
      <c r="T20" s="93">
        <f t="shared" si="8"/>
        <v>0</v>
      </c>
      <c r="U20" s="95">
        <f t="shared" si="9"/>
        <v>0</v>
      </c>
      <c r="V20" s="94"/>
      <c r="X20" s="580" t="str">
        <f t="shared" si="0"/>
        <v/>
      </c>
      <c r="Y20" s="580" t="str">
        <f t="shared" si="1"/>
        <v/>
      </c>
      <c r="Z20" s="580" t="str">
        <f t="shared" si="2"/>
        <v/>
      </c>
    </row>
    <row r="21" spans="1:26" hidden="1" x14ac:dyDescent="0.2">
      <c r="A21" s="1011">
        <v>606600</v>
      </c>
      <c r="B21" s="1010" t="s">
        <v>1904</v>
      </c>
      <c r="C21" s="978" t="s">
        <v>212</v>
      </c>
      <c r="D21" s="595" t="s">
        <v>205</v>
      </c>
      <c r="E21" s="596"/>
      <c r="F21" s="671"/>
      <c r="G21" s="591"/>
      <c r="H21" s="908"/>
      <c r="I21" s="584">
        <v>259.06</v>
      </c>
      <c r="J21" s="592">
        <f>IF(ISBLANK(I21),"",SUM(H21:I21))</f>
        <v>259.06</v>
      </c>
      <c r="K21" s="593">
        <f t="shared" si="3"/>
        <v>315.3</v>
      </c>
      <c r="L21" s="594" t="s">
        <v>16</v>
      </c>
      <c r="M21" s="92"/>
      <c r="N21" s="92"/>
      <c r="O21" s="587">
        <f t="shared" si="4"/>
        <v>0</v>
      </c>
      <c r="P21" s="93">
        <f t="shared" si="5"/>
        <v>0</v>
      </c>
      <c r="Q21" s="94"/>
      <c r="R21" s="92">
        <f t="shared" si="6"/>
        <v>0</v>
      </c>
      <c r="S21" s="92">
        <f t="shared" si="7"/>
        <v>0</v>
      </c>
      <c r="T21" s="93">
        <f t="shared" si="8"/>
        <v>0</v>
      </c>
      <c r="U21" s="95">
        <f t="shared" si="9"/>
        <v>0</v>
      </c>
      <c r="V21" s="94"/>
      <c r="X21" s="580" t="str">
        <f t="shared" si="0"/>
        <v/>
      </c>
      <c r="Y21" s="580" t="str">
        <f t="shared" si="1"/>
        <v/>
      </c>
      <c r="Z21" s="580" t="str">
        <f t="shared" si="2"/>
        <v/>
      </c>
    </row>
    <row r="22" spans="1:26" x14ac:dyDescent="0.2">
      <c r="A22" s="1012">
        <v>606700</v>
      </c>
      <c r="B22" s="1107" t="s">
        <v>1908</v>
      </c>
      <c r="C22" s="1108" t="s">
        <v>212</v>
      </c>
      <c r="D22" s="1109" t="s">
        <v>204</v>
      </c>
      <c r="E22" s="1110"/>
      <c r="F22" s="671"/>
      <c r="G22" s="591"/>
      <c r="H22" s="908"/>
      <c r="I22" s="584">
        <v>123.85000000000001</v>
      </c>
      <c r="J22" s="592">
        <f>IF(ISBLANK(I22),"",SUM(H22:I22))</f>
        <v>123.85000000000001</v>
      </c>
      <c r="K22" s="593">
        <f t="shared" si="3"/>
        <v>150.74</v>
      </c>
      <c r="L22" s="594" t="s">
        <v>16</v>
      </c>
      <c r="M22" s="92">
        <v>2.4</v>
      </c>
      <c r="N22" s="92">
        <v>153.36000000000001</v>
      </c>
      <c r="O22" s="93">
        <f t="shared" si="4"/>
        <v>361.78</v>
      </c>
      <c r="P22" s="93">
        <f t="shared" si="5"/>
        <v>368.06</v>
      </c>
      <c r="Q22" s="94"/>
      <c r="R22" s="1111">
        <f t="shared" si="6"/>
        <v>2.4</v>
      </c>
      <c r="S22" s="1111">
        <f>K22</f>
        <v>150.74</v>
      </c>
      <c r="T22" s="1112">
        <f t="shared" si="8"/>
        <v>361.78</v>
      </c>
      <c r="U22" s="1113">
        <f t="shared" si="9"/>
        <v>361.78</v>
      </c>
      <c r="V22" s="1114"/>
      <c r="X22" s="580" t="str">
        <f t="shared" si="0"/>
        <v>x</v>
      </c>
      <c r="Y22" s="580" t="str">
        <f t="shared" si="1"/>
        <v>x</v>
      </c>
      <c r="Z22" s="580" t="str">
        <f t="shared" si="2"/>
        <v>x</v>
      </c>
    </row>
    <row r="23" spans="1:26" hidden="1" x14ac:dyDescent="0.2">
      <c r="A23" s="1008">
        <v>512000</v>
      </c>
      <c r="B23" s="1010">
        <v>512000</v>
      </c>
      <c r="C23" s="978" t="s">
        <v>212</v>
      </c>
      <c r="D23" s="595" t="s">
        <v>206</v>
      </c>
      <c r="E23" s="596"/>
      <c r="F23" s="671">
        <v>1</v>
      </c>
      <c r="G23" s="597">
        <v>1.86</v>
      </c>
      <c r="H23" s="661">
        <f>IF(F23&lt;=30,(0.7*F23+1.45)*G23,((0.7*30+1.45)+0.58*(F23-30))*G23)</f>
        <v>3.9990000000000001</v>
      </c>
      <c r="I23" s="584">
        <v>50.5</v>
      </c>
      <c r="J23" s="592">
        <f t="shared" ref="J23:J24" si="12">IF(ISBLANK(I23),"",SUM(H23:I23))</f>
        <v>54.499000000000002</v>
      </c>
      <c r="K23" s="593">
        <f t="shared" si="3"/>
        <v>66.33</v>
      </c>
      <c r="L23" s="594" t="s">
        <v>16</v>
      </c>
      <c r="M23" s="92"/>
      <c r="N23" s="92"/>
      <c r="O23" s="93">
        <f t="shared" si="4"/>
        <v>0</v>
      </c>
      <c r="P23" s="93">
        <f t="shared" si="5"/>
        <v>0</v>
      </c>
      <c r="Q23" s="94"/>
      <c r="R23" s="92">
        <f t="shared" si="6"/>
        <v>0</v>
      </c>
      <c r="S23" s="92">
        <f t="shared" si="7"/>
        <v>0</v>
      </c>
      <c r="T23" s="93">
        <f t="shared" si="8"/>
        <v>0</v>
      </c>
      <c r="U23" s="95">
        <f t="shared" si="9"/>
        <v>0</v>
      </c>
      <c r="V23" s="94"/>
      <c r="X23" s="580" t="str">
        <f t="shared" si="0"/>
        <v/>
      </c>
      <c r="Y23" s="580" t="str">
        <f t="shared" si="1"/>
        <v/>
      </c>
      <c r="Z23" s="580" t="str">
        <f t="shared" si="2"/>
        <v/>
      </c>
    </row>
    <row r="24" spans="1:26" x14ac:dyDescent="0.2">
      <c r="A24" s="1008">
        <v>512050</v>
      </c>
      <c r="B24" s="1107">
        <v>512050</v>
      </c>
      <c r="C24" s="1108" t="s">
        <v>212</v>
      </c>
      <c r="D24" s="1109" t="s">
        <v>761</v>
      </c>
      <c r="E24" s="1110"/>
      <c r="F24" s="671">
        <v>1</v>
      </c>
      <c r="G24" s="597">
        <v>1.86</v>
      </c>
      <c r="H24" s="661">
        <f>IF(F24&lt;=30,(0.7*F24+1.45)*G24,((0.7*30+1.45)+0.58*(F24-30))*G24)</f>
        <v>3.9990000000000001</v>
      </c>
      <c r="I24" s="584">
        <v>33.1</v>
      </c>
      <c r="J24" s="592">
        <f t="shared" si="12"/>
        <v>37.099000000000004</v>
      </c>
      <c r="K24" s="593">
        <f t="shared" si="3"/>
        <v>45.15</v>
      </c>
      <c r="L24" s="594" t="s">
        <v>16</v>
      </c>
      <c r="M24" s="92">
        <v>6.88</v>
      </c>
      <c r="N24" s="92">
        <v>45.94</v>
      </c>
      <c r="O24" s="93">
        <f t="shared" ref="O24" si="13">IF(ISBLANK(M24),0,ROUND(K24*M24,2))</f>
        <v>310.63</v>
      </c>
      <c r="P24" s="93">
        <f t="shared" ref="P24" si="14">IF(ISBLANK(N24),0,ROUND(M24*N24,2))</f>
        <v>316.07</v>
      </c>
      <c r="Q24" s="94"/>
      <c r="R24" s="1111">
        <f t="shared" ref="R24" si="15">M24</f>
        <v>6.88</v>
      </c>
      <c r="S24" s="1111">
        <f>K24</f>
        <v>45.15</v>
      </c>
      <c r="T24" s="1112">
        <f t="shared" ref="T24" si="16">IF(ISBLANK(R24),0,ROUND(K24*R24,2))</f>
        <v>310.63</v>
      </c>
      <c r="U24" s="1113">
        <f t="shared" ref="U24" si="17">IF(ISBLANK(R24),0,ROUND(R24*S24,2))</f>
        <v>310.63</v>
      </c>
      <c r="V24" s="1114"/>
      <c r="X24" s="580" t="str">
        <f t="shared" si="0"/>
        <v>x</v>
      </c>
      <c r="Y24" s="580" t="str">
        <f t="shared" si="1"/>
        <v>x</v>
      </c>
      <c r="Z24" s="580" t="str">
        <f t="shared" si="2"/>
        <v>x</v>
      </c>
    </row>
    <row r="25" spans="1:26" hidden="1" x14ac:dyDescent="0.2">
      <c r="A25" s="1008">
        <v>810250</v>
      </c>
      <c r="B25" s="1010" t="s">
        <v>525</v>
      </c>
      <c r="C25" s="978" t="s">
        <v>212</v>
      </c>
      <c r="D25" s="595" t="s">
        <v>527</v>
      </c>
      <c r="E25" s="596"/>
      <c r="F25" s="994">
        <v>10</v>
      </c>
      <c r="G25" s="997">
        <f>ROUND(0.017*2.34,4)</f>
        <v>3.9800000000000002E-2</v>
      </c>
      <c r="H25" s="661">
        <f t="shared" ref="H25:H28" si="18">IF(F25&lt;=30,(0.7*F25+1.45)*G25,((0.7*30+1.45)+0.58*(F25-30))*G25)</f>
        <v>0.33631</v>
      </c>
      <c r="I25" s="592">
        <v>16.496431999999999</v>
      </c>
      <c r="J25" s="592">
        <f t="shared" ref="J25:J28" si="19">IF(ISBLANK(I25),"",SUM(H25:I25))</f>
        <v>16.832742</v>
      </c>
      <c r="K25" s="593">
        <f t="shared" si="3"/>
        <v>20.49</v>
      </c>
      <c r="L25" s="594" t="s">
        <v>19</v>
      </c>
      <c r="M25" s="92"/>
      <c r="N25" s="92"/>
      <c r="O25" s="93">
        <f t="shared" si="4"/>
        <v>0</v>
      </c>
      <c r="P25" s="93">
        <f t="shared" si="5"/>
        <v>0</v>
      </c>
      <c r="Q25" s="94"/>
      <c r="R25" s="92">
        <f t="shared" si="6"/>
        <v>0</v>
      </c>
      <c r="S25" s="92">
        <f t="shared" si="7"/>
        <v>0</v>
      </c>
      <c r="T25" s="93">
        <f t="shared" si="8"/>
        <v>0</v>
      </c>
      <c r="U25" s="95">
        <f t="shared" si="9"/>
        <v>0</v>
      </c>
      <c r="V25" s="94"/>
      <c r="X25" s="580" t="str">
        <f t="shared" si="0"/>
        <v/>
      </c>
      <c r="Y25" s="580" t="str">
        <f t="shared" si="1"/>
        <v/>
      </c>
      <c r="Z25" s="580" t="str">
        <f t="shared" si="2"/>
        <v/>
      </c>
    </row>
    <row r="26" spans="1:26" hidden="1" x14ac:dyDescent="0.2">
      <c r="A26" s="1008">
        <v>810250</v>
      </c>
      <c r="B26" s="1010" t="s">
        <v>526</v>
      </c>
      <c r="C26" s="978" t="s">
        <v>212</v>
      </c>
      <c r="D26" s="595" t="s">
        <v>789</v>
      </c>
      <c r="E26" s="596"/>
      <c r="F26" s="994">
        <v>10</v>
      </c>
      <c r="G26" s="997">
        <f>ROUND(0.01125*2.34,4)</f>
        <v>2.63E-2</v>
      </c>
      <c r="H26" s="661">
        <f t="shared" si="18"/>
        <v>0.22223499999999999</v>
      </c>
      <c r="I26" s="592">
        <v>10.852863999999999</v>
      </c>
      <c r="J26" s="592">
        <f t="shared" si="19"/>
        <v>11.075098999999998</v>
      </c>
      <c r="K26" s="593">
        <f t="shared" si="3"/>
        <v>13.48</v>
      </c>
      <c r="L26" s="594" t="s">
        <v>19</v>
      </c>
      <c r="M26" s="92"/>
      <c r="N26" s="92"/>
      <c r="O26" s="93">
        <f t="shared" si="4"/>
        <v>0</v>
      </c>
      <c r="P26" s="93">
        <f t="shared" si="5"/>
        <v>0</v>
      </c>
      <c r="Q26" s="94"/>
      <c r="R26" s="92">
        <f t="shared" si="6"/>
        <v>0</v>
      </c>
      <c r="S26" s="92">
        <f t="shared" si="7"/>
        <v>0</v>
      </c>
      <c r="T26" s="93">
        <f t="shared" si="8"/>
        <v>0</v>
      </c>
      <c r="U26" s="95">
        <f t="shared" si="9"/>
        <v>0</v>
      </c>
      <c r="V26" s="94"/>
      <c r="X26" s="580" t="str">
        <f t="shared" si="0"/>
        <v/>
      </c>
      <c r="Y26" s="580" t="str">
        <f t="shared" si="1"/>
        <v/>
      </c>
      <c r="Z26" s="580" t="str">
        <f t="shared" si="2"/>
        <v/>
      </c>
    </row>
    <row r="27" spans="1:26" hidden="1" x14ac:dyDescent="0.2">
      <c r="A27" s="1008">
        <v>810250</v>
      </c>
      <c r="B27" s="1010" t="s">
        <v>528</v>
      </c>
      <c r="C27" s="978" t="s">
        <v>212</v>
      </c>
      <c r="D27" s="595" t="s">
        <v>529</v>
      </c>
      <c r="E27" s="596"/>
      <c r="F27" s="994">
        <v>10</v>
      </c>
      <c r="G27" s="997">
        <f>ROUND(0.014*2.34,4)</f>
        <v>3.2800000000000003E-2</v>
      </c>
      <c r="H27" s="661">
        <f t="shared" si="18"/>
        <v>0.27716000000000002</v>
      </c>
      <c r="I27" s="592">
        <v>13.505891999999999</v>
      </c>
      <c r="J27" s="592">
        <f t="shared" si="19"/>
        <v>13.783052</v>
      </c>
      <c r="K27" s="593">
        <f t="shared" si="3"/>
        <v>16.78</v>
      </c>
      <c r="L27" s="594" t="s">
        <v>19</v>
      </c>
      <c r="M27" s="92"/>
      <c r="N27" s="92"/>
      <c r="O27" s="93">
        <f t="shared" si="4"/>
        <v>0</v>
      </c>
      <c r="P27" s="93">
        <f t="shared" si="5"/>
        <v>0</v>
      </c>
      <c r="Q27" s="94"/>
      <c r="R27" s="92">
        <f t="shared" si="6"/>
        <v>0</v>
      </c>
      <c r="S27" s="92">
        <f t="shared" si="7"/>
        <v>0</v>
      </c>
      <c r="T27" s="93">
        <f t="shared" si="8"/>
        <v>0</v>
      </c>
      <c r="U27" s="95">
        <f t="shared" si="9"/>
        <v>0</v>
      </c>
      <c r="V27" s="94"/>
      <c r="X27" s="580" t="str">
        <f t="shared" si="0"/>
        <v/>
      </c>
      <c r="Y27" s="580" t="str">
        <f t="shared" si="1"/>
        <v/>
      </c>
      <c r="Z27" s="580" t="str">
        <f t="shared" si="2"/>
        <v/>
      </c>
    </row>
    <row r="28" spans="1:26" hidden="1" x14ac:dyDescent="0.2">
      <c r="A28" s="1008" t="s">
        <v>521</v>
      </c>
      <c r="B28" s="1010" t="s">
        <v>1912</v>
      </c>
      <c r="C28" s="978" t="s">
        <v>523</v>
      </c>
      <c r="D28" s="595" t="s">
        <v>530</v>
      </c>
      <c r="E28" s="596"/>
      <c r="F28" s="994">
        <v>10</v>
      </c>
      <c r="G28" s="997">
        <f>ROUND(0.012*1.8,4)</f>
        <v>2.1600000000000001E-2</v>
      </c>
      <c r="H28" s="661">
        <f t="shared" si="18"/>
        <v>0.18251999999999999</v>
      </c>
      <c r="I28" s="592">
        <v>41.73</v>
      </c>
      <c r="J28" s="592">
        <f t="shared" si="19"/>
        <v>41.912519999999994</v>
      </c>
      <c r="K28" s="593">
        <f t="shared" si="3"/>
        <v>51.01</v>
      </c>
      <c r="L28" s="594" t="s">
        <v>19</v>
      </c>
      <c r="M28" s="92"/>
      <c r="N28" s="92"/>
      <c r="O28" s="93">
        <f t="shared" si="4"/>
        <v>0</v>
      </c>
      <c r="P28" s="93">
        <f t="shared" si="5"/>
        <v>0</v>
      </c>
      <c r="Q28" s="94"/>
      <c r="R28" s="92">
        <f t="shared" si="6"/>
        <v>0</v>
      </c>
      <c r="S28" s="92">
        <f t="shared" si="7"/>
        <v>0</v>
      </c>
      <c r="T28" s="93">
        <f t="shared" si="8"/>
        <v>0</v>
      </c>
      <c r="U28" s="95">
        <f t="shared" si="9"/>
        <v>0</v>
      </c>
      <c r="V28" s="94"/>
      <c r="X28" s="580" t="str">
        <f t="shared" si="0"/>
        <v/>
      </c>
      <c r="Y28" s="580" t="str">
        <f t="shared" si="1"/>
        <v/>
      </c>
      <c r="Z28" s="580" t="str">
        <f t="shared" si="2"/>
        <v/>
      </c>
    </row>
    <row r="29" spans="1:26" hidden="1" x14ac:dyDescent="0.2">
      <c r="A29" s="1008">
        <v>600310</v>
      </c>
      <c r="B29" s="1010" t="s">
        <v>1914</v>
      </c>
      <c r="C29" s="978" t="s">
        <v>212</v>
      </c>
      <c r="D29" s="589" t="s">
        <v>510</v>
      </c>
      <c r="E29" s="590"/>
      <c r="F29" s="601"/>
      <c r="G29" s="591"/>
      <c r="H29" s="908"/>
      <c r="I29" s="592">
        <v>113.81</v>
      </c>
      <c r="J29" s="592">
        <f t="shared" ref="J29:J32" si="20">IF(ISBLANK(I29),"",SUM(H29:I29))</f>
        <v>113.81</v>
      </c>
      <c r="K29" s="593">
        <f t="shared" si="3"/>
        <v>138.52000000000001</v>
      </c>
      <c r="L29" s="594" t="s">
        <v>21</v>
      </c>
      <c r="M29" s="92"/>
      <c r="N29" s="92"/>
      <c r="O29" s="93">
        <f t="shared" si="4"/>
        <v>0</v>
      </c>
      <c r="P29" s="93">
        <f t="shared" si="5"/>
        <v>0</v>
      </c>
      <c r="Q29" s="94"/>
      <c r="R29" s="92">
        <f t="shared" si="6"/>
        <v>0</v>
      </c>
      <c r="S29" s="92">
        <f t="shared" si="7"/>
        <v>0</v>
      </c>
      <c r="T29" s="93">
        <f t="shared" si="8"/>
        <v>0</v>
      </c>
      <c r="U29" s="95">
        <f t="shared" si="9"/>
        <v>0</v>
      </c>
      <c r="V29" s="94"/>
      <c r="X29" s="580" t="str">
        <f t="shared" si="0"/>
        <v/>
      </c>
      <c r="Y29" s="580" t="str">
        <f t="shared" si="1"/>
        <v/>
      </c>
      <c r="Z29" s="580" t="str">
        <f t="shared" si="2"/>
        <v/>
      </c>
    </row>
    <row r="30" spans="1:26" hidden="1" x14ac:dyDescent="0.2">
      <c r="A30" s="1008">
        <v>800900</v>
      </c>
      <c r="B30" s="1010" t="s">
        <v>1917</v>
      </c>
      <c r="C30" s="978" t="s">
        <v>212</v>
      </c>
      <c r="D30" s="589" t="s">
        <v>511</v>
      </c>
      <c r="E30" s="590"/>
      <c r="F30" s="601"/>
      <c r="G30" s="591"/>
      <c r="H30" s="908"/>
      <c r="I30" s="592">
        <v>9.91</v>
      </c>
      <c r="J30" s="592">
        <f t="shared" si="20"/>
        <v>9.91</v>
      </c>
      <c r="K30" s="593">
        <f t="shared" si="3"/>
        <v>12.06</v>
      </c>
      <c r="L30" s="594" t="s">
        <v>18</v>
      </c>
      <c r="M30" s="92"/>
      <c r="N30" s="92"/>
      <c r="O30" s="93">
        <f t="shared" si="4"/>
        <v>0</v>
      </c>
      <c r="P30" s="93">
        <f t="shared" si="5"/>
        <v>0</v>
      </c>
      <c r="Q30" s="94"/>
      <c r="R30" s="92">
        <f t="shared" si="6"/>
        <v>0</v>
      </c>
      <c r="S30" s="92">
        <f t="shared" si="7"/>
        <v>0</v>
      </c>
      <c r="T30" s="93">
        <f t="shared" si="8"/>
        <v>0</v>
      </c>
      <c r="U30" s="95">
        <f t="shared" si="9"/>
        <v>0</v>
      </c>
      <c r="V30" s="94"/>
      <c r="X30" s="580" t="str">
        <f t="shared" si="0"/>
        <v/>
      </c>
      <c r="Y30" s="580" t="str">
        <f t="shared" si="1"/>
        <v/>
      </c>
      <c r="Z30" s="580" t="str">
        <f t="shared" si="2"/>
        <v/>
      </c>
    </row>
    <row r="31" spans="1:26" hidden="1" x14ac:dyDescent="0.2">
      <c r="A31" s="1008">
        <v>801100</v>
      </c>
      <c r="B31" s="1010" t="s">
        <v>1919</v>
      </c>
      <c r="C31" s="978" t="s">
        <v>212</v>
      </c>
      <c r="D31" s="589" t="s">
        <v>308</v>
      </c>
      <c r="E31" s="590"/>
      <c r="F31" s="601"/>
      <c r="G31" s="591"/>
      <c r="H31" s="908"/>
      <c r="I31" s="592">
        <v>13.91</v>
      </c>
      <c r="J31" s="592">
        <f t="shared" si="20"/>
        <v>13.91</v>
      </c>
      <c r="K31" s="593">
        <f t="shared" si="3"/>
        <v>16.93</v>
      </c>
      <c r="L31" s="594" t="s">
        <v>18</v>
      </c>
      <c r="M31" s="92"/>
      <c r="N31" s="92"/>
      <c r="O31" s="93">
        <f t="shared" si="4"/>
        <v>0</v>
      </c>
      <c r="P31" s="95">
        <f t="shared" si="5"/>
        <v>0</v>
      </c>
      <c r="Q31" s="94"/>
      <c r="R31" s="598">
        <f t="shared" si="6"/>
        <v>0</v>
      </c>
      <c r="S31" s="599">
        <f t="shared" si="7"/>
        <v>0</v>
      </c>
      <c r="T31" s="93">
        <f t="shared" si="8"/>
        <v>0</v>
      </c>
      <c r="U31" s="95">
        <f t="shared" si="9"/>
        <v>0</v>
      </c>
      <c r="V31" s="94"/>
      <c r="X31" s="580" t="str">
        <f t="shared" si="0"/>
        <v/>
      </c>
      <c r="Y31" s="580" t="str">
        <f t="shared" si="1"/>
        <v/>
      </c>
      <c r="Z31" s="580" t="str">
        <f t="shared" si="2"/>
        <v/>
      </c>
    </row>
    <row r="32" spans="1:26" hidden="1" x14ac:dyDescent="0.2">
      <c r="A32" s="1008">
        <v>600510</v>
      </c>
      <c r="B32" s="1010" t="s">
        <v>1921</v>
      </c>
      <c r="C32" s="978" t="s">
        <v>212</v>
      </c>
      <c r="D32" s="589" t="s">
        <v>512</v>
      </c>
      <c r="E32" s="590"/>
      <c r="F32" s="601"/>
      <c r="G32" s="591"/>
      <c r="H32" s="908"/>
      <c r="I32" s="592">
        <v>1.8800000000000001</v>
      </c>
      <c r="J32" s="592">
        <f t="shared" si="20"/>
        <v>1.8800000000000001</v>
      </c>
      <c r="K32" s="593">
        <f t="shared" si="3"/>
        <v>2.29</v>
      </c>
      <c r="L32" s="594" t="s">
        <v>19</v>
      </c>
      <c r="M32" s="92"/>
      <c r="N32" s="92"/>
      <c r="O32" s="93">
        <f t="shared" si="4"/>
        <v>0</v>
      </c>
      <c r="P32" s="95">
        <f t="shared" si="5"/>
        <v>0</v>
      </c>
      <c r="Q32" s="94"/>
      <c r="R32" s="598">
        <f t="shared" si="6"/>
        <v>0</v>
      </c>
      <c r="S32" s="599">
        <f t="shared" si="7"/>
        <v>0</v>
      </c>
      <c r="T32" s="93">
        <f t="shared" si="8"/>
        <v>0</v>
      </c>
      <c r="U32" s="95">
        <f t="shared" si="9"/>
        <v>0</v>
      </c>
      <c r="V32" s="94"/>
      <c r="X32" s="580" t="str">
        <f t="shared" si="0"/>
        <v/>
      </c>
      <c r="Y32" s="580" t="str">
        <f t="shared" si="1"/>
        <v/>
      </c>
      <c r="Z32" s="580" t="str">
        <f t="shared" si="2"/>
        <v/>
      </c>
    </row>
    <row r="33" spans="1:26" ht="25.5" hidden="1" x14ac:dyDescent="0.2">
      <c r="A33" s="1008" t="s">
        <v>1863</v>
      </c>
      <c r="B33" s="1010" t="s">
        <v>1863</v>
      </c>
      <c r="C33" s="978" t="s">
        <v>1869</v>
      </c>
      <c r="D33" s="909" t="s">
        <v>1864</v>
      </c>
      <c r="E33" s="596"/>
      <c r="F33" s="671"/>
      <c r="G33" s="597"/>
      <c r="H33" s="682"/>
      <c r="I33" s="592">
        <v>3199.34</v>
      </c>
      <c r="J33" s="592">
        <f>IF(ISBLANK(I33),"",SUM(H33:I33))</f>
        <v>3199.34</v>
      </c>
      <c r="K33" s="593">
        <f t="shared" si="3"/>
        <v>3893.92</v>
      </c>
      <c r="L33" s="594" t="s">
        <v>21</v>
      </c>
      <c r="M33" s="92"/>
      <c r="N33" s="92"/>
      <c r="O33" s="93">
        <f t="shared" si="4"/>
        <v>0</v>
      </c>
      <c r="P33" s="95">
        <f t="shared" si="5"/>
        <v>0</v>
      </c>
      <c r="Q33" s="94"/>
      <c r="R33" s="598">
        <f t="shared" si="6"/>
        <v>0</v>
      </c>
      <c r="S33" s="599">
        <f t="shared" si="7"/>
        <v>0</v>
      </c>
      <c r="T33" s="93">
        <f t="shared" si="8"/>
        <v>0</v>
      </c>
      <c r="U33" s="95">
        <f t="shared" si="9"/>
        <v>0</v>
      </c>
      <c r="V33" s="94"/>
      <c r="W33" s="579"/>
      <c r="X33" s="580" t="str">
        <f t="shared" si="0"/>
        <v/>
      </c>
      <c r="Y33" s="580" t="str">
        <f t="shared" si="1"/>
        <v/>
      </c>
      <c r="Z33" s="580" t="str">
        <f t="shared" si="2"/>
        <v/>
      </c>
    </row>
    <row r="34" spans="1:26" ht="25.5" x14ac:dyDescent="0.2">
      <c r="A34" s="1008" t="s">
        <v>1865</v>
      </c>
      <c r="B34" s="1107" t="s">
        <v>2048</v>
      </c>
      <c r="C34" s="1108" t="s">
        <v>1869</v>
      </c>
      <c r="D34" s="1115" t="s">
        <v>1866</v>
      </c>
      <c r="E34" s="1110"/>
      <c r="F34" s="671"/>
      <c r="G34" s="597"/>
      <c r="H34" s="682"/>
      <c r="I34" s="592">
        <v>1752.27</v>
      </c>
      <c r="J34" s="592">
        <f>IF(ISBLANK(I34),"",SUM(H34:I34))</f>
        <v>1752.27</v>
      </c>
      <c r="K34" s="593">
        <f t="shared" si="3"/>
        <v>2132.69</v>
      </c>
      <c r="L34" s="594" t="s">
        <v>21</v>
      </c>
      <c r="M34" s="92">
        <v>1</v>
      </c>
      <c r="N34" s="92">
        <v>2169.84</v>
      </c>
      <c r="O34" s="93">
        <f t="shared" si="4"/>
        <v>2132.69</v>
      </c>
      <c r="P34" s="95">
        <f t="shared" si="5"/>
        <v>2169.84</v>
      </c>
      <c r="Q34" s="94"/>
      <c r="R34" s="1116">
        <f t="shared" si="6"/>
        <v>1</v>
      </c>
      <c r="S34" s="1117">
        <f>K34</f>
        <v>2132.69</v>
      </c>
      <c r="T34" s="1112">
        <f t="shared" si="8"/>
        <v>2132.69</v>
      </c>
      <c r="U34" s="1113">
        <f t="shared" si="9"/>
        <v>2132.69</v>
      </c>
      <c r="V34" s="1114"/>
      <c r="W34" s="579"/>
      <c r="X34" s="580" t="str">
        <f t="shared" si="0"/>
        <v>x</v>
      </c>
      <c r="Y34" s="580" t="str">
        <f t="shared" si="1"/>
        <v>x</v>
      </c>
      <c r="Z34" s="580" t="str">
        <f t="shared" si="2"/>
        <v>x</v>
      </c>
    </row>
    <row r="35" spans="1:26" hidden="1" x14ac:dyDescent="0.2">
      <c r="A35" s="1008" t="s">
        <v>1867</v>
      </c>
      <c r="B35" s="1010" t="s">
        <v>1867</v>
      </c>
      <c r="C35" s="978" t="s">
        <v>1869</v>
      </c>
      <c r="D35" s="909" t="s">
        <v>1868</v>
      </c>
      <c r="E35" s="596"/>
      <c r="F35" s="671"/>
      <c r="G35" s="597"/>
      <c r="H35" s="682"/>
      <c r="I35" s="592">
        <v>112.45</v>
      </c>
      <c r="J35" s="592">
        <f>IF(ISBLANK(I35),"",SUM(H35:I35))</f>
        <v>112.45</v>
      </c>
      <c r="K35" s="593">
        <f t="shared" si="3"/>
        <v>136.86000000000001</v>
      </c>
      <c r="L35" s="594" t="s">
        <v>21</v>
      </c>
      <c r="M35" s="92"/>
      <c r="N35" s="92"/>
      <c r="O35" s="93">
        <f t="shared" si="4"/>
        <v>0</v>
      </c>
      <c r="P35" s="95">
        <f t="shared" si="5"/>
        <v>0</v>
      </c>
      <c r="Q35" s="94"/>
      <c r="R35" s="598">
        <f t="shared" si="6"/>
        <v>0</v>
      </c>
      <c r="S35" s="599">
        <f t="shared" si="7"/>
        <v>0</v>
      </c>
      <c r="T35" s="93">
        <f t="shared" si="8"/>
        <v>0</v>
      </c>
      <c r="U35" s="95">
        <f t="shared" si="9"/>
        <v>0</v>
      </c>
      <c r="V35" s="94"/>
      <c r="W35" s="600"/>
      <c r="X35" s="580" t="str">
        <f t="shared" si="0"/>
        <v/>
      </c>
      <c r="Y35" s="580" t="str">
        <f t="shared" si="1"/>
        <v/>
      </c>
      <c r="Z35" s="580" t="str">
        <f t="shared" si="2"/>
        <v/>
      </c>
    </row>
    <row r="36" spans="1:26" hidden="1" x14ac:dyDescent="0.2">
      <c r="A36" s="1008">
        <v>841000</v>
      </c>
      <c r="B36" s="1010" t="s">
        <v>1923</v>
      </c>
      <c r="C36" s="978" t="s">
        <v>212</v>
      </c>
      <c r="D36" s="589" t="s">
        <v>513</v>
      </c>
      <c r="E36" s="590"/>
      <c r="F36" s="601"/>
      <c r="G36" s="591"/>
      <c r="H36" s="908"/>
      <c r="I36" s="592">
        <v>10.57</v>
      </c>
      <c r="J36" s="592">
        <f>IF(ISBLANK(I36),"",SUM(H36:I36))</f>
        <v>10.57</v>
      </c>
      <c r="K36" s="593">
        <f t="shared" si="3"/>
        <v>12.86</v>
      </c>
      <c r="L36" s="594" t="s">
        <v>19</v>
      </c>
      <c r="M36" s="92"/>
      <c r="N36" s="92"/>
      <c r="O36" s="93">
        <f t="shared" si="4"/>
        <v>0</v>
      </c>
      <c r="P36" s="95">
        <f t="shared" si="5"/>
        <v>0</v>
      </c>
      <c r="Q36" s="94"/>
      <c r="R36" s="598">
        <f t="shared" si="6"/>
        <v>0</v>
      </c>
      <c r="S36" s="599">
        <f t="shared" si="7"/>
        <v>0</v>
      </c>
      <c r="T36" s="93">
        <f t="shared" si="8"/>
        <v>0</v>
      </c>
      <c r="U36" s="95">
        <f t="shared" si="9"/>
        <v>0</v>
      </c>
      <c r="V36" s="94"/>
      <c r="X36" s="580" t="str">
        <f t="shared" si="0"/>
        <v/>
      </c>
      <c r="Y36" s="580" t="str">
        <f t="shared" si="1"/>
        <v/>
      </c>
      <c r="Z36" s="580" t="str">
        <f t="shared" si="2"/>
        <v/>
      </c>
    </row>
    <row r="37" spans="1:26" x14ac:dyDescent="0.2">
      <c r="A37" s="1008">
        <v>840000</v>
      </c>
      <c r="B37" s="1107" t="s">
        <v>1925</v>
      </c>
      <c r="C37" s="1108" t="s">
        <v>212</v>
      </c>
      <c r="D37" s="1118" t="s">
        <v>294</v>
      </c>
      <c r="E37" s="1119"/>
      <c r="F37" s="601"/>
      <c r="G37" s="591"/>
      <c r="H37" s="908"/>
      <c r="I37" s="592">
        <v>29.17</v>
      </c>
      <c r="J37" s="592">
        <f>IF(ISBLANK(I37),"",SUM(H37:I37))</f>
        <v>29.17</v>
      </c>
      <c r="K37" s="593">
        <f t="shared" si="3"/>
        <v>35.5</v>
      </c>
      <c r="L37" s="594" t="s">
        <v>19</v>
      </c>
      <c r="M37" s="92">
        <v>82</v>
      </c>
      <c r="N37" s="92">
        <v>36.119999999999997</v>
      </c>
      <c r="O37" s="93">
        <f t="shared" ref="O37:O40" si="21">IF(ISBLANK(M37),0,ROUND(K37*M37,2))</f>
        <v>2911</v>
      </c>
      <c r="P37" s="95">
        <f t="shared" ref="P37:P40" si="22">IF(ISBLANK(N37),0,ROUND(M37*N37,2))</f>
        <v>2961.84</v>
      </c>
      <c r="Q37" s="94"/>
      <c r="R37" s="1116">
        <f t="shared" ref="R37:R40" si="23">M37</f>
        <v>82</v>
      </c>
      <c r="S37" s="1117">
        <f>K37</f>
        <v>35.5</v>
      </c>
      <c r="T37" s="1112">
        <f t="shared" ref="T37:T40" si="24">IF(ISBLANK(R37),0,ROUND(K37*R37,2))</f>
        <v>2911</v>
      </c>
      <c r="U37" s="1113">
        <f t="shared" ref="U37:U40" si="25">IF(ISBLANK(R37),0,ROUND(R37*S37,2))</f>
        <v>2911</v>
      </c>
      <c r="V37" s="1114"/>
      <c r="X37" s="580" t="str">
        <f t="shared" si="0"/>
        <v>x</v>
      </c>
      <c r="Y37" s="580" t="str">
        <f t="shared" si="1"/>
        <v>x</v>
      </c>
      <c r="Z37" s="580" t="str">
        <f t="shared" si="2"/>
        <v>x</v>
      </c>
    </row>
    <row r="38" spans="1:26" hidden="1" x14ac:dyDescent="0.2">
      <c r="A38" s="1008">
        <v>100981</v>
      </c>
      <c r="B38" s="1010">
        <v>100981</v>
      </c>
      <c r="C38" s="978" t="s">
        <v>883</v>
      </c>
      <c r="D38" s="589" t="s">
        <v>759</v>
      </c>
      <c r="E38" s="590"/>
      <c r="F38" s="601"/>
      <c r="G38" s="591"/>
      <c r="H38" s="908"/>
      <c r="I38" s="592">
        <v>6.09</v>
      </c>
      <c r="J38" s="592">
        <f t="shared" ref="J38:J39" si="26">IF(ISBLANK(I38),"",SUM(H38:I38))</f>
        <v>6.09</v>
      </c>
      <c r="K38" s="593">
        <f t="shared" si="3"/>
        <v>7.41</v>
      </c>
      <c r="L38" s="594" t="s">
        <v>16</v>
      </c>
      <c r="M38" s="92"/>
      <c r="N38" s="92"/>
      <c r="O38" s="93">
        <f t="shared" si="21"/>
        <v>0</v>
      </c>
      <c r="P38" s="95">
        <f t="shared" si="22"/>
        <v>0</v>
      </c>
      <c r="Q38" s="94"/>
      <c r="R38" s="598">
        <f t="shared" si="23"/>
        <v>0</v>
      </c>
      <c r="S38" s="599">
        <f t="shared" ref="S38:S40" si="27">N38</f>
        <v>0</v>
      </c>
      <c r="T38" s="93">
        <f t="shared" si="24"/>
        <v>0</v>
      </c>
      <c r="U38" s="95">
        <f t="shared" si="25"/>
        <v>0</v>
      </c>
      <c r="V38" s="94"/>
      <c r="X38" s="580" t="str">
        <f t="shared" si="0"/>
        <v/>
      </c>
      <c r="Y38" s="580" t="str">
        <f t="shared" si="1"/>
        <v/>
      </c>
      <c r="Z38" s="580" t="str">
        <f t="shared" si="2"/>
        <v/>
      </c>
    </row>
    <row r="39" spans="1:26" hidden="1" x14ac:dyDescent="0.2">
      <c r="A39" s="1008">
        <v>97623</v>
      </c>
      <c r="B39" s="1010" t="s">
        <v>2051</v>
      </c>
      <c r="C39" s="978" t="s">
        <v>883</v>
      </c>
      <c r="D39" s="589" t="s">
        <v>2052</v>
      </c>
      <c r="E39" s="590"/>
      <c r="F39" s="601"/>
      <c r="G39" s="591"/>
      <c r="H39" s="908"/>
      <c r="I39" s="592">
        <v>155.36000000000001</v>
      </c>
      <c r="J39" s="592">
        <f t="shared" si="26"/>
        <v>155.36000000000001</v>
      </c>
      <c r="K39" s="593">
        <f t="shared" si="3"/>
        <v>189.09</v>
      </c>
      <c r="L39" s="594" t="s">
        <v>16</v>
      </c>
      <c r="M39" s="92"/>
      <c r="N39" s="92"/>
      <c r="O39" s="93">
        <f t="shared" si="21"/>
        <v>0</v>
      </c>
      <c r="P39" s="95">
        <f t="shared" si="22"/>
        <v>0</v>
      </c>
      <c r="Q39" s="94"/>
      <c r="R39" s="598">
        <f t="shared" si="23"/>
        <v>0</v>
      </c>
      <c r="S39" s="599">
        <f t="shared" si="27"/>
        <v>0</v>
      </c>
      <c r="T39" s="93">
        <f t="shared" si="24"/>
        <v>0</v>
      </c>
      <c r="U39" s="95">
        <f t="shared" si="25"/>
        <v>0</v>
      </c>
      <c r="V39" s="94"/>
      <c r="X39" s="580" t="str">
        <f t="shared" si="0"/>
        <v/>
      </c>
      <c r="Y39" s="580" t="str">
        <f t="shared" si="1"/>
        <v/>
      </c>
      <c r="Z39" s="580" t="str">
        <f t="shared" si="2"/>
        <v/>
      </c>
    </row>
    <row r="40" spans="1:26" hidden="1" x14ac:dyDescent="0.2">
      <c r="A40" s="1008">
        <v>97624</v>
      </c>
      <c r="B40" s="1010" t="s">
        <v>2049</v>
      </c>
      <c r="C40" s="978" t="s">
        <v>883</v>
      </c>
      <c r="D40" s="589" t="s">
        <v>2053</v>
      </c>
      <c r="E40" s="590"/>
      <c r="F40" s="601"/>
      <c r="G40" s="591"/>
      <c r="H40" s="908"/>
      <c r="I40" s="592">
        <v>95.35</v>
      </c>
      <c r="J40" s="592">
        <f>IF(ISBLANK(I40),"",SUM(H40:I40))</f>
        <v>95.35</v>
      </c>
      <c r="K40" s="593">
        <f t="shared" ref="K40" si="28">IF(ISBLANK(I40),0,ROUND(J40*(1+$F$10)*(1+$F$11*E40),2))</f>
        <v>116.05</v>
      </c>
      <c r="L40" s="594" t="s">
        <v>16</v>
      </c>
      <c r="M40" s="92"/>
      <c r="N40" s="92"/>
      <c r="O40" s="93">
        <f t="shared" si="21"/>
        <v>0</v>
      </c>
      <c r="P40" s="95">
        <f t="shared" si="22"/>
        <v>0</v>
      </c>
      <c r="Q40" s="94"/>
      <c r="R40" s="598">
        <f t="shared" si="23"/>
        <v>0</v>
      </c>
      <c r="S40" s="599">
        <f t="shared" si="27"/>
        <v>0</v>
      </c>
      <c r="T40" s="93">
        <f t="shared" si="24"/>
        <v>0</v>
      </c>
      <c r="U40" s="95">
        <f t="shared" si="25"/>
        <v>0</v>
      </c>
      <c r="V40" s="94"/>
      <c r="X40" s="580" t="str">
        <f t="shared" ref="X40" si="29">IF(W40="X","x",IF(W40="xx","x",IF(W40="xy","x",IF(W40="y","x",IF(OR(P40&gt;0,U40&gt;0),"x","")))))</f>
        <v/>
      </c>
      <c r="Y40" s="580" t="str">
        <f t="shared" ref="Y40" si="30">IF(W40="X","x",IF(W40="y","x",IF(W40="xx","x",IF(U40&gt;0,"x",""))))</f>
        <v/>
      </c>
      <c r="Z40" s="580" t="str">
        <f t="shared" ref="Z40" si="31">IF(W40="X","x",IF(U40&gt;0,"x",""))</f>
        <v/>
      </c>
    </row>
    <row r="41" spans="1:26" hidden="1" x14ac:dyDescent="0.2">
      <c r="A41" s="1008">
        <v>606500</v>
      </c>
      <c r="B41" s="1010" t="s">
        <v>2054</v>
      </c>
      <c r="C41" s="978" t="s">
        <v>212</v>
      </c>
      <c r="D41" s="589" t="s">
        <v>540</v>
      </c>
      <c r="E41" s="590"/>
      <c r="F41" s="601"/>
      <c r="G41" s="591"/>
      <c r="H41" s="908"/>
      <c r="I41" s="592">
        <v>154.16</v>
      </c>
      <c r="J41" s="592">
        <f>IF(ISBLANK(I41),"",SUM(H41:I41))</f>
        <v>154.16</v>
      </c>
      <c r="K41" s="593">
        <f t="shared" si="3"/>
        <v>187.63</v>
      </c>
      <c r="L41" s="594" t="s">
        <v>16</v>
      </c>
      <c r="M41" s="92"/>
      <c r="N41" s="92"/>
      <c r="O41" s="93">
        <f t="shared" si="4"/>
        <v>0</v>
      </c>
      <c r="P41" s="95">
        <f t="shared" si="5"/>
        <v>0</v>
      </c>
      <c r="Q41" s="94"/>
      <c r="R41" s="598">
        <f t="shared" si="6"/>
        <v>0</v>
      </c>
      <c r="S41" s="599">
        <f t="shared" si="7"/>
        <v>0</v>
      </c>
      <c r="T41" s="93">
        <f t="shared" si="8"/>
        <v>0</v>
      </c>
      <c r="U41" s="95">
        <f t="shared" si="9"/>
        <v>0</v>
      </c>
      <c r="V41" s="94"/>
      <c r="X41" s="580" t="str">
        <f t="shared" si="0"/>
        <v/>
      </c>
      <c r="Y41" s="580" t="str">
        <f t="shared" si="1"/>
        <v/>
      </c>
      <c r="Z41" s="580" t="str">
        <f t="shared" si="2"/>
        <v/>
      </c>
    </row>
    <row r="42" spans="1:26" hidden="1" x14ac:dyDescent="0.2">
      <c r="A42" s="602" t="s">
        <v>187</v>
      </c>
      <c r="B42" s="1013" t="s">
        <v>187</v>
      </c>
      <c r="C42" s="1014"/>
      <c r="D42" s="603" t="s">
        <v>500</v>
      </c>
      <c r="E42" s="910"/>
      <c r="F42" s="676"/>
      <c r="G42" s="604"/>
      <c r="H42" s="911"/>
      <c r="I42" s="605"/>
      <c r="J42" s="605"/>
      <c r="K42" s="605"/>
      <c r="L42" s="605" t="s">
        <v>783</v>
      </c>
      <c r="M42" s="606"/>
      <c r="N42" s="605"/>
      <c r="O42" s="605"/>
      <c r="P42" s="607"/>
      <c r="Q42" s="94"/>
      <c r="R42" s="606"/>
      <c r="S42" s="605"/>
      <c r="T42" s="605"/>
      <c r="U42" s="607"/>
      <c r="V42" s="94"/>
      <c r="W42" s="579" t="str">
        <f>IF(OR(SUM(P43:P67)&gt;0,SUM(U43:U67)&gt;0),"y","")</f>
        <v>y</v>
      </c>
      <c r="X42" s="580" t="str">
        <f t="shared" si="0"/>
        <v>x</v>
      </c>
      <c r="Y42" s="580" t="str">
        <f t="shared" si="1"/>
        <v>x</v>
      </c>
      <c r="Z42" s="580" t="str">
        <f t="shared" si="2"/>
        <v/>
      </c>
    </row>
    <row r="43" spans="1:26" hidden="1" x14ac:dyDescent="0.2">
      <c r="A43" s="1086">
        <v>43647</v>
      </c>
      <c r="B43" s="1015" t="s">
        <v>2237</v>
      </c>
      <c r="C43" s="1016" t="s">
        <v>2238</v>
      </c>
      <c r="D43" s="608" t="s">
        <v>2239</v>
      </c>
      <c r="E43" s="609"/>
      <c r="F43" s="677"/>
      <c r="G43" s="610"/>
      <c r="H43" s="611"/>
      <c r="I43" s="592">
        <v>9.1199999999999992</v>
      </c>
      <c r="J43" s="592">
        <v>9.1199999999999992</v>
      </c>
      <c r="K43" s="593">
        <f t="shared" ref="K43:K67" si="32">IF(ISBLANK(J43),0,ROUND(J43*(1+$F$10)*(1+$F$11*E43),2))</f>
        <v>11.1</v>
      </c>
      <c r="L43" s="615" t="s">
        <v>18</v>
      </c>
      <c r="M43" s="92"/>
      <c r="N43" s="92">
        <v>11.1</v>
      </c>
      <c r="O43" s="93">
        <f t="shared" ref="O43:O67" si="33">IF(ISBLANK(M43),0,ROUND(K43*M43,2))</f>
        <v>0</v>
      </c>
      <c r="P43" s="95">
        <f t="shared" ref="P43:P67" si="34">IF(ISBLANK(N43),0,ROUND(M43*N43,2))</f>
        <v>0</v>
      </c>
      <c r="Q43" s="94"/>
      <c r="R43" s="92">
        <f t="shared" ref="R43:R44" si="35">M43</f>
        <v>0</v>
      </c>
      <c r="S43" s="92">
        <f t="shared" ref="S43:S44" si="36">N43</f>
        <v>11.1</v>
      </c>
      <c r="T43" s="93">
        <f t="shared" ref="T43:T67" si="37">IF(ISBLANK(R43),0,ROUND(K43*R43,2))</f>
        <v>0</v>
      </c>
      <c r="U43" s="95">
        <f t="shared" ref="U43:U67" si="38">IF(ISBLANK(R43),0,ROUND(R43*S43,2))</f>
        <v>0</v>
      </c>
      <c r="V43" s="94"/>
      <c r="X43" s="580" t="str">
        <f t="shared" si="0"/>
        <v/>
      </c>
      <c r="Y43" s="580" t="str">
        <f t="shared" si="1"/>
        <v/>
      </c>
      <c r="Z43" s="580" t="str">
        <f t="shared" si="2"/>
        <v/>
      </c>
    </row>
    <row r="44" spans="1:26" hidden="1" x14ac:dyDescent="0.2">
      <c r="A44" s="1086">
        <v>43647</v>
      </c>
      <c r="B44" s="1015" t="s">
        <v>2240</v>
      </c>
      <c r="C44" s="1016" t="s">
        <v>2238</v>
      </c>
      <c r="D44" s="616" t="s">
        <v>2241</v>
      </c>
      <c r="E44" s="609"/>
      <c r="F44" s="677"/>
      <c r="G44" s="610"/>
      <c r="H44" s="611"/>
      <c r="I44" s="592">
        <v>9.1199999999999992</v>
      </c>
      <c r="J44" s="592">
        <v>9.1199999999999992</v>
      </c>
      <c r="K44" s="585">
        <f t="shared" si="32"/>
        <v>11.1</v>
      </c>
      <c r="L44" s="615" t="s">
        <v>18</v>
      </c>
      <c r="M44" s="92"/>
      <c r="N44" s="92">
        <v>11.1</v>
      </c>
      <c r="O44" s="93">
        <f>IF(ISBLANK(M44),0,ROUND(K44*M44,2))</f>
        <v>0</v>
      </c>
      <c r="P44" s="93">
        <f t="shared" si="34"/>
        <v>0</v>
      </c>
      <c r="Q44" s="94"/>
      <c r="R44" s="92">
        <f t="shared" si="35"/>
        <v>0</v>
      </c>
      <c r="S44" s="92">
        <f t="shared" si="36"/>
        <v>11.1</v>
      </c>
      <c r="T44" s="93">
        <f t="shared" si="37"/>
        <v>0</v>
      </c>
      <c r="U44" s="618">
        <f t="shared" si="38"/>
        <v>0</v>
      </c>
      <c r="V44" s="94"/>
      <c r="X44" s="580" t="str">
        <f t="shared" si="0"/>
        <v/>
      </c>
      <c r="Y44" s="580" t="str">
        <f t="shared" si="1"/>
        <v/>
      </c>
      <c r="Z44" s="580" t="str">
        <f t="shared" si="2"/>
        <v/>
      </c>
    </row>
    <row r="45" spans="1:26" ht="13.5" thickBot="1" x14ac:dyDescent="0.25">
      <c r="A45" s="602" t="s">
        <v>187</v>
      </c>
      <c r="B45" s="1120" t="s">
        <v>2263</v>
      </c>
      <c r="C45" s="1121" t="s">
        <v>523</v>
      </c>
      <c r="D45" s="1122" t="s">
        <v>2264</v>
      </c>
      <c r="E45" s="1123"/>
      <c r="F45" s="677"/>
      <c r="G45" s="610"/>
      <c r="H45" s="611"/>
      <c r="I45" s="592">
        <v>9.1199999999999992</v>
      </c>
      <c r="J45" s="592">
        <v>9.1199999999999992</v>
      </c>
      <c r="K45" s="585">
        <f t="shared" si="32"/>
        <v>11.1</v>
      </c>
      <c r="L45" s="615" t="s">
        <v>18</v>
      </c>
      <c r="M45" s="92">
        <v>34.35</v>
      </c>
      <c r="N45" s="92">
        <v>11.29</v>
      </c>
      <c r="O45" s="93">
        <f t="shared" si="33"/>
        <v>381.29</v>
      </c>
      <c r="P45" s="93">
        <f t="shared" si="34"/>
        <v>387.81</v>
      </c>
      <c r="Q45" s="94"/>
      <c r="R45" s="1111">
        <f t="shared" ref="R45:R67" si="39">M45</f>
        <v>34.35</v>
      </c>
      <c r="S45" s="1111">
        <f>K45</f>
        <v>11.1</v>
      </c>
      <c r="T45" s="1112">
        <f t="shared" si="37"/>
        <v>381.29</v>
      </c>
      <c r="U45" s="1113">
        <f t="shared" si="38"/>
        <v>381.29</v>
      </c>
      <c r="V45" s="1114"/>
      <c r="X45" s="580" t="str">
        <f t="shared" si="0"/>
        <v>x</v>
      </c>
      <c r="Y45" s="580" t="str">
        <f t="shared" si="1"/>
        <v>x</v>
      </c>
      <c r="Z45" s="580" t="str">
        <f t="shared" si="2"/>
        <v>x</v>
      </c>
    </row>
    <row r="46" spans="1:26" ht="13.5" hidden="1" thickBot="1" x14ac:dyDescent="0.25">
      <c r="A46" s="602" t="s">
        <v>187</v>
      </c>
      <c r="B46" s="1015" t="s">
        <v>187</v>
      </c>
      <c r="C46" s="1016" t="s">
        <v>187</v>
      </c>
      <c r="D46" s="616"/>
      <c r="E46" s="609"/>
      <c r="F46" s="677"/>
      <c r="G46" s="610"/>
      <c r="H46" s="611"/>
      <c r="I46" s="612"/>
      <c r="J46" s="613"/>
      <c r="K46" s="617">
        <f t="shared" si="32"/>
        <v>0</v>
      </c>
      <c r="L46" s="615" t="s">
        <v>783</v>
      </c>
      <c r="M46" s="92"/>
      <c r="N46" s="92"/>
      <c r="O46" s="93">
        <f t="shared" si="33"/>
        <v>0</v>
      </c>
      <c r="P46" s="93">
        <f t="shared" si="34"/>
        <v>0</v>
      </c>
      <c r="Q46" s="94"/>
      <c r="R46" s="92">
        <f t="shared" si="39"/>
        <v>0</v>
      </c>
      <c r="S46" s="92">
        <f t="shared" ref="S46:S67" si="40">N46</f>
        <v>0</v>
      </c>
      <c r="T46" s="93">
        <f t="shared" si="37"/>
        <v>0</v>
      </c>
      <c r="U46" s="95">
        <f t="shared" si="38"/>
        <v>0</v>
      </c>
      <c r="V46" s="94"/>
      <c r="X46" s="580" t="str">
        <f t="shared" si="0"/>
        <v/>
      </c>
      <c r="Y46" s="580" t="str">
        <f t="shared" si="1"/>
        <v/>
      </c>
      <c r="Z46" s="580" t="str">
        <f t="shared" si="2"/>
        <v/>
      </c>
    </row>
    <row r="47" spans="1:26" ht="13.5" hidden="1" thickBot="1" x14ac:dyDescent="0.25">
      <c r="A47" s="602" t="s">
        <v>187</v>
      </c>
      <c r="B47" s="1015" t="s">
        <v>187</v>
      </c>
      <c r="C47" s="1016" t="s">
        <v>187</v>
      </c>
      <c r="D47" s="616"/>
      <c r="E47" s="609"/>
      <c r="F47" s="677"/>
      <c r="G47" s="610"/>
      <c r="H47" s="611"/>
      <c r="I47" s="612"/>
      <c r="J47" s="613"/>
      <c r="K47" s="617">
        <f t="shared" si="32"/>
        <v>0</v>
      </c>
      <c r="L47" s="615" t="s">
        <v>783</v>
      </c>
      <c r="M47" s="92"/>
      <c r="N47" s="92"/>
      <c r="O47" s="93">
        <f t="shared" si="33"/>
        <v>0</v>
      </c>
      <c r="P47" s="93">
        <f t="shared" si="34"/>
        <v>0</v>
      </c>
      <c r="Q47" s="94"/>
      <c r="R47" s="92">
        <f t="shared" si="39"/>
        <v>0</v>
      </c>
      <c r="S47" s="92">
        <f t="shared" si="40"/>
        <v>0</v>
      </c>
      <c r="T47" s="93">
        <f t="shared" si="37"/>
        <v>0</v>
      </c>
      <c r="U47" s="95">
        <f t="shared" si="38"/>
        <v>0</v>
      </c>
      <c r="V47" s="94"/>
      <c r="X47" s="580" t="str">
        <f t="shared" si="0"/>
        <v/>
      </c>
      <c r="Y47" s="580" t="str">
        <f t="shared" si="1"/>
        <v/>
      </c>
      <c r="Z47" s="580" t="str">
        <f t="shared" si="2"/>
        <v/>
      </c>
    </row>
    <row r="48" spans="1:26" ht="13.5" hidden="1" thickBot="1" x14ac:dyDescent="0.25">
      <c r="A48" s="602" t="s">
        <v>187</v>
      </c>
      <c r="B48" s="1015" t="s">
        <v>187</v>
      </c>
      <c r="C48" s="1016" t="s">
        <v>187</v>
      </c>
      <c r="D48" s="616"/>
      <c r="E48" s="609"/>
      <c r="F48" s="677"/>
      <c r="G48" s="610"/>
      <c r="H48" s="611"/>
      <c r="I48" s="612"/>
      <c r="J48" s="613"/>
      <c r="K48" s="617">
        <f t="shared" si="32"/>
        <v>0</v>
      </c>
      <c r="L48" s="615" t="s">
        <v>783</v>
      </c>
      <c r="M48" s="92"/>
      <c r="N48" s="92"/>
      <c r="O48" s="93">
        <f t="shared" si="33"/>
        <v>0</v>
      </c>
      <c r="P48" s="93">
        <f t="shared" si="34"/>
        <v>0</v>
      </c>
      <c r="Q48" s="94"/>
      <c r="R48" s="92">
        <f t="shared" si="39"/>
        <v>0</v>
      </c>
      <c r="S48" s="92">
        <f t="shared" si="40"/>
        <v>0</v>
      </c>
      <c r="T48" s="93">
        <f t="shared" si="37"/>
        <v>0</v>
      </c>
      <c r="U48" s="95">
        <f t="shared" si="38"/>
        <v>0</v>
      </c>
      <c r="V48" s="94"/>
      <c r="X48" s="580" t="str">
        <f t="shared" si="0"/>
        <v/>
      </c>
      <c r="Y48" s="580" t="str">
        <f t="shared" si="1"/>
        <v/>
      </c>
      <c r="Z48" s="580" t="str">
        <f t="shared" si="2"/>
        <v/>
      </c>
    </row>
    <row r="49" spans="1:26" ht="13.5" hidden="1" thickBot="1" x14ac:dyDescent="0.25">
      <c r="A49" s="602" t="s">
        <v>187</v>
      </c>
      <c r="B49" s="1015" t="s">
        <v>187</v>
      </c>
      <c r="C49" s="1016" t="s">
        <v>187</v>
      </c>
      <c r="D49" s="616"/>
      <c r="E49" s="609"/>
      <c r="F49" s="677"/>
      <c r="G49" s="610"/>
      <c r="H49" s="611"/>
      <c r="I49" s="612"/>
      <c r="J49" s="613"/>
      <c r="K49" s="617">
        <f t="shared" si="32"/>
        <v>0</v>
      </c>
      <c r="L49" s="615" t="s">
        <v>783</v>
      </c>
      <c r="M49" s="92"/>
      <c r="N49" s="92"/>
      <c r="O49" s="93">
        <f t="shared" si="33"/>
        <v>0</v>
      </c>
      <c r="P49" s="93">
        <f t="shared" si="34"/>
        <v>0</v>
      </c>
      <c r="Q49" s="94"/>
      <c r="R49" s="92">
        <f t="shared" si="39"/>
        <v>0</v>
      </c>
      <c r="S49" s="92">
        <f t="shared" si="40"/>
        <v>0</v>
      </c>
      <c r="T49" s="93">
        <f t="shared" si="37"/>
        <v>0</v>
      </c>
      <c r="U49" s="95">
        <f t="shared" si="38"/>
        <v>0</v>
      </c>
      <c r="V49" s="94"/>
      <c r="X49" s="580" t="str">
        <f t="shared" si="0"/>
        <v/>
      </c>
      <c r="Y49" s="580" t="str">
        <f t="shared" si="1"/>
        <v/>
      </c>
      <c r="Z49" s="580" t="str">
        <f t="shared" si="2"/>
        <v/>
      </c>
    </row>
    <row r="50" spans="1:26" ht="13.5" hidden="1" thickBot="1" x14ac:dyDescent="0.25">
      <c r="A50" s="602" t="s">
        <v>187</v>
      </c>
      <c r="B50" s="1015" t="s">
        <v>187</v>
      </c>
      <c r="C50" s="1016" t="s">
        <v>187</v>
      </c>
      <c r="D50" s="616"/>
      <c r="E50" s="609"/>
      <c r="F50" s="677"/>
      <c r="G50" s="610"/>
      <c r="H50" s="611"/>
      <c r="I50" s="612"/>
      <c r="J50" s="613"/>
      <c r="K50" s="617">
        <f t="shared" si="32"/>
        <v>0</v>
      </c>
      <c r="L50" s="615" t="s">
        <v>783</v>
      </c>
      <c r="M50" s="92"/>
      <c r="N50" s="92"/>
      <c r="O50" s="93">
        <f t="shared" si="33"/>
        <v>0</v>
      </c>
      <c r="P50" s="93">
        <f t="shared" si="34"/>
        <v>0</v>
      </c>
      <c r="Q50" s="94"/>
      <c r="R50" s="92">
        <f t="shared" si="39"/>
        <v>0</v>
      </c>
      <c r="S50" s="92">
        <f t="shared" si="40"/>
        <v>0</v>
      </c>
      <c r="T50" s="93">
        <f t="shared" si="37"/>
        <v>0</v>
      </c>
      <c r="U50" s="95">
        <f t="shared" si="38"/>
        <v>0</v>
      </c>
      <c r="V50" s="94"/>
      <c r="X50" s="580" t="str">
        <f t="shared" si="0"/>
        <v/>
      </c>
      <c r="Y50" s="580" t="str">
        <f t="shared" si="1"/>
        <v/>
      </c>
      <c r="Z50" s="580" t="str">
        <f t="shared" si="2"/>
        <v/>
      </c>
    </row>
    <row r="51" spans="1:26" ht="13.5" hidden="1" thickBot="1" x14ac:dyDescent="0.25">
      <c r="A51" s="602" t="s">
        <v>187</v>
      </c>
      <c r="B51" s="1015" t="s">
        <v>187</v>
      </c>
      <c r="C51" s="1016" t="s">
        <v>187</v>
      </c>
      <c r="D51" s="616"/>
      <c r="E51" s="609"/>
      <c r="F51" s="677"/>
      <c r="G51" s="610"/>
      <c r="H51" s="611"/>
      <c r="I51" s="612"/>
      <c r="J51" s="613"/>
      <c r="K51" s="617">
        <f t="shared" si="32"/>
        <v>0</v>
      </c>
      <c r="L51" s="615" t="s">
        <v>783</v>
      </c>
      <c r="M51" s="92"/>
      <c r="N51" s="92"/>
      <c r="O51" s="93">
        <f t="shared" si="33"/>
        <v>0</v>
      </c>
      <c r="P51" s="93">
        <f t="shared" si="34"/>
        <v>0</v>
      </c>
      <c r="Q51" s="94"/>
      <c r="R51" s="92">
        <f t="shared" si="39"/>
        <v>0</v>
      </c>
      <c r="S51" s="92">
        <f t="shared" si="40"/>
        <v>0</v>
      </c>
      <c r="T51" s="93">
        <f t="shared" si="37"/>
        <v>0</v>
      </c>
      <c r="U51" s="95">
        <f t="shared" si="38"/>
        <v>0</v>
      </c>
      <c r="V51" s="94"/>
      <c r="X51" s="580" t="str">
        <f t="shared" si="0"/>
        <v/>
      </c>
      <c r="Y51" s="580" t="str">
        <f t="shared" si="1"/>
        <v/>
      </c>
      <c r="Z51" s="580" t="str">
        <f t="shared" si="2"/>
        <v/>
      </c>
    </row>
    <row r="52" spans="1:26" ht="13.5" hidden="1" thickBot="1" x14ac:dyDescent="0.25">
      <c r="A52" s="602" t="s">
        <v>187</v>
      </c>
      <c r="B52" s="1015" t="s">
        <v>187</v>
      </c>
      <c r="C52" s="1016" t="s">
        <v>187</v>
      </c>
      <c r="D52" s="616"/>
      <c r="E52" s="609"/>
      <c r="F52" s="677"/>
      <c r="G52" s="610"/>
      <c r="H52" s="611"/>
      <c r="I52" s="612"/>
      <c r="J52" s="613"/>
      <c r="K52" s="617">
        <f t="shared" si="32"/>
        <v>0</v>
      </c>
      <c r="L52" s="615" t="s">
        <v>783</v>
      </c>
      <c r="M52" s="92"/>
      <c r="N52" s="92"/>
      <c r="O52" s="93">
        <f t="shared" si="33"/>
        <v>0</v>
      </c>
      <c r="P52" s="93">
        <f t="shared" si="34"/>
        <v>0</v>
      </c>
      <c r="Q52" s="94"/>
      <c r="R52" s="92">
        <f t="shared" si="39"/>
        <v>0</v>
      </c>
      <c r="S52" s="92">
        <f t="shared" si="40"/>
        <v>0</v>
      </c>
      <c r="T52" s="93">
        <f t="shared" si="37"/>
        <v>0</v>
      </c>
      <c r="U52" s="95">
        <f t="shared" si="38"/>
        <v>0</v>
      </c>
      <c r="V52" s="94"/>
      <c r="X52" s="580" t="str">
        <f t="shared" si="0"/>
        <v/>
      </c>
      <c r="Y52" s="580" t="str">
        <f t="shared" si="1"/>
        <v/>
      </c>
      <c r="Z52" s="580" t="str">
        <f t="shared" si="2"/>
        <v/>
      </c>
    </row>
    <row r="53" spans="1:26" ht="13.5" hidden="1" thickBot="1" x14ac:dyDescent="0.25">
      <c r="A53" s="602" t="s">
        <v>187</v>
      </c>
      <c r="B53" s="1015" t="s">
        <v>187</v>
      </c>
      <c r="C53" s="1016" t="s">
        <v>187</v>
      </c>
      <c r="D53" s="616"/>
      <c r="E53" s="609"/>
      <c r="F53" s="677"/>
      <c r="G53" s="610"/>
      <c r="H53" s="611"/>
      <c r="I53" s="612"/>
      <c r="J53" s="613"/>
      <c r="K53" s="617">
        <f t="shared" si="32"/>
        <v>0</v>
      </c>
      <c r="L53" s="615" t="s">
        <v>783</v>
      </c>
      <c r="M53" s="92"/>
      <c r="N53" s="92"/>
      <c r="O53" s="93">
        <f t="shared" si="33"/>
        <v>0</v>
      </c>
      <c r="P53" s="93">
        <f t="shared" si="34"/>
        <v>0</v>
      </c>
      <c r="Q53" s="94"/>
      <c r="R53" s="92">
        <f t="shared" si="39"/>
        <v>0</v>
      </c>
      <c r="S53" s="92">
        <f t="shared" si="40"/>
        <v>0</v>
      </c>
      <c r="T53" s="93">
        <f t="shared" si="37"/>
        <v>0</v>
      </c>
      <c r="U53" s="95">
        <f t="shared" si="38"/>
        <v>0</v>
      </c>
      <c r="V53" s="94"/>
      <c r="X53" s="580" t="str">
        <f t="shared" si="0"/>
        <v/>
      </c>
      <c r="Y53" s="580" t="str">
        <f t="shared" si="1"/>
        <v/>
      </c>
      <c r="Z53" s="580" t="str">
        <f t="shared" si="2"/>
        <v/>
      </c>
    </row>
    <row r="54" spans="1:26" ht="13.5" hidden="1" thickBot="1" x14ac:dyDescent="0.25">
      <c r="A54" s="602" t="s">
        <v>187</v>
      </c>
      <c r="B54" s="1015" t="s">
        <v>187</v>
      </c>
      <c r="C54" s="1016" t="s">
        <v>187</v>
      </c>
      <c r="D54" s="616"/>
      <c r="E54" s="609"/>
      <c r="F54" s="677"/>
      <c r="G54" s="610"/>
      <c r="H54" s="611"/>
      <c r="I54" s="612"/>
      <c r="J54" s="613"/>
      <c r="K54" s="617">
        <f t="shared" si="32"/>
        <v>0</v>
      </c>
      <c r="L54" s="615" t="s">
        <v>783</v>
      </c>
      <c r="M54" s="92"/>
      <c r="N54" s="92"/>
      <c r="O54" s="93">
        <f t="shared" si="33"/>
        <v>0</v>
      </c>
      <c r="P54" s="93">
        <f t="shared" si="34"/>
        <v>0</v>
      </c>
      <c r="Q54" s="94"/>
      <c r="R54" s="92">
        <f t="shared" si="39"/>
        <v>0</v>
      </c>
      <c r="S54" s="92">
        <f t="shared" si="40"/>
        <v>0</v>
      </c>
      <c r="T54" s="93">
        <f t="shared" si="37"/>
        <v>0</v>
      </c>
      <c r="U54" s="95">
        <f t="shared" si="38"/>
        <v>0</v>
      </c>
      <c r="V54" s="94"/>
      <c r="X54" s="580" t="str">
        <f t="shared" si="0"/>
        <v/>
      </c>
      <c r="Y54" s="580" t="str">
        <f t="shared" si="1"/>
        <v/>
      </c>
      <c r="Z54" s="580" t="str">
        <f t="shared" si="2"/>
        <v/>
      </c>
    </row>
    <row r="55" spans="1:26" ht="13.5" hidden="1" thickBot="1" x14ac:dyDescent="0.25">
      <c r="A55" s="602" t="s">
        <v>187</v>
      </c>
      <c r="B55" s="1015" t="s">
        <v>187</v>
      </c>
      <c r="C55" s="1016" t="s">
        <v>187</v>
      </c>
      <c r="D55" s="616"/>
      <c r="E55" s="609"/>
      <c r="F55" s="677"/>
      <c r="G55" s="610"/>
      <c r="H55" s="611"/>
      <c r="I55" s="612"/>
      <c r="J55" s="613"/>
      <c r="K55" s="617">
        <f t="shared" si="32"/>
        <v>0</v>
      </c>
      <c r="L55" s="615" t="s">
        <v>783</v>
      </c>
      <c r="M55" s="92"/>
      <c r="N55" s="92"/>
      <c r="O55" s="93">
        <f t="shared" si="33"/>
        <v>0</v>
      </c>
      <c r="P55" s="93">
        <f t="shared" si="34"/>
        <v>0</v>
      </c>
      <c r="Q55" s="94"/>
      <c r="R55" s="92">
        <f t="shared" si="39"/>
        <v>0</v>
      </c>
      <c r="S55" s="92">
        <f t="shared" si="40"/>
        <v>0</v>
      </c>
      <c r="T55" s="93">
        <f t="shared" si="37"/>
        <v>0</v>
      </c>
      <c r="U55" s="95">
        <f t="shared" si="38"/>
        <v>0</v>
      </c>
      <c r="V55" s="94"/>
      <c r="X55" s="580" t="str">
        <f t="shared" si="0"/>
        <v/>
      </c>
      <c r="Y55" s="580" t="str">
        <f t="shared" si="1"/>
        <v/>
      </c>
      <c r="Z55" s="580" t="str">
        <f t="shared" si="2"/>
        <v/>
      </c>
    </row>
    <row r="56" spans="1:26" ht="13.5" hidden="1" thickBot="1" x14ac:dyDescent="0.25">
      <c r="A56" s="602" t="s">
        <v>187</v>
      </c>
      <c r="B56" s="1015" t="s">
        <v>187</v>
      </c>
      <c r="C56" s="1016" t="s">
        <v>187</v>
      </c>
      <c r="D56" s="616"/>
      <c r="E56" s="609"/>
      <c r="F56" s="677"/>
      <c r="G56" s="610"/>
      <c r="H56" s="611"/>
      <c r="I56" s="612"/>
      <c r="J56" s="613"/>
      <c r="K56" s="617">
        <f t="shared" si="32"/>
        <v>0</v>
      </c>
      <c r="L56" s="615" t="s">
        <v>783</v>
      </c>
      <c r="M56" s="92"/>
      <c r="N56" s="92"/>
      <c r="O56" s="93">
        <f t="shared" si="33"/>
        <v>0</v>
      </c>
      <c r="P56" s="93">
        <f t="shared" si="34"/>
        <v>0</v>
      </c>
      <c r="Q56" s="94"/>
      <c r="R56" s="92">
        <f t="shared" si="39"/>
        <v>0</v>
      </c>
      <c r="S56" s="92">
        <f t="shared" si="40"/>
        <v>0</v>
      </c>
      <c r="T56" s="93">
        <f t="shared" si="37"/>
        <v>0</v>
      </c>
      <c r="U56" s="95">
        <f t="shared" si="38"/>
        <v>0</v>
      </c>
      <c r="V56" s="94"/>
      <c r="X56" s="580" t="str">
        <f t="shared" si="0"/>
        <v/>
      </c>
      <c r="Y56" s="580" t="str">
        <f t="shared" si="1"/>
        <v/>
      </c>
      <c r="Z56" s="580" t="str">
        <f t="shared" si="2"/>
        <v/>
      </c>
    </row>
    <row r="57" spans="1:26" ht="13.5" hidden="1" thickBot="1" x14ac:dyDescent="0.25">
      <c r="A57" s="602" t="s">
        <v>187</v>
      </c>
      <c r="B57" s="1015" t="s">
        <v>187</v>
      </c>
      <c r="C57" s="1016" t="s">
        <v>187</v>
      </c>
      <c r="D57" s="616"/>
      <c r="E57" s="609"/>
      <c r="F57" s="677"/>
      <c r="G57" s="610"/>
      <c r="H57" s="611"/>
      <c r="I57" s="612"/>
      <c r="J57" s="613"/>
      <c r="K57" s="617">
        <f t="shared" si="32"/>
        <v>0</v>
      </c>
      <c r="L57" s="615" t="s">
        <v>783</v>
      </c>
      <c r="M57" s="92"/>
      <c r="N57" s="92"/>
      <c r="O57" s="93">
        <f t="shared" si="33"/>
        <v>0</v>
      </c>
      <c r="P57" s="93">
        <f t="shared" si="34"/>
        <v>0</v>
      </c>
      <c r="Q57" s="94"/>
      <c r="R57" s="92">
        <f t="shared" si="39"/>
        <v>0</v>
      </c>
      <c r="S57" s="92">
        <f t="shared" si="40"/>
        <v>0</v>
      </c>
      <c r="T57" s="93">
        <f t="shared" si="37"/>
        <v>0</v>
      </c>
      <c r="U57" s="95">
        <f t="shared" si="38"/>
        <v>0</v>
      </c>
      <c r="V57" s="94"/>
      <c r="X57" s="580" t="str">
        <f t="shared" si="0"/>
        <v/>
      </c>
      <c r="Y57" s="580" t="str">
        <f t="shared" si="1"/>
        <v/>
      </c>
      <c r="Z57" s="580" t="str">
        <f t="shared" si="2"/>
        <v/>
      </c>
    </row>
    <row r="58" spans="1:26" ht="13.5" hidden="1" thickBot="1" x14ac:dyDescent="0.25">
      <c r="A58" s="602" t="s">
        <v>187</v>
      </c>
      <c r="B58" s="1015" t="s">
        <v>187</v>
      </c>
      <c r="C58" s="1016" t="s">
        <v>187</v>
      </c>
      <c r="D58" s="616"/>
      <c r="E58" s="609"/>
      <c r="F58" s="677"/>
      <c r="G58" s="610"/>
      <c r="H58" s="611"/>
      <c r="I58" s="612"/>
      <c r="J58" s="613"/>
      <c r="K58" s="617">
        <f t="shared" si="32"/>
        <v>0</v>
      </c>
      <c r="L58" s="615" t="s">
        <v>783</v>
      </c>
      <c r="M58" s="92"/>
      <c r="N58" s="92"/>
      <c r="O58" s="93">
        <f t="shared" si="33"/>
        <v>0</v>
      </c>
      <c r="P58" s="93">
        <f t="shared" si="34"/>
        <v>0</v>
      </c>
      <c r="Q58" s="94"/>
      <c r="R58" s="92">
        <f t="shared" si="39"/>
        <v>0</v>
      </c>
      <c r="S58" s="92">
        <f t="shared" si="40"/>
        <v>0</v>
      </c>
      <c r="T58" s="93">
        <f t="shared" si="37"/>
        <v>0</v>
      </c>
      <c r="U58" s="95">
        <f t="shared" si="38"/>
        <v>0</v>
      </c>
      <c r="V58" s="94"/>
      <c r="X58" s="580" t="str">
        <f t="shared" si="0"/>
        <v/>
      </c>
      <c r="Y58" s="580" t="str">
        <f t="shared" si="1"/>
        <v/>
      </c>
      <c r="Z58" s="580" t="str">
        <f t="shared" si="2"/>
        <v/>
      </c>
    </row>
    <row r="59" spans="1:26" ht="13.5" hidden="1" thickBot="1" x14ac:dyDescent="0.25">
      <c r="A59" s="602" t="s">
        <v>187</v>
      </c>
      <c r="B59" s="1015" t="s">
        <v>187</v>
      </c>
      <c r="C59" s="1016" t="s">
        <v>187</v>
      </c>
      <c r="D59" s="616"/>
      <c r="E59" s="609"/>
      <c r="F59" s="677"/>
      <c r="G59" s="610"/>
      <c r="H59" s="611"/>
      <c r="I59" s="612"/>
      <c r="J59" s="613"/>
      <c r="K59" s="617">
        <f t="shared" si="32"/>
        <v>0</v>
      </c>
      <c r="L59" s="615" t="s">
        <v>783</v>
      </c>
      <c r="M59" s="92"/>
      <c r="N59" s="92"/>
      <c r="O59" s="93">
        <f t="shared" si="33"/>
        <v>0</v>
      </c>
      <c r="P59" s="93">
        <f t="shared" si="34"/>
        <v>0</v>
      </c>
      <c r="Q59" s="94"/>
      <c r="R59" s="92">
        <f t="shared" si="39"/>
        <v>0</v>
      </c>
      <c r="S59" s="92">
        <f t="shared" si="40"/>
        <v>0</v>
      </c>
      <c r="T59" s="93">
        <f t="shared" si="37"/>
        <v>0</v>
      </c>
      <c r="U59" s="95">
        <f t="shared" si="38"/>
        <v>0</v>
      </c>
      <c r="V59" s="94"/>
      <c r="X59" s="580" t="str">
        <f t="shared" si="0"/>
        <v/>
      </c>
      <c r="Y59" s="580" t="str">
        <f t="shared" si="1"/>
        <v/>
      </c>
      <c r="Z59" s="580" t="str">
        <f t="shared" si="2"/>
        <v/>
      </c>
    </row>
    <row r="60" spans="1:26" ht="13.5" hidden="1" thickBot="1" x14ac:dyDescent="0.25">
      <c r="A60" s="602" t="s">
        <v>187</v>
      </c>
      <c r="B60" s="1015" t="s">
        <v>187</v>
      </c>
      <c r="C60" s="1016" t="s">
        <v>187</v>
      </c>
      <c r="D60" s="616"/>
      <c r="E60" s="609"/>
      <c r="F60" s="677"/>
      <c r="G60" s="610"/>
      <c r="H60" s="611"/>
      <c r="I60" s="612"/>
      <c r="J60" s="613"/>
      <c r="K60" s="617">
        <f t="shared" si="32"/>
        <v>0</v>
      </c>
      <c r="L60" s="615" t="s">
        <v>783</v>
      </c>
      <c r="M60" s="92"/>
      <c r="N60" s="92"/>
      <c r="O60" s="93">
        <f t="shared" si="33"/>
        <v>0</v>
      </c>
      <c r="P60" s="93">
        <f t="shared" si="34"/>
        <v>0</v>
      </c>
      <c r="Q60" s="94"/>
      <c r="R60" s="92">
        <f t="shared" si="39"/>
        <v>0</v>
      </c>
      <c r="S60" s="92">
        <f t="shared" si="40"/>
        <v>0</v>
      </c>
      <c r="T60" s="93">
        <f t="shared" si="37"/>
        <v>0</v>
      </c>
      <c r="U60" s="95">
        <f t="shared" si="38"/>
        <v>0</v>
      </c>
      <c r="V60" s="94"/>
      <c r="X60" s="580" t="str">
        <f t="shared" si="0"/>
        <v/>
      </c>
      <c r="Y60" s="580" t="str">
        <f t="shared" si="1"/>
        <v/>
      </c>
      <c r="Z60" s="580" t="str">
        <f t="shared" si="2"/>
        <v/>
      </c>
    </row>
    <row r="61" spans="1:26" ht="13.5" hidden="1" thickBot="1" x14ac:dyDescent="0.25">
      <c r="A61" s="602" t="s">
        <v>187</v>
      </c>
      <c r="B61" s="1015" t="s">
        <v>187</v>
      </c>
      <c r="C61" s="1016" t="s">
        <v>187</v>
      </c>
      <c r="D61" s="616"/>
      <c r="E61" s="609"/>
      <c r="F61" s="677"/>
      <c r="G61" s="610"/>
      <c r="H61" s="611"/>
      <c r="I61" s="612"/>
      <c r="J61" s="613"/>
      <c r="K61" s="617">
        <f t="shared" si="32"/>
        <v>0</v>
      </c>
      <c r="L61" s="615" t="s">
        <v>783</v>
      </c>
      <c r="M61" s="92"/>
      <c r="N61" s="92"/>
      <c r="O61" s="93">
        <f t="shared" si="33"/>
        <v>0</v>
      </c>
      <c r="P61" s="93">
        <f t="shared" si="34"/>
        <v>0</v>
      </c>
      <c r="Q61" s="94"/>
      <c r="R61" s="92">
        <f t="shared" si="39"/>
        <v>0</v>
      </c>
      <c r="S61" s="92">
        <f t="shared" si="40"/>
        <v>0</v>
      </c>
      <c r="T61" s="93">
        <f t="shared" si="37"/>
        <v>0</v>
      </c>
      <c r="U61" s="95">
        <f t="shared" si="38"/>
        <v>0</v>
      </c>
      <c r="V61" s="94"/>
      <c r="X61" s="580" t="str">
        <f t="shared" si="0"/>
        <v/>
      </c>
      <c r="Y61" s="580" t="str">
        <f t="shared" si="1"/>
        <v/>
      </c>
      <c r="Z61" s="580" t="str">
        <f t="shared" si="2"/>
        <v/>
      </c>
    </row>
    <row r="62" spans="1:26" ht="13.5" hidden="1" thickBot="1" x14ac:dyDescent="0.25">
      <c r="A62" s="602" t="s">
        <v>187</v>
      </c>
      <c r="B62" s="1015" t="s">
        <v>187</v>
      </c>
      <c r="C62" s="1016" t="s">
        <v>187</v>
      </c>
      <c r="D62" s="616"/>
      <c r="E62" s="609"/>
      <c r="F62" s="677"/>
      <c r="G62" s="610"/>
      <c r="H62" s="611"/>
      <c r="I62" s="612"/>
      <c r="J62" s="613"/>
      <c r="K62" s="617">
        <f t="shared" si="32"/>
        <v>0</v>
      </c>
      <c r="L62" s="615" t="s">
        <v>783</v>
      </c>
      <c r="M62" s="92"/>
      <c r="N62" s="92"/>
      <c r="O62" s="93">
        <f t="shared" si="33"/>
        <v>0</v>
      </c>
      <c r="P62" s="93">
        <f t="shared" si="34"/>
        <v>0</v>
      </c>
      <c r="Q62" s="94"/>
      <c r="R62" s="92">
        <f t="shared" si="39"/>
        <v>0</v>
      </c>
      <c r="S62" s="92">
        <f t="shared" si="40"/>
        <v>0</v>
      </c>
      <c r="T62" s="93">
        <f t="shared" si="37"/>
        <v>0</v>
      </c>
      <c r="U62" s="95">
        <f t="shared" si="38"/>
        <v>0</v>
      </c>
      <c r="V62" s="94"/>
      <c r="X62" s="580" t="str">
        <f t="shared" si="0"/>
        <v/>
      </c>
      <c r="Y62" s="580" t="str">
        <f t="shared" si="1"/>
        <v/>
      </c>
      <c r="Z62" s="580" t="str">
        <f t="shared" si="2"/>
        <v/>
      </c>
    </row>
    <row r="63" spans="1:26" ht="13.5" hidden="1" thickBot="1" x14ac:dyDescent="0.25">
      <c r="A63" s="602" t="s">
        <v>187</v>
      </c>
      <c r="B63" s="1015" t="s">
        <v>187</v>
      </c>
      <c r="C63" s="1016" t="s">
        <v>187</v>
      </c>
      <c r="D63" s="616"/>
      <c r="E63" s="609"/>
      <c r="F63" s="677"/>
      <c r="G63" s="610"/>
      <c r="H63" s="611"/>
      <c r="I63" s="612"/>
      <c r="J63" s="613"/>
      <c r="K63" s="617">
        <f t="shared" si="32"/>
        <v>0</v>
      </c>
      <c r="L63" s="615" t="s">
        <v>783</v>
      </c>
      <c r="M63" s="92"/>
      <c r="N63" s="92"/>
      <c r="O63" s="93">
        <f t="shared" si="33"/>
        <v>0</v>
      </c>
      <c r="P63" s="93">
        <f t="shared" si="34"/>
        <v>0</v>
      </c>
      <c r="Q63" s="94"/>
      <c r="R63" s="92">
        <f t="shared" si="39"/>
        <v>0</v>
      </c>
      <c r="S63" s="92">
        <f t="shared" si="40"/>
        <v>0</v>
      </c>
      <c r="T63" s="93">
        <f t="shared" si="37"/>
        <v>0</v>
      </c>
      <c r="U63" s="95">
        <f t="shared" si="38"/>
        <v>0</v>
      </c>
      <c r="V63" s="94"/>
      <c r="X63" s="580" t="str">
        <f t="shared" si="0"/>
        <v/>
      </c>
      <c r="Y63" s="580" t="str">
        <f t="shared" si="1"/>
        <v/>
      </c>
      <c r="Z63" s="580" t="str">
        <f t="shared" si="2"/>
        <v/>
      </c>
    </row>
    <row r="64" spans="1:26" ht="13.5" hidden="1" thickBot="1" x14ac:dyDescent="0.25">
      <c r="A64" s="602" t="s">
        <v>187</v>
      </c>
      <c r="B64" s="1015" t="s">
        <v>187</v>
      </c>
      <c r="C64" s="1016" t="s">
        <v>187</v>
      </c>
      <c r="D64" s="616"/>
      <c r="E64" s="609"/>
      <c r="F64" s="677"/>
      <c r="G64" s="610"/>
      <c r="H64" s="611"/>
      <c r="I64" s="612"/>
      <c r="J64" s="613"/>
      <c r="K64" s="617">
        <f t="shared" si="32"/>
        <v>0</v>
      </c>
      <c r="L64" s="615" t="s">
        <v>783</v>
      </c>
      <c r="M64" s="92"/>
      <c r="N64" s="92"/>
      <c r="O64" s="93">
        <f t="shared" si="33"/>
        <v>0</v>
      </c>
      <c r="P64" s="93">
        <f t="shared" si="34"/>
        <v>0</v>
      </c>
      <c r="Q64" s="94"/>
      <c r="R64" s="92">
        <f t="shared" si="39"/>
        <v>0</v>
      </c>
      <c r="S64" s="92">
        <f t="shared" si="40"/>
        <v>0</v>
      </c>
      <c r="T64" s="93">
        <f t="shared" si="37"/>
        <v>0</v>
      </c>
      <c r="U64" s="95">
        <f t="shared" si="38"/>
        <v>0</v>
      </c>
      <c r="V64" s="94"/>
      <c r="X64" s="580" t="str">
        <f t="shared" si="0"/>
        <v/>
      </c>
      <c r="Y64" s="580" t="str">
        <f t="shared" si="1"/>
        <v/>
      </c>
      <c r="Z64" s="580" t="str">
        <f t="shared" si="2"/>
        <v/>
      </c>
    </row>
    <row r="65" spans="1:26" ht="13.5" hidden="1" thickBot="1" x14ac:dyDescent="0.25">
      <c r="A65" s="602" t="s">
        <v>187</v>
      </c>
      <c r="B65" s="1015" t="s">
        <v>187</v>
      </c>
      <c r="C65" s="1016" t="s">
        <v>187</v>
      </c>
      <c r="D65" s="616"/>
      <c r="E65" s="609"/>
      <c r="F65" s="677"/>
      <c r="G65" s="610"/>
      <c r="H65" s="611"/>
      <c r="I65" s="612"/>
      <c r="J65" s="613"/>
      <c r="K65" s="617">
        <f t="shared" si="32"/>
        <v>0</v>
      </c>
      <c r="L65" s="615" t="s">
        <v>783</v>
      </c>
      <c r="M65" s="92"/>
      <c r="N65" s="92"/>
      <c r="O65" s="93">
        <f t="shared" si="33"/>
        <v>0</v>
      </c>
      <c r="P65" s="93">
        <f t="shared" si="34"/>
        <v>0</v>
      </c>
      <c r="Q65" s="94"/>
      <c r="R65" s="92">
        <f t="shared" si="39"/>
        <v>0</v>
      </c>
      <c r="S65" s="92">
        <f t="shared" si="40"/>
        <v>0</v>
      </c>
      <c r="T65" s="93">
        <f t="shared" si="37"/>
        <v>0</v>
      </c>
      <c r="U65" s="95">
        <f t="shared" si="38"/>
        <v>0</v>
      </c>
      <c r="V65" s="94"/>
      <c r="X65" s="580" t="str">
        <f t="shared" si="0"/>
        <v/>
      </c>
      <c r="Y65" s="580" t="str">
        <f t="shared" si="1"/>
        <v/>
      </c>
      <c r="Z65" s="580" t="str">
        <f t="shared" si="2"/>
        <v/>
      </c>
    </row>
    <row r="66" spans="1:26" ht="13.5" hidden="1" thickBot="1" x14ac:dyDescent="0.25">
      <c r="A66" s="602" t="s">
        <v>187</v>
      </c>
      <c r="B66" s="1015" t="s">
        <v>187</v>
      </c>
      <c r="C66" s="1016" t="s">
        <v>187</v>
      </c>
      <c r="D66" s="616"/>
      <c r="E66" s="609"/>
      <c r="F66" s="677"/>
      <c r="G66" s="610"/>
      <c r="H66" s="611"/>
      <c r="I66" s="612"/>
      <c r="J66" s="613"/>
      <c r="K66" s="617">
        <f t="shared" si="32"/>
        <v>0</v>
      </c>
      <c r="L66" s="615" t="s">
        <v>783</v>
      </c>
      <c r="M66" s="92"/>
      <c r="N66" s="92"/>
      <c r="O66" s="93">
        <f t="shared" si="33"/>
        <v>0</v>
      </c>
      <c r="P66" s="93">
        <f t="shared" si="34"/>
        <v>0</v>
      </c>
      <c r="Q66" s="94"/>
      <c r="R66" s="92">
        <f t="shared" si="39"/>
        <v>0</v>
      </c>
      <c r="S66" s="92">
        <f t="shared" si="40"/>
        <v>0</v>
      </c>
      <c r="T66" s="93">
        <f t="shared" si="37"/>
        <v>0</v>
      </c>
      <c r="U66" s="95">
        <f t="shared" si="38"/>
        <v>0</v>
      </c>
      <c r="V66" s="94"/>
      <c r="X66" s="580" t="str">
        <f t="shared" si="0"/>
        <v/>
      </c>
      <c r="Y66" s="580" t="str">
        <f t="shared" si="1"/>
        <v/>
      </c>
      <c r="Z66" s="580" t="str">
        <f t="shared" si="2"/>
        <v/>
      </c>
    </row>
    <row r="67" spans="1:26" ht="13.5" hidden="1" thickBot="1" x14ac:dyDescent="0.25">
      <c r="A67" s="602" t="s">
        <v>187</v>
      </c>
      <c r="B67" s="1017" t="s">
        <v>187</v>
      </c>
      <c r="C67" s="1018" t="s">
        <v>187</v>
      </c>
      <c r="D67" s="619"/>
      <c r="E67" s="620"/>
      <c r="F67" s="678"/>
      <c r="G67" s="621"/>
      <c r="H67" s="622"/>
      <c r="I67" s="623"/>
      <c r="J67" s="624"/>
      <c r="K67" s="625">
        <f t="shared" si="32"/>
        <v>0</v>
      </c>
      <c r="L67" s="626" t="s">
        <v>783</v>
      </c>
      <c r="M67" s="92"/>
      <c r="N67" s="92"/>
      <c r="O67" s="627">
        <f t="shared" si="33"/>
        <v>0</v>
      </c>
      <c r="P67" s="627">
        <f t="shared" si="34"/>
        <v>0</v>
      </c>
      <c r="Q67" s="94"/>
      <c r="R67" s="92">
        <f t="shared" si="39"/>
        <v>0</v>
      </c>
      <c r="S67" s="92">
        <f t="shared" si="40"/>
        <v>0</v>
      </c>
      <c r="T67" s="627">
        <f t="shared" si="37"/>
        <v>0</v>
      </c>
      <c r="U67" s="628">
        <f t="shared" si="38"/>
        <v>0</v>
      </c>
      <c r="V67" s="94"/>
      <c r="X67" s="580" t="str">
        <f t="shared" si="0"/>
        <v/>
      </c>
      <c r="Y67" s="580" t="str">
        <f t="shared" si="1"/>
        <v/>
      </c>
      <c r="Z67" s="580" t="str">
        <f t="shared" si="2"/>
        <v/>
      </c>
    </row>
    <row r="68" spans="1:26" ht="13.5" thickBot="1" x14ac:dyDescent="0.25">
      <c r="A68" s="97" t="s">
        <v>189</v>
      </c>
      <c r="B68" s="1099" t="s">
        <v>189</v>
      </c>
      <c r="C68" s="1100"/>
      <c r="D68" s="1101" t="s">
        <v>495</v>
      </c>
      <c r="E68" s="1102"/>
      <c r="F68" s="679"/>
      <c r="G68" s="574"/>
      <c r="H68" s="77"/>
      <c r="I68" s="576"/>
      <c r="J68" s="576"/>
      <c r="K68" s="576"/>
      <c r="L68" s="576" t="s">
        <v>783</v>
      </c>
      <c r="M68" s="575"/>
      <c r="N68" s="576"/>
      <c r="O68" s="576"/>
      <c r="P68" s="577"/>
      <c r="Q68" s="578">
        <f>SUM(P69:P112)</f>
        <v>21469.29</v>
      </c>
      <c r="R68" s="1103"/>
      <c r="S68" s="1104"/>
      <c r="T68" s="1104"/>
      <c r="U68" s="1105"/>
      <c r="V68" s="1106">
        <f>SUM(U69:U112)</f>
        <v>20910.88</v>
      </c>
      <c r="W68" s="579" t="str">
        <f>IF(OR(Q68&gt;0,V68&gt;0),"X","")</f>
        <v>X</v>
      </c>
      <c r="X68" s="580" t="str">
        <f t="shared" si="0"/>
        <v>x</v>
      </c>
      <c r="Y68" s="580" t="str">
        <f t="shared" si="1"/>
        <v>x</v>
      </c>
      <c r="Z68" s="580" t="str">
        <f t="shared" si="2"/>
        <v>x</v>
      </c>
    </row>
    <row r="69" spans="1:26" hidden="1" x14ac:dyDescent="0.2">
      <c r="A69" s="1008">
        <v>400500</v>
      </c>
      <c r="B69" s="1009" t="s">
        <v>1938</v>
      </c>
      <c r="C69" s="980" t="s">
        <v>212</v>
      </c>
      <c r="D69" s="1019" t="s">
        <v>203</v>
      </c>
      <c r="E69" s="1020"/>
      <c r="F69" s="1021">
        <v>20</v>
      </c>
      <c r="G69" s="1022">
        <v>1.73</v>
      </c>
      <c r="H69" s="661">
        <f>IF(F69&lt;=30,(0.7*F69+1.45)*G69,((0.7*30+1.45)+0.58*(F69-30))*G69)</f>
        <v>26.728499999999997</v>
      </c>
      <c r="I69" s="1023">
        <v>48.71</v>
      </c>
      <c r="J69" s="1023">
        <f t="shared" ref="J69" si="41">IF(ISBLANK(I69),"",SUM(H69:I69))</f>
        <v>75.438500000000005</v>
      </c>
      <c r="K69" s="585">
        <f t="shared" ref="K69:K86" si="42">IF(ISBLANK(I69),0,ROUND(J69*(1+$F$10)*(1+$F$11*E69),2))</f>
        <v>91.82</v>
      </c>
      <c r="L69" s="586" t="s">
        <v>16</v>
      </c>
      <c r="M69" s="92"/>
      <c r="N69" s="92"/>
      <c r="O69" s="587">
        <f t="shared" ref="O69:O86" si="43">IF(ISBLANK(M69),0,ROUND(K69*M69,2))</f>
        <v>0</v>
      </c>
      <c r="P69" s="93">
        <f t="shared" ref="P69:P86" si="44">IF(ISBLANK(N69),0,ROUND(M69*N69,2))</f>
        <v>0</v>
      </c>
      <c r="Q69" s="94"/>
      <c r="R69" s="92">
        <f t="shared" ref="R69:R86" si="45">M69</f>
        <v>0</v>
      </c>
      <c r="S69" s="92">
        <f t="shared" ref="S69:S86" si="46">N69</f>
        <v>0</v>
      </c>
      <c r="T69" s="93">
        <f t="shared" ref="T69:T86" si="47">IF(ISBLANK(R69),0,ROUND(K69*R69,2))</f>
        <v>0</v>
      </c>
      <c r="U69" s="95">
        <f t="shared" ref="U69:U86" si="48">IF(ISBLANK(R69),0,ROUND(R69*S69,2))</f>
        <v>0</v>
      </c>
      <c r="V69" s="588"/>
      <c r="X69" s="580" t="str">
        <f t="shared" si="0"/>
        <v/>
      </c>
      <c r="Y69" s="580" t="str">
        <f t="shared" si="1"/>
        <v/>
      </c>
      <c r="Z69" s="580" t="str">
        <f t="shared" si="2"/>
        <v/>
      </c>
    </row>
    <row r="70" spans="1:26" hidden="1" x14ac:dyDescent="0.2">
      <c r="A70" s="1008">
        <v>401200</v>
      </c>
      <c r="B70" s="1010">
        <v>401200</v>
      </c>
      <c r="C70" s="978" t="s">
        <v>212</v>
      </c>
      <c r="D70" s="595" t="s">
        <v>200</v>
      </c>
      <c r="E70" s="596"/>
      <c r="F70" s="671"/>
      <c r="G70" s="597"/>
      <c r="H70" s="682"/>
      <c r="I70" s="584">
        <v>1.03</v>
      </c>
      <c r="J70" s="592">
        <f t="shared" ref="J70:J86" si="49">IF(ISBLANK(I70),"",SUM(H70:I70))</f>
        <v>1.03</v>
      </c>
      <c r="K70" s="593">
        <f t="shared" si="42"/>
        <v>1.25</v>
      </c>
      <c r="L70" s="594" t="s">
        <v>16</v>
      </c>
      <c r="M70" s="92"/>
      <c r="N70" s="92"/>
      <c r="O70" s="587">
        <f t="shared" si="43"/>
        <v>0</v>
      </c>
      <c r="P70" s="93">
        <f t="shared" si="44"/>
        <v>0</v>
      </c>
      <c r="Q70" s="94"/>
      <c r="R70" s="92">
        <f t="shared" si="45"/>
        <v>0</v>
      </c>
      <c r="S70" s="92">
        <f t="shared" si="46"/>
        <v>0</v>
      </c>
      <c r="T70" s="93">
        <f t="shared" si="47"/>
        <v>0</v>
      </c>
      <c r="U70" s="95">
        <f t="shared" si="48"/>
        <v>0</v>
      </c>
      <c r="V70" s="94"/>
      <c r="X70" s="580" t="str">
        <f t="shared" si="0"/>
        <v/>
      </c>
      <c r="Y70" s="580" t="str">
        <f t="shared" si="1"/>
        <v/>
      </c>
      <c r="Z70" s="580" t="str">
        <f t="shared" si="2"/>
        <v/>
      </c>
    </row>
    <row r="71" spans="1:26" x14ac:dyDescent="0.2">
      <c r="A71" s="1008">
        <v>401000</v>
      </c>
      <c r="B71" s="1107">
        <v>401000</v>
      </c>
      <c r="C71" s="1108" t="s">
        <v>212</v>
      </c>
      <c r="D71" s="1109" t="s">
        <v>202</v>
      </c>
      <c r="E71" s="1110"/>
      <c r="F71" s="671"/>
      <c r="G71" s="597"/>
      <c r="H71" s="682"/>
      <c r="I71" s="584">
        <v>4.3099999999999996</v>
      </c>
      <c r="J71" s="592">
        <f t="shared" si="49"/>
        <v>4.3099999999999996</v>
      </c>
      <c r="K71" s="593">
        <f t="shared" si="42"/>
        <v>5.25</v>
      </c>
      <c r="L71" s="594" t="s">
        <v>16</v>
      </c>
      <c r="M71" s="92">
        <v>1398.04</v>
      </c>
      <c r="N71" s="92">
        <v>5.49</v>
      </c>
      <c r="O71" s="587">
        <f t="shared" si="43"/>
        <v>7339.71</v>
      </c>
      <c r="P71" s="93">
        <f t="shared" si="44"/>
        <v>7675.24</v>
      </c>
      <c r="Q71" s="94"/>
      <c r="R71" s="1111">
        <f t="shared" si="45"/>
        <v>1398.04</v>
      </c>
      <c r="S71" s="1111">
        <f>K71</f>
        <v>5.25</v>
      </c>
      <c r="T71" s="1112">
        <f t="shared" si="47"/>
        <v>7339.71</v>
      </c>
      <c r="U71" s="1113">
        <f t="shared" si="48"/>
        <v>7339.71</v>
      </c>
      <c r="V71" s="1114"/>
      <c r="X71" s="580" t="str">
        <f t="shared" si="0"/>
        <v>x</v>
      </c>
      <c r="Y71" s="580" t="str">
        <f t="shared" si="1"/>
        <v>x</v>
      </c>
      <c r="Z71" s="580" t="str">
        <f t="shared" si="2"/>
        <v>x</v>
      </c>
    </row>
    <row r="72" spans="1:26" hidden="1" x14ac:dyDescent="0.2">
      <c r="A72" s="1008">
        <v>401950</v>
      </c>
      <c r="B72" s="1010">
        <v>401950</v>
      </c>
      <c r="C72" s="978" t="s">
        <v>212</v>
      </c>
      <c r="D72" s="595" t="s">
        <v>201</v>
      </c>
      <c r="E72" s="596"/>
      <c r="F72" s="671"/>
      <c r="G72" s="597"/>
      <c r="H72" s="682"/>
      <c r="I72" s="584">
        <v>3.67</v>
      </c>
      <c r="J72" s="592">
        <f t="shared" si="49"/>
        <v>3.67</v>
      </c>
      <c r="K72" s="593">
        <f t="shared" si="42"/>
        <v>4.47</v>
      </c>
      <c r="L72" s="594" t="s">
        <v>16</v>
      </c>
      <c r="M72" s="92"/>
      <c r="N72" s="92"/>
      <c r="O72" s="93">
        <f t="shared" si="43"/>
        <v>0</v>
      </c>
      <c r="P72" s="93">
        <f t="shared" si="44"/>
        <v>0</v>
      </c>
      <c r="Q72" s="94"/>
      <c r="R72" s="92">
        <f t="shared" si="45"/>
        <v>0</v>
      </c>
      <c r="S72" s="92">
        <f t="shared" si="46"/>
        <v>0</v>
      </c>
      <c r="T72" s="93">
        <f t="shared" si="47"/>
        <v>0</v>
      </c>
      <c r="U72" s="95">
        <f t="shared" si="48"/>
        <v>0</v>
      </c>
      <c r="V72" s="94"/>
      <c r="X72" s="580" t="str">
        <f t="shared" si="0"/>
        <v/>
      </c>
      <c r="Y72" s="580" t="str">
        <f t="shared" si="1"/>
        <v/>
      </c>
      <c r="Z72" s="580" t="str">
        <f t="shared" si="2"/>
        <v/>
      </c>
    </row>
    <row r="73" spans="1:26" hidden="1" x14ac:dyDescent="0.2">
      <c r="A73" s="1008">
        <v>400000</v>
      </c>
      <c r="B73" s="1010">
        <v>400000</v>
      </c>
      <c r="C73" s="978" t="s">
        <v>212</v>
      </c>
      <c r="D73" s="595" t="s">
        <v>191</v>
      </c>
      <c r="E73" s="596"/>
      <c r="F73" s="671"/>
      <c r="G73" s="597"/>
      <c r="H73" s="682"/>
      <c r="I73" s="584">
        <v>0.76</v>
      </c>
      <c r="J73" s="592">
        <f t="shared" si="49"/>
        <v>0.76</v>
      </c>
      <c r="K73" s="593">
        <f t="shared" si="42"/>
        <v>0.92</v>
      </c>
      <c r="L73" s="594" t="s">
        <v>18</v>
      </c>
      <c r="M73" s="92"/>
      <c r="N73" s="92"/>
      <c r="O73" s="93">
        <f t="shared" si="43"/>
        <v>0</v>
      </c>
      <c r="P73" s="93">
        <f t="shared" si="44"/>
        <v>0</v>
      </c>
      <c r="Q73" s="94"/>
      <c r="R73" s="92">
        <f t="shared" si="45"/>
        <v>0</v>
      </c>
      <c r="S73" s="92">
        <f t="shared" si="46"/>
        <v>0</v>
      </c>
      <c r="T73" s="93">
        <f t="shared" si="47"/>
        <v>0</v>
      </c>
      <c r="U73" s="95">
        <f t="shared" si="48"/>
        <v>0</v>
      </c>
      <c r="V73" s="94"/>
      <c r="W73" s="579"/>
      <c r="X73" s="580" t="str">
        <f t="shared" si="0"/>
        <v/>
      </c>
      <c r="Y73" s="580" t="str">
        <f t="shared" si="1"/>
        <v/>
      </c>
      <c r="Z73" s="580" t="str">
        <f t="shared" si="2"/>
        <v/>
      </c>
    </row>
    <row r="74" spans="1:26" hidden="1" x14ac:dyDescent="0.2">
      <c r="A74" s="1008">
        <v>400300</v>
      </c>
      <c r="B74" s="1010">
        <v>400300</v>
      </c>
      <c r="C74" s="978" t="s">
        <v>212</v>
      </c>
      <c r="D74" s="595" t="s">
        <v>192</v>
      </c>
      <c r="E74" s="596"/>
      <c r="F74" s="671"/>
      <c r="G74" s="597"/>
      <c r="H74" s="682"/>
      <c r="I74" s="584">
        <v>34.01</v>
      </c>
      <c r="J74" s="592">
        <f t="shared" si="49"/>
        <v>34.01</v>
      </c>
      <c r="K74" s="593">
        <f t="shared" si="42"/>
        <v>41.39</v>
      </c>
      <c r="L74" s="594" t="s">
        <v>21</v>
      </c>
      <c r="M74" s="92"/>
      <c r="N74" s="92"/>
      <c r="O74" s="93">
        <f t="shared" si="43"/>
        <v>0</v>
      </c>
      <c r="P74" s="93">
        <f t="shared" si="44"/>
        <v>0</v>
      </c>
      <c r="Q74" s="94"/>
      <c r="R74" s="92">
        <f t="shared" si="45"/>
        <v>0</v>
      </c>
      <c r="S74" s="92">
        <f t="shared" si="46"/>
        <v>0</v>
      </c>
      <c r="T74" s="93">
        <f t="shared" si="47"/>
        <v>0</v>
      </c>
      <c r="U74" s="95">
        <f t="shared" si="48"/>
        <v>0</v>
      </c>
      <c r="V74" s="94"/>
      <c r="W74" s="579"/>
      <c r="X74" s="580" t="str">
        <f t="shared" si="0"/>
        <v/>
      </c>
      <c r="Y74" s="580" t="str">
        <f t="shared" si="1"/>
        <v/>
      </c>
      <c r="Z74" s="580" t="str">
        <f t="shared" si="2"/>
        <v/>
      </c>
    </row>
    <row r="75" spans="1:26" hidden="1" x14ac:dyDescent="0.2">
      <c r="A75" s="1008">
        <v>511130</v>
      </c>
      <c r="B75" s="1010" t="s">
        <v>1927</v>
      </c>
      <c r="C75" s="978" t="s">
        <v>212</v>
      </c>
      <c r="D75" s="595" t="s">
        <v>517</v>
      </c>
      <c r="E75" s="596"/>
      <c r="F75" s="671"/>
      <c r="G75" s="597"/>
      <c r="H75" s="682"/>
      <c r="I75" s="584">
        <v>0.83</v>
      </c>
      <c r="J75" s="592">
        <f t="shared" si="49"/>
        <v>0.83</v>
      </c>
      <c r="K75" s="593">
        <f t="shared" si="42"/>
        <v>1.01</v>
      </c>
      <c r="L75" s="594" t="s">
        <v>16</v>
      </c>
      <c r="M75" s="92"/>
      <c r="N75" s="92"/>
      <c r="O75" s="93">
        <f t="shared" si="43"/>
        <v>0</v>
      </c>
      <c r="P75" s="93">
        <f t="shared" si="44"/>
        <v>0</v>
      </c>
      <c r="Q75" s="94"/>
      <c r="R75" s="92">
        <f t="shared" si="45"/>
        <v>0</v>
      </c>
      <c r="S75" s="92">
        <f t="shared" si="46"/>
        <v>0</v>
      </c>
      <c r="T75" s="93">
        <f t="shared" si="47"/>
        <v>0</v>
      </c>
      <c r="U75" s="95">
        <f t="shared" si="48"/>
        <v>0</v>
      </c>
      <c r="V75" s="94"/>
      <c r="W75" s="600"/>
      <c r="X75" s="580" t="str">
        <f t="shared" si="0"/>
        <v/>
      </c>
      <c r="Y75" s="580" t="str">
        <f t="shared" si="1"/>
        <v/>
      </c>
      <c r="Z75" s="580" t="str">
        <f t="shared" si="2"/>
        <v/>
      </c>
    </row>
    <row r="76" spans="1:26" hidden="1" x14ac:dyDescent="0.2">
      <c r="A76" s="1008">
        <v>501000</v>
      </c>
      <c r="B76" s="1010">
        <v>501000</v>
      </c>
      <c r="C76" s="978" t="s">
        <v>212</v>
      </c>
      <c r="D76" s="595" t="s">
        <v>516</v>
      </c>
      <c r="E76" s="596"/>
      <c r="F76" s="671">
        <v>2</v>
      </c>
      <c r="G76" s="597">
        <v>1.8</v>
      </c>
      <c r="H76" s="661">
        <f>IF(F76&lt;=30,(0.7*F76+1.45)*G76,((0.7*30+1.45)+0.58*(F76-30))*G76)</f>
        <v>5.13</v>
      </c>
      <c r="I76" s="584">
        <v>4</v>
      </c>
      <c r="J76" s="592">
        <f t="shared" si="49"/>
        <v>9.129999999999999</v>
      </c>
      <c r="K76" s="593">
        <f t="shared" si="42"/>
        <v>11.11</v>
      </c>
      <c r="L76" s="594" t="s">
        <v>16</v>
      </c>
      <c r="M76" s="92"/>
      <c r="N76" s="92"/>
      <c r="O76" s="93">
        <f t="shared" si="43"/>
        <v>0</v>
      </c>
      <c r="P76" s="93">
        <f t="shared" si="44"/>
        <v>0</v>
      </c>
      <c r="Q76" s="94"/>
      <c r="R76" s="92">
        <f t="shared" si="45"/>
        <v>0</v>
      </c>
      <c r="S76" s="92">
        <f t="shared" si="46"/>
        <v>0</v>
      </c>
      <c r="T76" s="93">
        <f t="shared" si="47"/>
        <v>0</v>
      </c>
      <c r="U76" s="95">
        <f t="shared" si="48"/>
        <v>0</v>
      </c>
      <c r="V76" s="94"/>
      <c r="W76" s="600"/>
      <c r="X76" s="580" t="str">
        <f t="shared" si="0"/>
        <v/>
      </c>
      <c r="Y76" s="580" t="str">
        <f t="shared" si="1"/>
        <v/>
      </c>
      <c r="Z76" s="580" t="str">
        <f t="shared" si="2"/>
        <v/>
      </c>
    </row>
    <row r="77" spans="1:26" hidden="1" x14ac:dyDescent="0.2">
      <c r="A77" s="1008">
        <v>520100</v>
      </c>
      <c r="B77" s="1010" t="s">
        <v>1929</v>
      </c>
      <c r="C77" s="978" t="s">
        <v>212</v>
      </c>
      <c r="D77" s="595" t="s">
        <v>514</v>
      </c>
      <c r="E77" s="596"/>
      <c r="F77" s="671"/>
      <c r="G77" s="597">
        <v>0</v>
      </c>
      <c r="H77" s="682">
        <v>0</v>
      </c>
      <c r="I77" s="584">
        <v>3.68</v>
      </c>
      <c r="J77" s="592">
        <f t="shared" si="49"/>
        <v>3.68</v>
      </c>
      <c r="K77" s="593">
        <f t="shared" si="42"/>
        <v>4.4800000000000004</v>
      </c>
      <c r="L77" s="594" t="s">
        <v>16</v>
      </c>
      <c r="M77" s="92"/>
      <c r="N77" s="92">
        <v>4.4800000000000004</v>
      </c>
      <c r="O77" s="93">
        <f t="shared" si="43"/>
        <v>0</v>
      </c>
      <c r="P77" s="93">
        <f t="shared" si="44"/>
        <v>0</v>
      </c>
      <c r="Q77" s="94"/>
      <c r="R77" s="92">
        <f t="shared" si="45"/>
        <v>0</v>
      </c>
      <c r="S77" s="92">
        <f t="shared" si="46"/>
        <v>4.4800000000000004</v>
      </c>
      <c r="T77" s="93">
        <f t="shared" si="47"/>
        <v>0</v>
      </c>
      <c r="U77" s="95">
        <f t="shared" si="48"/>
        <v>0</v>
      </c>
      <c r="V77" s="94"/>
      <c r="X77" s="580" t="str">
        <f t="shared" si="0"/>
        <v/>
      </c>
      <c r="Y77" s="580" t="str">
        <f t="shared" si="1"/>
        <v/>
      </c>
      <c r="Z77" s="580" t="str">
        <f t="shared" si="2"/>
        <v/>
      </c>
    </row>
    <row r="78" spans="1:26" ht="13.5" thickBot="1" x14ac:dyDescent="0.25">
      <c r="A78" s="1008">
        <v>520200</v>
      </c>
      <c r="B78" s="1107" t="s">
        <v>1934</v>
      </c>
      <c r="C78" s="1108" t="s">
        <v>212</v>
      </c>
      <c r="D78" s="1109" t="s">
        <v>515</v>
      </c>
      <c r="E78" s="1110"/>
      <c r="F78" s="671"/>
      <c r="G78" s="597"/>
      <c r="H78" s="682">
        <v>0</v>
      </c>
      <c r="I78" s="584">
        <v>4.5</v>
      </c>
      <c r="J78" s="592">
        <f t="shared" si="49"/>
        <v>4.5</v>
      </c>
      <c r="K78" s="593">
        <f t="shared" si="42"/>
        <v>5.48</v>
      </c>
      <c r="L78" s="594" t="s">
        <v>16</v>
      </c>
      <c r="M78" s="92">
        <v>2476.4899999999998</v>
      </c>
      <c r="N78" s="92">
        <v>5.57</v>
      </c>
      <c r="O78" s="93">
        <f t="shared" si="43"/>
        <v>13571.17</v>
      </c>
      <c r="P78" s="93">
        <f t="shared" si="44"/>
        <v>13794.05</v>
      </c>
      <c r="Q78" s="94"/>
      <c r="R78" s="1111">
        <f t="shared" si="45"/>
        <v>2476.4899999999998</v>
      </c>
      <c r="S78" s="1111">
        <f>K78</f>
        <v>5.48</v>
      </c>
      <c r="T78" s="1112">
        <f t="shared" si="47"/>
        <v>13571.17</v>
      </c>
      <c r="U78" s="1113">
        <f t="shared" si="48"/>
        <v>13571.17</v>
      </c>
      <c r="V78" s="1114"/>
      <c r="X78" s="580" t="str">
        <f t="shared" si="0"/>
        <v>x</v>
      </c>
      <c r="Y78" s="580" t="str">
        <f t="shared" si="1"/>
        <v>x</v>
      </c>
      <c r="Z78" s="580" t="str">
        <f t="shared" si="2"/>
        <v>x</v>
      </c>
    </row>
    <row r="79" spans="1:26" ht="13.5" hidden="1" thickBot="1" x14ac:dyDescent="0.25">
      <c r="A79" s="1008">
        <v>411000</v>
      </c>
      <c r="B79" s="1010" t="s">
        <v>1936</v>
      </c>
      <c r="C79" s="978" t="s">
        <v>212</v>
      </c>
      <c r="D79" s="595" t="s">
        <v>195</v>
      </c>
      <c r="E79" s="596"/>
      <c r="F79" s="671"/>
      <c r="G79" s="597">
        <v>0</v>
      </c>
      <c r="H79" s="682">
        <v>0</v>
      </c>
      <c r="I79" s="584">
        <v>6.31</v>
      </c>
      <c r="J79" s="592">
        <f t="shared" si="49"/>
        <v>6.31</v>
      </c>
      <c r="K79" s="593">
        <f t="shared" si="42"/>
        <v>7.68</v>
      </c>
      <c r="L79" s="594" t="s">
        <v>16</v>
      </c>
      <c r="M79" s="92"/>
      <c r="N79" s="92"/>
      <c r="O79" s="93">
        <f t="shared" si="43"/>
        <v>0</v>
      </c>
      <c r="P79" s="93">
        <f t="shared" si="44"/>
        <v>0</v>
      </c>
      <c r="Q79" s="94"/>
      <c r="R79" s="92">
        <f t="shared" si="45"/>
        <v>0</v>
      </c>
      <c r="S79" s="92">
        <f t="shared" si="46"/>
        <v>0</v>
      </c>
      <c r="T79" s="93">
        <f t="shared" si="47"/>
        <v>0</v>
      </c>
      <c r="U79" s="95">
        <f t="shared" si="48"/>
        <v>0</v>
      </c>
      <c r="V79" s="94"/>
      <c r="X79" s="580" t="str">
        <f t="shared" si="0"/>
        <v/>
      </c>
      <c r="Y79" s="580" t="str">
        <f t="shared" si="1"/>
        <v/>
      </c>
      <c r="Z79" s="580" t="str">
        <f t="shared" si="2"/>
        <v/>
      </c>
    </row>
    <row r="80" spans="1:26" ht="13.5" hidden="1" thickBot="1" x14ac:dyDescent="0.25">
      <c r="A80" s="1008">
        <v>421000</v>
      </c>
      <c r="B80" s="1010">
        <v>421000</v>
      </c>
      <c r="C80" s="978" t="s">
        <v>212</v>
      </c>
      <c r="D80" s="595" t="s">
        <v>196</v>
      </c>
      <c r="E80" s="596"/>
      <c r="F80" s="671">
        <v>1</v>
      </c>
      <c r="G80" s="597"/>
      <c r="H80" s="682">
        <v>0</v>
      </c>
      <c r="I80" s="584">
        <v>8.5</v>
      </c>
      <c r="J80" s="592">
        <f t="shared" si="49"/>
        <v>8.5</v>
      </c>
      <c r="K80" s="593">
        <f t="shared" si="42"/>
        <v>10.35</v>
      </c>
      <c r="L80" s="594" t="s">
        <v>16</v>
      </c>
      <c r="M80" s="92"/>
      <c r="N80" s="92"/>
      <c r="O80" s="93">
        <f t="shared" si="43"/>
        <v>0</v>
      </c>
      <c r="P80" s="93">
        <f t="shared" si="44"/>
        <v>0</v>
      </c>
      <c r="Q80" s="94"/>
      <c r="R80" s="92">
        <f t="shared" si="45"/>
        <v>0</v>
      </c>
      <c r="S80" s="92">
        <f t="shared" si="46"/>
        <v>0</v>
      </c>
      <c r="T80" s="93">
        <f t="shared" si="47"/>
        <v>0</v>
      </c>
      <c r="U80" s="95">
        <f t="shared" si="48"/>
        <v>0</v>
      </c>
      <c r="V80" s="94"/>
      <c r="X80" s="580" t="str">
        <f t="shared" si="0"/>
        <v/>
      </c>
      <c r="Y80" s="580" t="str">
        <f t="shared" si="1"/>
        <v/>
      </c>
      <c r="Z80" s="580" t="str">
        <f t="shared" si="2"/>
        <v/>
      </c>
    </row>
    <row r="81" spans="1:26" ht="13.5" hidden="1" thickBot="1" x14ac:dyDescent="0.25">
      <c r="A81" s="1008">
        <v>431010</v>
      </c>
      <c r="B81" s="1010">
        <v>431010</v>
      </c>
      <c r="C81" s="978" t="s">
        <v>212</v>
      </c>
      <c r="D81" s="595" t="s">
        <v>197</v>
      </c>
      <c r="E81" s="596"/>
      <c r="F81" s="671">
        <v>1</v>
      </c>
      <c r="G81" s="597">
        <v>0</v>
      </c>
      <c r="H81" s="682">
        <v>0</v>
      </c>
      <c r="I81" s="584">
        <v>26.659999999999997</v>
      </c>
      <c r="J81" s="592">
        <f t="shared" si="49"/>
        <v>26.659999999999997</v>
      </c>
      <c r="K81" s="593">
        <f t="shared" si="42"/>
        <v>32.450000000000003</v>
      </c>
      <c r="L81" s="594" t="s">
        <v>16</v>
      </c>
      <c r="M81" s="92"/>
      <c r="N81" s="92"/>
      <c r="O81" s="93">
        <f t="shared" si="43"/>
        <v>0</v>
      </c>
      <c r="P81" s="93">
        <f t="shared" si="44"/>
        <v>0</v>
      </c>
      <c r="Q81" s="94"/>
      <c r="R81" s="92">
        <f t="shared" si="45"/>
        <v>0</v>
      </c>
      <c r="S81" s="92">
        <f t="shared" si="46"/>
        <v>0</v>
      </c>
      <c r="T81" s="93">
        <f t="shared" si="47"/>
        <v>0</v>
      </c>
      <c r="U81" s="95">
        <f t="shared" si="48"/>
        <v>0</v>
      </c>
      <c r="V81" s="94"/>
      <c r="X81" s="580" t="str">
        <f t="shared" si="0"/>
        <v/>
      </c>
      <c r="Y81" s="580" t="str">
        <f t="shared" si="1"/>
        <v/>
      </c>
      <c r="Z81" s="580" t="str">
        <f t="shared" si="2"/>
        <v/>
      </c>
    </row>
    <row r="82" spans="1:26" ht="13.5" hidden="1" thickBot="1" x14ac:dyDescent="0.25">
      <c r="A82" s="1008">
        <v>520100</v>
      </c>
      <c r="B82" s="1010" t="s">
        <v>1930</v>
      </c>
      <c r="C82" s="978" t="s">
        <v>212</v>
      </c>
      <c r="D82" s="595" t="s">
        <v>198</v>
      </c>
      <c r="E82" s="596"/>
      <c r="F82" s="671">
        <v>15</v>
      </c>
      <c r="G82" s="597">
        <v>1.5</v>
      </c>
      <c r="H82" s="661">
        <f t="shared" ref="H82:H83" si="50">IF(F82&lt;=30,(0.7*F82+1.45)*G82,((0.7*30+1.45)+0.58*(F82-30))*G82)</f>
        <v>17.924999999999997</v>
      </c>
      <c r="I82" s="584">
        <v>3.68</v>
      </c>
      <c r="J82" s="592">
        <f t="shared" si="49"/>
        <v>21.604999999999997</v>
      </c>
      <c r="K82" s="593">
        <f t="shared" si="42"/>
        <v>26.3</v>
      </c>
      <c r="L82" s="594" t="s">
        <v>16</v>
      </c>
      <c r="M82" s="92"/>
      <c r="N82" s="92"/>
      <c r="O82" s="93">
        <f t="shared" si="43"/>
        <v>0</v>
      </c>
      <c r="P82" s="93">
        <f t="shared" si="44"/>
        <v>0</v>
      </c>
      <c r="Q82" s="94"/>
      <c r="R82" s="92">
        <f t="shared" si="45"/>
        <v>0</v>
      </c>
      <c r="S82" s="92">
        <f t="shared" si="46"/>
        <v>0</v>
      </c>
      <c r="T82" s="93">
        <f t="shared" si="47"/>
        <v>0</v>
      </c>
      <c r="U82" s="95">
        <f t="shared" si="48"/>
        <v>0</v>
      </c>
      <c r="V82" s="94"/>
      <c r="X82" s="580" t="str">
        <f t="shared" si="0"/>
        <v/>
      </c>
      <c r="Y82" s="580" t="str">
        <f t="shared" ref="Y82:Y138" si="51">IF(W82="X","x",IF(W82="y","x",IF(W82="xx","x",IF(U82&gt;0,"x",""))))</f>
        <v/>
      </c>
      <c r="Z82" s="580" t="str">
        <f t="shared" ref="Z82:Z152" si="52">IF(W82="X","x",IF(U82&gt;0,"x",""))</f>
        <v/>
      </c>
    </row>
    <row r="83" spans="1:26" ht="13.5" hidden="1" thickBot="1" x14ac:dyDescent="0.25">
      <c r="A83" s="1008">
        <v>520200</v>
      </c>
      <c r="B83" s="1010" t="s">
        <v>1935</v>
      </c>
      <c r="C83" s="978" t="s">
        <v>212</v>
      </c>
      <c r="D83" s="595" t="s">
        <v>199</v>
      </c>
      <c r="E83" s="596"/>
      <c r="F83" s="671">
        <v>4</v>
      </c>
      <c r="G83" s="597">
        <v>1.5</v>
      </c>
      <c r="H83" s="661">
        <f t="shared" si="50"/>
        <v>6.375</v>
      </c>
      <c r="I83" s="584">
        <v>4.5</v>
      </c>
      <c r="J83" s="592">
        <f t="shared" si="49"/>
        <v>10.875</v>
      </c>
      <c r="K83" s="593">
        <f t="shared" si="42"/>
        <v>13.24</v>
      </c>
      <c r="L83" s="594" t="s">
        <v>16</v>
      </c>
      <c r="M83" s="92"/>
      <c r="N83" s="92"/>
      <c r="O83" s="93">
        <f t="shared" si="43"/>
        <v>0</v>
      </c>
      <c r="P83" s="93">
        <f t="shared" si="44"/>
        <v>0</v>
      </c>
      <c r="Q83" s="94"/>
      <c r="R83" s="92">
        <f t="shared" si="45"/>
        <v>0</v>
      </c>
      <c r="S83" s="92">
        <f t="shared" si="46"/>
        <v>0</v>
      </c>
      <c r="T83" s="93">
        <f t="shared" si="47"/>
        <v>0</v>
      </c>
      <c r="U83" s="95">
        <f t="shared" si="48"/>
        <v>0</v>
      </c>
      <c r="V83" s="94"/>
      <c r="X83" s="580" t="str">
        <f t="shared" si="0"/>
        <v/>
      </c>
      <c r="Y83" s="580" t="str">
        <f t="shared" si="51"/>
        <v/>
      </c>
      <c r="Z83" s="580" t="str">
        <f t="shared" si="52"/>
        <v/>
      </c>
    </row>
    <row r="84" spans="1:26" ht="13.5" hidden="1" thickBot="1" x14ac:dyDescent="0.25">
      <c r="A84" s="1008">
        <v>411000</v>
      </c>
      <c r="B84" s="1010" t="s">
        <v>1937</v>
      </c>
      <c r="C84" s="978" t="s">
        <v>212</v>
      </c>
      <c r="D84" s="595" t="s">
        <v>194</v>
      </c>
      <c r="E84" s="596"/>
      <c r="F84" s="671"/>
      <c r="G84" s="597"/>
      <c r="H84" s="682">
        <f>IF(F84&lt;=30,(0.57*F84+1.18)*G84,((0.57*30+1.18)+0.47*(F84-30))*G84)</f>
        <v>0</v>
      </c>
      <c r="I84" s="584">
        <v>6.31</v>
      </c>
      <c r="J84" s="592">
        <f t="shared" si="49"/>
        <v>6.31</v>
      </c>
      <c r="K84" s="593">
        <f t="shared" si="42"/>
        <v>7.68</v>
      </c>
      <c r="L84" s="594" t="s">
        <v>16</v>
      </c>
      <c r="M84" s="92"/>
      <c r="N84" s="92"/>
      <c r="O84" s="93">
        <f t="shared" si="43"/>
        <v>0</v>
      </c>
      <c r="P84" s="93">
        <f t="shared" si="44"/>
        <v>0</v>
      </c>
      <c r="Q84" s="94"/>
      <c r="R84" s="92">
        <f t="shared" si="45"/>
        <v>0</v>
      </c>
      <c r="S84" s="92">
        <f t="shared" si="46"/>
        <v>0</v>
      </c>
      <c r="T84" s="93">
        <f t="shared" si="47"/>
        <v>0</v>
      </c>
      <c r="U84" s="95">
        <f t="shared" si="48"/>
        <v>0</v>
      </c>
      <c r="V84" s="94"/>
      <c r="W84" s="600"/>
      <c r="X84" s="580" t="str">
        <f t="shared" si="0"/>
        <v/>
      </c>
      <c r="Y84" s="580" t="str">
        <f t="shared" si="51"/>
        <v/>
      </c>
      <c r="Z84" s="580" t="str">
        <f t="shared" si="52"/>
        <v/>
      </c>
    </row>
    <row r="85" spans="1:26" ht="13.5" hidden="1" thickBot="1" x14ac:dyDescent="0.25">
      <c r="A85" s="1008">
        <v>420200</v>
      </c>
      <c r="B85" s="1010">
        <v>420200</v>
      </c>
      <c r="C85" s="978" t="s">
        <v>212</v>
      </c>
      <c r="D85" s="595" t="s">
        <v>760</v>
      </c>
      <c r="E85" s="596"/>
      <c r="F85" s="671">
        <v>1</v>
      </c>
      <c r="G85" s="597"/>
      <c r="H85" s="682">
        <f>IF(F85&lt;=30,(0.57*F85+1.18)*G85,((0.57*30+1.18)+0.47*(F85-30))*G85)</f>
        <v>0</v>
      </c>
      <c r="I85" s="584">
        <v>7.71</v>
      </c>
      <c r="J85" s="592">
        <f>IF(ISBLANK(I85),"",SUM(H85:I85))*0.9</f>
        <v>6.9390000000000001</v>
      </c>
      <c r="K85" s="593">
        <f t="shared" si="42"/>
        <v>8.4499999999999993</v>
      </c>
      <c r="L85" s="594" t="s">
        <v>16</v>
      </c>
      <c r="M85" s="92"/>
      <c r="N85" s="92"/>
      <c r="O85" s="93">
        <f t="shared" ref="O85" si="53">IF(ISBLANK(M85),0,ROUND(K85*M85,2))</f>
        <v>0</v>
      </c>
      <c r="P85" s="93">
        <f t="shared" ref="P85" si="54">IF(ISBLANK(N85),0,ROUND(M85*N85,2))</f>
        <v>0</v>
      </c>
      <c r="Q85" s="94"/>
      <c r="R85" s="92">
        <f t="shared" ref="R85" si="55">M85</f>
        <v>0</v>
      </c>
      <c r="S85" s="92">
        <f t="shared" ref="S85" si="56">N85</f>
        <v>0</v>
      </c>
      <c r="T85" s="93">
        <f t="shared" ref="T85" si="57">IF(ISBLANK(R85),0,ROUND(K85*R85,2))</f>
        <v>0</v>
      </c>
      <c r="U85" s="95">
        <f t="shared" ref="U85" si="58">IF(ISBLANK(R85),0,ROUND(R85*S85,2))</f>
        <v>0</v>
      </c>
      <c r="V85" s="94"/>
      <c r="W85" s="600"/>
      <c r="X85" s="580" t="str">
        <f t="shared" si="0"/>
        <v/>
      </c>
      <c r="Y85" s="580" t="str">
        <f t="shared" si="51"/>
        <v/>
      </c>
      <c r="Z85" s="580" t="str">
        <f t="shared" si="52"/>
        <v/>
      </c>
    </row>
    <row r="86" spans="1:26" ht="13.5" hidden="1" thickBot="1" x14ac:dyDescent="0.25">
      <c r="A86" s="1008">
        <v>404000</v>
      </c>
      <c r="B86" s="1010">
        <v>404000</v>
      </c>
      <c r="C86" s="978" t="s">
        <v>212</v>
      </c>
      <c r="D86" s="595" t="s">
        <v>193</v>
      </c>
      <c r="E86" s="596"/>
      <c r="F86" s="671">
        <v>2</v>
      </c>
      <c r="G86" s="597">
        <v>1.5</v>
      </c>
      <c r="H86" s="661">
        <f>IF(F86&lt;=30,(0.7*F86+1.45)*G86,((0.7*30+1.45)+0.58*(F86-30))*G86)</f>
        <v>4.2749999999999995</v>
      </c>
      <c r="I86" s="584">
        <v>7.78</v>
      </c>
      <c r="J86" s="592">
        <f t="shared" si="49"/>
        <v>12.055</v>
      </c>
      <c r="K86" s="593">
        <f t="shared" si="42"/>
        <v>14.67</v>
      </c>
      <c r="L86" s="594" t="s">
        <v>16</v>
      </c>
      <c r="M86" s="92"/>
      <c r="N86" s="92"/>
      <c r="O86" s="93">
        <f t="shared" si="43"/>
        <v>0</v>
      </c>
      <c r="P86" s="93">
        <f t="shared" si="44"/>
        <v>0</v>
      </c>
      <c r="Q86" s="94"/>
      <c r="R86" s="92">
        <f t="shared" si="45"/>
        <v>0</v>
      </c>
      <c r="S86" s="92">
        <f t="shared" si="46"/>
        <v>0</v>
      </c>
      <c r="T86" s="93">
        <f t="shared" si="47"/>
        <v>0</v>
      </c>
      <c r="U86" s="95">
        <f t="shared" si="48"/>
        <v>0</v>
      </c>
      <c r="V86" s="94"/>
      <c r="W86" s="600"/>
      <c r="X86" s="580" t="str">
        <f t="shared" si="0"/>
        <v/>
      </c>
      <c r="Y86" s="580" t="str">
        <f t="shared" si="51"/>
        <v/>
      </c>
      <c r="Z86" s="580" t="str">
        <f t="shared" si="52"/>
        <v/>
      </c>
    </row>
    <row r="87" spans="1:26" ht="13.5" hidden="1" thickBot="1" x14ac:dyDescent="0.25">
      <c r="A87" s="602" t="s">
        <v>187</v>
      </c>
      <c r="B87" s="1013" t="s">
        <v>187</v>
      </c>
      <c r="C87" s="1014"/>
      <c r="D87" s="603" t="s">
        <v>186</v>
      </c>
      <c r="E87" s="910"/>
      <c r="F87" s="676"/>
      <c r="G87" s="604"/>
      <c r="H87" s="911"/>
      <c r="I87" s="605"/>
      <c r="J87" s="605"/>
      <c r="K87" s="605"/>
      <c r="L87" s="605" t="s">
        <v>783</v>
      </c>
      <c r="M87" s="606"/>
      <c r="N87" s="605"/>
      <c r="O87" s="605"/>
      <c r="P87" s="607"/>
      <c r="Q87" s="94"/>
      <c r="R87" s="606"/>
      <c r="S87" s="605"/>
      <c r="T87" s="605"/>
      <c r="U87" s="607"/>
      <c r="V87" s="94"/>
      <c r="W87" s="579" t="str">
        <f>IF(OR(SUM(P88:P112)&gt;0,SUM(U88:U112)&gt;0),"y","")</f>
        <v/>
      </c>
      <c r="X87" s="580" t="str">
        <f t="shared" ref="X87:X157" si="59">IF(W87="X","x",IF(W87="xx","x",IF(W87="xy","x",IF(W87="y","x",IF(OR(P87&gt;0,U87&gt;0),"x","")))))</f>
        <v/>
      </c>
      <c r="Y87" s="580" t="str">
        <f t="shared" si="51"/>
        <v/>
      </c>
      <c r="Z87" s="580" t="str">
        <f t="shared" si="52"/>
        <v/>
      </c>
    </row>
    <row r="88" spans="1:26" ht="13.5" hidden="1" thickBot="1" x14ac:dyDescent="0.25">
      <c r="A88" s="602" t="s">
        <v>187</v>
      </c>
      <c r="B88" s="1015" t="s">
        <v>187</v>
      </c>
      <c r="C88" s="1016" t="s">
        <v>187</v>
      </c>
      <c r="D88" s="608"/>
      <c r="E88" s="609"/>
      <c r="F88" s="677"/>
      <c r="G88" s="610"/>
      <c r="H88" s="611"/>
      <c r="I88" s="612"/>
      <c r="J88" s="613"/>
      <c r="K88" s="614">
        <f t="shared" ref="K88:K112" si="60">IF(ISBLANK(J88),0,ROUND(J88*(1+$F$10)*(1+$F$11*E88),2))</f>
        <v>0</v>
      </c>
      <c r="L88" s="615" t="s">
        <v>783</v>
      </c>
      <c r="M88" s="599"/>
      <c r="N88" s="599"/>
      <c r="O88" s="93">
        <f t="shared" ref="O88" si="61">IF(ISBLANK(M88),0,ROUND(K88*M88,2))</f>
        <v>0</v>
      </c>
      <c r="P88" s="95">
        <f t="shared" ref="P88:P112" si="62">IF(ISBLANK(N88),0,ROUND(M88*N88,2))</f>
        <v>0</v>
      </c>
      <c r="Q88" s="94"/>
      <c r="R88" s="598">
        <f t="shared" ref="R88:R112" si="63">M88</f>
        <v>0</v>
      </c>
      <c r="S88" s="599">
        <f t="shared" ref="S88:S112" si="64">N88</f>
        <v>0</v>
      </c>
      <c r="T88" s="93">
        <f t="shared" ref="T88:T112" si="65">IF(ISBLANK(R88),0,ROUND(K88*R88,2))</f>
        <v>0</v>
      </c>
      <c r="U88" s="95">
        <f t="shared" ref="U88:U112" si="66">IF(ISBLANK(R88),0,ROUND(R88*S88,2))</f>
        <v>0</v>
      </c>
      <c r="V88" s="94"/>
      <c r="X88" s="580" t="str">
        <f t="shared" si="59"/>
        <v/>
      </c>
      <c r="Y88" s="580" t="str">
        <f t="shared" si="51"/>
        <v/>
      </c>
      <c r="Z88" s="580" t="str">
        <f t="shared" si="52"/>
        <v/>
      </c>
    </row>
    <row r="89" spans="1:26" ht="13.5" hidden="1" thickBot="1" x14ac:dyDescent="0.25">
      <c r="A89" s="602" t="s">
        <v>187</v>
      </c>
      <c r="B89" s="1015" t="s">
        <v>187</v>
      </c>
      <c r="C89" s="1016" t="s">
        <v>187</v>
      </c>
      <c r="D89" s="616"/>
      <c r="E89" s="609"/>
      <c r="F89" s="677"/>
      <c r="G89" s="610"/>
      <c r="H89" s="611"/>
      <c r="I89" s="612"/>
      <c r="J89" s="613"/>
      <c r="K89" s="617">
        <f t="shared" si="60"/>
        <v>0</v>
      </c>
      <c r="L89" s="615" t="s">
        <v>783</v>
      </c>
      <c r="M89" s="92"/>
      <c r="N89" s="92"/>
      <c r="O89" s="93">
        <f>IF(ISBLANK(M89),0,ROUND(K89*M89,2))</f>
        <v>0</v>
      </c>
      <c r="P89" s="93">
        <f t="shared" si="62"/>
        <v>0</v>
      </c>
      <c r="Q89" s="94"/>
      <c r="R89" s="92">
        <f t="shared" si="63"/>
        <v>0</v>
      </c>
      <c r="S89" s="92">
        <f t="shared" si="64"/>
        <v>0</v>
      </c>
      <c r="T89" s="93">
        <f t="shared" si="65"/>
        <v>0</v>
      </c>
      <c r="U89" s="618">
        <f t="shared" si="66"/>
        <v>0</v>
      </c>
      <c r="V89" s="94"/>
      <c r="X89" s="580" t="str">
        <f t="shared" si="59"/>
        <v/>
      </c>
      <c r="Y89" s="580" t="str">
        <f t="shared" si="51"/>
        <v/>
      </c>
      <c r="Z89" s="580" t="str">
        <f t="shared" si="52"/>
        <v/>
      </c>
    </row>
    <row r="90" spans="1:26" ht="13.5" hidden="1" thickBot="1" x14ac:dyDescent="0.25">
      <c r="A90" s="602" t="s">
        <v>187</v>
      </c>
      <c r="B90" s="1015" t="s">
        <v>187</v>
      </c>
      <c r="C90" s="1016" t="s">
        <v>187</v>
      </c>
      <c r="D90" s="616"/>
      <c r="E90" s="609"/>
      <c r="F90" s="677"/>
      <c r="G90" s="610"/>
      <c r="H90" s="611"/>
      <c r="I90" s="612"/>
      <c r="J90" s="613"/>
      <c r="K90" s="617">
        <f t="shared" si="60"/>
        <v>0</v>
      </c>
      <c r="L90" s="615" t="s">
        <v>783</v>
      </c>
      <c r="M90" s="92"/>
      <c r="N90" s="92"/>
      <c r="O90" s="93">
        <f t="shared" ref="O90:O112" si="67">IF(ISBLANK(M90),0,ROUND(K90*M90,2))</f>
        <v>0</v>
      </c>
      <c r="P90" s="93">
        <f t="shared" si="62"/>
        <v>0</v>
      </c>
      <c r="Q90" s="94"/>
      <c r="R90" s="92">
        <f t="shared" si="63"/>
        <v>0</v>
      </c>
      <c r="S90" s="92">
        <f t="shared" si="64"/>
        <v>0</v>
      </c>
      <c r="T90" s="93">
        <f t="shared" si="65"/>
        <v>0</v>
      </c>
      <c r="U90" s="95">
        <f t="shared" si="66"/>
        <v>0</v>
      </c>
      <c r="V90" s="94"/>
      <c r="X90" s="580" t="str">
        <f t="shared" si="59"/>
        <v/>
      </c>
      <c r="Y90" s="580" t="str">
        <f t="shared" si="51"/>
        <v/>
      </c>
      <c r="Z90" s="580" t="str">
        <f t="shared" si="52"/>
        <v/>
      </c>
    </row>
    <row r="91" spans="1:26" ht="13.5" hidden="1" thickBot="1" x14ac:dyDescent="0.25">
      <c r="A91" s="602" t="s">
        <v>187</v>
      </c>
      <c r="B91" s="1015" t="s">
        <v>187</v>
      </c>
      <c r="C91" s="1016" t="s">
        <v>187</v>
      </c>
      <c r="D91" s="616"/>
      <c r="E91" s="609"/>
      <c r="F91" s="677"/>
      <c r="G91" s="610"/>
      <c r="H91" s="611"/>
      <c r="I91" s="612"/>
      <c r="J91" s="613"/>
      <c r="K91" s="617">
        <f t="shared" si="60"/>
        <v>0</v>
      </c>
      <c r="L91" s="615" t="s">
        <v>783</v>
      </c>
      <c r="M91" s="92"/>
      <c r="N91" s="92"/>
      <c r="O91" s="93">
        <f t="shared" si="67"/>
        <v>0</v>
      </c>
      <c r="P91" s="93">
        <f t="shared" si="62"/>
        <v>0</v>
      </c>
      <c r="Q91" s="94"/>
      <c r="R91" s="92">
        <f t="shared" si="63"/>
        <v>0</v>
      </c>
      <c r="S91" s="92">
        <f t="shared" si="64"/>
        <v>0</v>
      </c>
      <c r="T91" s="93">
        <f t="shared" si="65"/>
        <v>0</v>
      </c>
      <c r="U91" s="95">
        <f t="shared" si="66"/>
        <v>0</v>
      </c>
      <c r="V91" s="94"/>
      <c r="X91" s="580" t="str">
        <f t="shared" si="59"/>
        <v/>
      </c>
      <c r="Y91" s="580" t="str">
        <f t="shared" si="51"/>
        <v/>
      </c>
      <c r="Z91" s="580" t="str">
        <f t="shared" si="52"/>
        <v/>
      </c>
    </row>
    <row r="92" spans="1:26" ht="13.5" hidden="1" thickBot="1" x14ac:dyDescent="0.25">
      <c r="A92" s="602" t="s">
        <v>187</v>
      </c>
      <c r="B92" s="1015" t="s">
        <v>187</v>
      </c>
      <c r="C92" s="1016" t="s">
        <v>187</v>
      </c>
      <c r="D92" s="616"/>
      <c r="E92" s="609"/>
      <c r="F92" s="677"/>
      <c r="G92" s="610"/>
      <c r="H92" s="611"/>
      <c r="I92" s="612"/>
      <c r="J92" s="613"/>
      <c r="K92" s="617">
        <f t="shared" si="60"/>
        <v>0</v>
      </c>
      <c r="L92" s="615" t="s">
        <v>783</v>
      </c>
      <c r="M92" s="92"/>
      <c r="N92" s="92"/>
      <c r="O92" s="93">
        <f t="shared" si="67"/>
        <v>0</v>
      </c>
      <c r="P92" s="93">
        <f t="shared" si="62"/>
        <v>0</v>
      </c>
      <c r="Q92" s="94"/>
      <c r="R92" s="92">
        <f t="shared" si="63"/>
        <v>0</v>
      </c>
      <c r="S92" s="92">
        <f t="shared" si="64"/>
        <v>0</v>
      </c>
      <c r="T92" s="93">
        <f t="shared" si="65"/>
        <v>0</v>
      </c>
      <c r="U92" s="95">
        <f t="shared" si="66"/>
        <v>0</v>
      </c>
      <c r="V92" s="94"/>
      <c r="X92" s="580" t="str">
        <f t="shared" si="59"/>
        <v/>
      </c>
      <c r="Y92" s="580" t="str">
        <f t="shared" si="51"/>
        <v/>
      </c>
      <c r="Z92" s="580" t="str">
        <f t="shared" si="52"/>
        <v/>
      </c>
    </row>
    <row r="93" spans="1:26" ht="13.5" hidden="1" thickBot="1" x14ac:dyDescent="0.25">
      <c r="A93" s="602" t="s">
        <v>187</v>
      </c>
      <c r="B93" s="1015" t="s">
        <v>187</v>
      </c>
      <c r="C93" s="1016" t="s">
        <v>187</v>
      </c>
      <c r="D93" s="616"/>
      <c r="E93" s="609"/>
      <c r="F93" s="677"/>
      <c r="G93" s="610"/>
      <c r="H93" s="611"/>
      <c r="I93" s="612"/>
      <c r="J93" s="613"/>
      <c r="K93" s="617">
        <f t="shared" si="60"/>
        <v>0</v>
      </c>
      <c r="L93" s="615" t="s">
        <v>783</v>
      </c>
      <c r="M93" s="92"/>
      <c r="N93" s="92"/>
      <c r="O93" s="93">
        <f t="shared" si="67"/>
        <v>0</v>
      </c>
      <c r="P93" s="93">
        <f t="shared" si="62"/>
        <v>0</v>
      </c>
      <c r="Q93" s="94"/>
      <c r="R93" s="92">
        <f t="shared" si="63"/>
        <v>0</v>
      </c>
      <c r="S93" s="92">
        <f t="shared" si="64"/>
        <v>0</v>
      </c>
      <c r="T93" s="93">
        <f t="shared" si="65"/>
        <v>0</v>
      </c>
      <c r="U93" s="95">
        <f t="shared" si="66"/>
        <v>0</v>
      </c>
      <c r="V93" s="94"/>
      <c r="X93" s="580" t="str">
        <f t="shared" si="59"/>
        <v/>
      </c>
      <c r="Y93" s="580" t="str">
        <f t="shared" si="51"/>
        <v/>
      </c>
      <c r="Z93" s="580" t="str">
        <f t="shared" si="52"/>
        <v/>
      </c>
    </row>
    <row r="94" spans="1:26" ht="13.5" hidden="1" thickBot="1" x14ac:dyDescent="0.25">
      <c r="A94" s="602" t="s">
        <v>187</v>
      </c>
      <c r="B94" s="1015" t="s">
        <v>187</v>
      </c>
      <c r="C94" s="1016" t="s">
        <v>187</v>
      </c>
      <c r="D94" s="616"/>
      <c r="E94" s="609"/>
      <c r="F94" s="677"/>
      <c r="G94" s="610"/>
      <c r="H94" s="611"/>
      <c r="I94" s="612"/>
      <c r="J94" s="613"/>
      <c r="K94" s="617">
        <f t="shared" si="60"/>
        <v>0</v>
      </c>
      <c r="L94" s="615" t="s">
        <v>783</v>
      </c>
      <c r="M94" s="92"/>
      <c r="N94" s="92"/>
      <c r="O94" s="93">
        <f t="shared" si="67"/>
        <v>0</v>
      </c>
      <c r="P94" s="93">
        <f t="shared" si="62"/>
        <v>0</v>
      </c>
      <c r="Q94" s="94"/>
      <c r="R94" s="92">
        <f t="shared" si="63"/>
        <v>0</v>
      </c>
      <c r="S94" s="92">
        <f t="shared" si="64"/>
        <v>0</v>
      </c>
      <c r="T94" s="93">
        <f t="shared" si="65"/>
        <v>0</v>
      </c>
      <c r="U94" s="95">
        <f t="shared" si="66"/>
        <v>0</v>
      </c>
      <c r="V94" s="94"/>
      <c r="X94" s="580" t="str">
        <f t="shared" si="59"/>
        <v/>
      </c>
      <c r="Y94" s="580" t="str">
        <f t="shared" si="51"/>
        <v/>
      </c>
      <c r="Z94" s="580" t="str">
        <f t="shared" si="52"/>
        <v/>
      </c>
    </row>
    <row r="95" spans="1:26" ht="13.5" hidden="1" thickBot="1" x14ac:dyDescent="0.25">
      <c r="A95" s="602" t="s">
        <v>187</v>
      </c>
      <c r="B95" s="1015" t="s">
        <v>187</v>
      </c>
      <c r="C95" s="1016" t="s">
        <v>187</v>
      </c>
      <c r="D95" s="616"/>
      <c r="E95" s="609"/>
      <c r="F95" s="677"/>
      <c r="G95" s="610"/>
      <c r="H95" s="611"/>
      <c r="I95" s="612"/>
      <c r="J95" s="613"/>
      <c r="K95" s="617">
        <f t="shared" si="60"/>
        <v>0</v>
      </c>
      <c r="L95" s="615" t="s">
        <v>783</v>
      </c>
      <c r="M95" s="92"/>
      <c r="N95" s="92"/>
      <c r="O95" s="93">
        <f t="shared" si="67"/>
        <v>0</v>
      </c>
      <c r="P95" s="93">
        <f t="shared" si="62"/>
        <v>0</v>
      </c>
      <c r="Q95" s="94"/>
      <c r="R95" s="92">
        <f t="shared" si="63"/>
        <v>0</v>
      </c>
      <c r="S95" s="92">
        <f t="shared" si="64"/>
        <v>0</v>
      </c>
      <c r="T95" s="93">
        <f t="shared" si="65"/>
        <v>0</v>
      </c>
      <c r="U95" s="95">
        <f t="shared" si="66"/>
        <v>0</v>
      </c>
      <c r="V95" s="94"/>
      <c r="X95" s="580" t="str">
        <f t="shared" si="59"/>
        <v/>
      </c>
      <c r="Y95" s="580" t="str">
        <f t="shared" si="51"/>
        <v/>
      </c>
      <c r="Z95" s="580" t="str">
        <f t="shared" si="52"/>
        <v/>
      </c>
    </row>
    <row r="96" spans="1:26" ht="13.5" hidden="1" thickBot="1" x14ac:dyDescent="0.25">
      <c r="A96" s="602" t="s">
        <v>187</v>
      </c>
      <c r="B96" s="1015" t="s">
        <v>187</v>
      </c>
      <c r="C96" s="1016" t="s">
        <v>187</v>
      </c>
      <c r="D96" s="616"/>
      <c r="E96" s="609"/>
      <c r="F96" s="677"/>
      <c r="G96" s="610"/>
      <c r="H96" s="611"/>
      <c r="I96" s="612"/>
      <c r="J96" s="613"/>
      <c r="K96" s="617">
        <f t="shared" si="60"/>
        <v>0</v>
      </c>
      <c r="L96" s="615" t="s">
        <v>783</v>
      </c>
      <c r="M96" s="92"/>
      <c r="N96" s="92"/>
      <c r="O96" s="93">
        <f t="shared" si="67"/>
        <v>0</v>
      </c>
      <c r="P96" s="93">
        <f t="shared" si="62"/>
        <v>0</v>
      </c>
      <c r="Q96" s="94"/>
      <c r="R96" s="92">
        <f t="shared" si="63"/>
        <v>0</v>
      </c>
      <c r="S96" s="92">
        <f t="shared" si="64"/>
        <v>0</v>
      </c>
      <c r="T96" s="93">
        <f t="shared" si="65"/>
        <v>0</v>
      </c>
      <c r="U96" s="95">
        <f t="shared" si="66"/>
        <v>0</v>
      </c>
      <c r="V96" s="94"/>
      <c r="X96" s="580" t="str">
        <f t="shared" si="59"/>
        <v/>
      </c>
      <c r="Y96" s="580" t="str">
        <f t="shared" si="51"/>
        <v/>
      </c>
      <c r="Z96" s="580" t="str">
        <f t="shared" si="52"/>
        <v/>
      </c>
    </row>
    <row r="97" spans="1:26" ht="13.5" hidden="1" thickBot="1" x14ac:dyDescent="0.25">
      <c r="A97" s="602" t="s">
        <v>187</v>
      </c>
      <c r="B97" s="1015" t="s">
        <v>187</v>
      </c>
      <c r="C97" s="1016" t="s">
        <v>187</v>
      </c>
      <c r="D97" s="616"/>
      <c r="E97" s="609"/>
      <c r="F97" s="677"/>
      <c r="G97" s="610"/>
      <c r="H97" s="611"/>
      <c r="I97" s="612"/>
      <c r="J97" s="613"/>
      <c r="K97" s="617">
        <f t="shared" si="60"/>
        <v>0</v>
      </c>
      <c r="L97" s="615" t="s">
        <v>783</v>
      </c>
      <c r="M97" s="92"/>
      <c r="N97" s="92"/>
      <c r="O97" s="93">
        <f t="shared" si="67"/>
        <v>0</v>
      </c>
      <c r="P97" s="93">
        <f t="shared" si="62"/>
        <v>0</v>
      </c>
      <c r="Q97" s="94"/>
      <c r="R97" s="92">
        <f t="shared" si="63"/>
        <v>0</v>
      </c>
      <c r="S97" s="92">
        <f t="shared" si="64"/>
        <v>0</v>
      </c>
      <c r="T97" s="93">
        <f t="shared" si="65"/>
        <v>0</v>
      </c>
      <c r="U97" s="95">
        <f t="shared" si="66"/>
        <v>0</v>
      </c>
      <c r="V97" s="94"/>
      <c r="X97" s="580" t="str">
        <f t="shared" si="59"/>
        <v/>
      </c>
      <c r="Y97" s="580" t="str">
        <f t="shared" si="51"/>
        <v/>
      </c>
      <c r="Z97" s="580" t="str">
        <f t="shared" si="52"/>
        <v/>
      </c>
    </row>
    <row r="98" spans="1:26" ht="13.5" hidden="1" thickBot="1" x14ac:dyDescent="0.25">
      <c r="A98" s="602" t="s">
        <v>187</v>
      </c>
      <c r="B98" s="1015" t="s">
        <v>187</v>
      </c>
      <c r="C98" s="1016" t="s">
        <v>187</v>
      </c>
      <c r="D98" s="616"/>
      <c r="E98" s="609"/>
      <c r="F98" s="677"/>
      <c r="G98" s="610"/>
      <c r="H98" s="611"/>
      <c r="I98" s="612"/>
      <c r="J98" s="613"/>
      <c r="K98" s="617">
        <f t="shared" si="60"/>
        <v>0</v>
      </c>
      <c r="L98" s="615" t="s">
        <v>783</v>
      </c>
      <c r="M98" s="92"/>
      <c r="N98" s="92"/>
      <c r="O98" s="93">
        <f t="shared" si="67"/>
        <v>0</v>
      </c>
      <c r="P98" s="93">
        <f t="shared" si="62"/>
        <v>0</v>
      </c>
      <c r="Q98" s="94"/>
      <c r="R98" s="92">
        <f t="shared" si="63"/>
        <v>0</v>
      </c>
      <c r="S98" s="92">
        <f t="shared" si="64"/>
        <v>0</v>
      </c>
      <c r="T98" s="93">
        <f t="shared" si="65"/>
        <v>0</v>
      </c>
      <c r="U98" s="95">
        <f t="shared" si="66"/>
        <v>0</v>
      </c>
      <c r="V98" s="94"/>
      <c r="X98" s="580" t="str">
        <f t="shared" si="59"/>
        <v/>
      </c>
      <c r="Y98" s="580" t="str">
        <f t="shared" si="51"/>
        <v/>
      </c>
      <c r="Z98" s="580" t="str">
        <f t="shared" si="52"/>
        <v/>
      </c>
    </row>
    <row r="99" spans="1:26" ht="13.5" hidden="1" thickBot="1" x14ac:dyDescent="0.25">
      <c r="A99" s="602" t="s">
        <v>187</v>
      </c>
      <c r="B99" s="1015" t="s">
        <v>187</v>
      </c>
      <c r="C99" s="1016" t="s">
        <v>187</v>
      </c>
      <c r="D99" s="616"/>
      <c r="E99" s="609"/>
      <c r="F99" s="677"/>
      <c r="G99" s="610"/>
      <c r="H99" s="611"/>
      <c r="I99" s="612"/>
      <c r="J99" s="613"/>
      <c r="K99" s="617">
        <f t="shared" si="60"/>
        <v>0</v>
      </c>
      <c r="L99" s="615" t="s">
        <v>783</v>
      </c>
      <c r="M99" s="92"/>
      <c r="N99" s="92"/>
      <c r="O99" s="93">
        <f t="shared" si="67"/>
        <v>0</v>
      </c>
      <c r="P99" s="93">
        <f t="shared" si="62"/>
        <v>0</v>
      </c>
      <c r="Q99" s="94"/>
      <c r="R99" s="92">
        <f t="shared" si="63"/>
        <v>0</v>
      </c>
      <c r="S99" s="92">
        <f t="shared" si="64"/>
        <v>0</v>
      </c>
      <c r="T99" s="93">
        <f t="shared" si="65"/>
        <v>0</v>
      </c>
      <c r="U99" s="95">
        <f t="shared" si="66"/>
        <v>0</v>
      </c>
      <c r="V99" s="94"/>
      <c r="X99" s="580" t="str">
        <f t="shared" si="59"/>
        <v/>
      </c>
      <c r="Y99" s="580" t="str">
        <f t="shared" si="51"/>
        <v/>
      </c>
      <c r="Z99" s="580" t="str">
        <f t="shared" si="52"/>
        <v/>
      </c>
    </row>
    <row r="100" spans="1:26" ht="13.5" hidden="1" thickBot="1" x14ac:dyDescent="0.25">
      <c r="A100" s="602" t="s">
        <v>187</v>
      </c>
      <c r="B100" s="1015" t="s">
        <v>187</v>
      </c>
      <c r="C100" s="1016" t="s">
        <v>187</v>
      </c>
      <c r="D100" s="616"/>
      <c r="E100" s="609"/>
      <c r="F100" s="677"/>
      <c r="G100" s="610"/>
      <c r="H100" s="611"/>
      <c r="I100" s="612"/>
      <c r="J100" s="613"/>
      <c r="K100" s="617">
        <f t="shared" si="60"/>
        <v>0</v>
      </c>
      <c r="L100" s="615" t="s">
        <v>783</v>
      </c>
      <c r="M100" s="92"/>
      <c r="N100" s="92"/>
      <c r="O100" s="93">
        <f t="shared" si="67"/>
        <v>0</v>
      </c>
      <c r="P100" s="93">
        <f t="shared" si="62"/>
        <v>0</v>
      </c>
      <c r="Q100" s="94"/>
      <c r="R100" s="92">
        <f t="shared" si="63"/>
        <v>0</v>
      </c>
      <c r="S100" s="92">
        <f t="shared" si="64"/>
        <v>0</v>
      </c>
      <c r="T100" s="93">
        <f t="shared" si="65"/>
        <v>0</v>
      </c>
      <c r="U100" s="95">
        <f t="shared" si="66"/>
        <v>0</v>
      </c>
      <c r="V100" s="94"/>
      <c r="X100" s="580" t="str">
        <f t="shared" si="59"/>
        <v/>
      </c>
      <c r="Y100" s="580" t="str">
        <f t="shared" si="51"/>
        <v/>
      </c>
      <c r="Z100" s="580" t="str">
        <f t="shared" si="52"/>
        <v/>
      </c>
    </row>
    <row r="101" spans="1:26" ht="13.5" hidden="1" thickBot="1" x14ac:dyDescent="0.25">
      <c r="A101" s="602" t="s">
        <v>187</v>
      </c>
      <c r="B101" s="1015" t="s">
        <v>187</v>
      </c>
      <c r="C101" s="1016" t="s">
        <v>187</v>
      </c>
      <c r="D101" s="616"/>
      <c r="E101" s="609"/>
      <c r="F101" s="677"/>
      <c r="G101" s="610"/>
      <c r="H101" s="611"/>
      <c r="I101" s="612"/>
      <c r="J101" s="613"/>
      <c r="K101" s="617">
        <f t="shared" si="60"/>
        <v>0</v>
      </c>
      <c r="L101" s="615" t="s">
        <v>783</v>
      </c>
      <c r="M101" s="92"/>
      <c r="N101" s="92"/>
      <c r="O101" s="93">
        <f t="shared" si="67"/>
        <v>0</v>
      </c>
      <c r="P101" s="93">
        <f t="shared" si="62"/>
        <v>0</v>
      </c>
      <c r="Q101" s="94"/>
      <c r="R101" s="92">
        <f t="shared" si="63"/>
        <v>0</v>
      </c>
      <c r="S101" s="92">
        <f t="shared" si="64"/>
        <v>0</v>
      </c>
      <c r="T101" s="93">
        <f t="shared" si="65"/>
        <v>0</v>
      </c>
      <c r="U101" s="95">
        <f t="shared" si="66"/>
        <v>0</v>
      </c>
      <c r="V101" s="94"/>
      <c r="X101" s="580" t="str">
        <f t="shared" si="59"/>
        <v/>
      </c>
      <c r="Y101" s="580" t="str">
        <f t="shared" si="51"/>
        <v/>
      </c>
      <c r="Z101" s="580" t="str">
        <f t="shared" si="52"/>
        <v/>
      </c>
    </row>
    <row r="102" spans="1:26" ht="13.5" hidden="1" thickBot="1" x14ac:dyDescent="0.25">
      <c r="A102" s="602" t="s">
        <v>187</v>
      </c>
      <c r="B102" s="1015" t="s">
        <v>187</v>
      </c>
      <c r="C102" s="1016" t="s">
        <v>187</v>
      </c>
      <c r="D102" s="616"/>
      <c r="E102" s="609"/>
      <c r="F102" s="677"/>
      <c r="G102" s="610"/>
      <c r="H102" s="611"/>
      <c r="I102" s="612"/>
      <c r="J102" s="613"/>
      <c r="K102" s="617">
        <f t="shared" si="60"/>
        <v>0</v>
      </c>
      <c r="L102" s="615" t="s">
        <v>783</v>
      </c>
      <c r="M102" s="92"/>
      <c r="N102" s="92"/>
      <c r="O102" s="93">
        <f t="shared" si="67"/>
        <v>0</v>
      </c>
      <c r="P102" s="93">
        <f t="shared" si="62"/>
        <v>0</v>
      </c>
      <c r="Q102" s="94"/>
      <c r="R102" s="92">
        <f t="shared" si="63"/>
        <v>0</v>
      </c>
      <c r="S102" s="92">
        <f t="shared" si="64"/>
        <v>0</v>
      </c>
      <c r="T102" s="93">
        <f t="shared" si="65"/>
        <v>0</v>
      </c>
      <c r="U102" s="95">
        <f t="shared" si="66"/>
        <v>0</v>
      </c>
      <c r="V102" s="94"/>
      <c r="X102" s="580" t="str">
        <f t="shared" si="59"/>
        <v/>
      </c>
      <c r="Y102" s="580" t="str">
        <f t="shared" si="51"/>
        <v/>
      </c>
      <c r="Z102" s="580" t="str">
        <f t="shared" si="52"/>
        <v/>
      </c>
    </row>
    <row r="103" spans="1:26" ht="13.5" hidden="1" thickBot="1" x14ac:dyDescent="0.25">
      <c r="A103" s="602" t="s">
        <v>187</v>
      </c>
      <c r="B103" s="1015" t="s">
        <v>187</v>
      </c>
      <c r="C103" s="1016" t="s">
        <v>187</v>
      </c>
      <c r="D103" s="616"/>
      <c r="E103" s="609"/>
      <c r="F103" s="677"/>
      <c r="G103" s="610"/>
      <c r="H103" s="611"/>
      <c r="I103" s="612"/>
      <c r="J103" s="613"/>
      <c r="K103" s="617">
        <f t="shared" si="60"/>
        <v>0</v>
      </c>
      <c r="L103" s="615" t="s">
        <v>783</v>
      </c>
      <c r="M103" s="92"/>
      <c r="N103" s="92"/>
      <c r="O103" s="93">
        <f t="shared" si="67"/>
        <v>0</v>
      </c>
      <c r="P103" s="93">
        <f t="shared" si="62"/>
        <v>0</v>
      </c>
      <c r="Q103" s="94"/>
      <c r="R103" s="92">
        <f t="shared" si="63"/>
        <v>0</v>
      </c>
      <c r="S103" s="92">
        <f t="shared" si="64"/>
        <v>0</v>
      </c>
      <c r="T103" s="93">
        <f t="shared" si="65"/>
        <v>0</v>
      </c>
      <c r="U103" s="95">
        <f t="shared" si="66"/>
        <v>0</v>
      </c>
      <c r="V103" s="94"/>
      <c r="X103" s="580" t="str">
        <f t="shared" si="59"/>
        <v/>
      </c>
      <c r="Y103" s="580" t="str">
        <f t="shared" si="51"/>
        <v/>
      </c>
      <c r="Z103" s="580" t="str">
        <f t="shared" si="52"/>
        <v/>
      </c>
    </row>
    <row r="104" spans="1:26" ht="13.5" hidden="1" thickBot="1" x14ac:dyDescent="0.25">
      <c r="A104" s="602" t="s">
        <v>187</v>
      </c>
      <c r="B104" s="1015" t="s">
        <v>187</v>
      </c>
      <c r="C104" s="1016" t="s">
        <v>187</v>
      </c>
      <c r="D104" s="616"/>
      <c r="E104" s="609"/>
      <c r="F104" s="677"/>
      <c r="G104" s="610"/>
      <c r="H104" s="611"/>
      <c r="I104" s="612"/>
      <c r="J104" s="613"/>
      <c r="K104" s="617">
        <f t="shared" si="60"/>
        <v>0</v>
      </c>
      <c r="L104" s="615" t="s">
        <v>783</v>
      </c>
      <c r="M104" s="92"/>
      <c r="N104" s="92"/>
      <c r="O104" s="93">
        <f t="shared" si="67"/>
        <v>0</v>
      </c>
      <c r="P104" s="93">
        <f t="shared" si="62"/>
        <v>0</v>
      </c>
      <c r="Q104" s="94"/>
      <c r="R104" s="92">
        <f t="shared" si="63"/>
        <v>0</v>
      </c>
      <c r="S104" s="92">
        <f t="shared" si="64"/>
        <v>0</v>
      </c>
      <c r="T104" s="93">
        <f t="shared" si="65"/>
        <v>0</v>
      </c>
      <c r="U104" s="95">
        <f t="shared" si="66"/>
        <v>0</v>
      </c>
      <c r="V104" s="94"/>
      <c r="X104" s="580" t="str">
        <f t="shared" si="59"/>
        <v/>
      </c>
      <c r="Y104" s="580" t="str">
        <f t="shared" si="51"/>
        <v/>
      </c>
      <c r="Z104" s="580" t="str">
        <f t="shared" si="52"/>
        <v/>
      </c>
    </row>
    <row r="105" spans="1:26" ht="13.5" hidden="1" thickBot="1" x14ac:dyDescent="0.25">
      <c r="A105" s="602" t="s">
        <v>187</v>
      </c>
      <c r="B105" s="1015" t="s">
        <v>187</v>
      </c>
      <c r="C105" s="1016" t="s">
        <v>187</v>
      </c>
      <c r="D105" s="616"/>
      <c r="E105" s="609"/>
      <c r="F105" s="677"/>
      <c r="G105" s="610"/>
      <c r="H105" s="611"/>
      <c r="I105" s="612"/>
      <c r="J105" s="613"/>
      <c r="K105" s="617">
        <f t="shared" si="60"/>
        <v>0</v>
      </c>
      <c r="L105" s="615" t="s">
        <v>783</v>
      </c>
      <c r="M105" s="92"/>
      <c r="N105" s="92"/>
      <c r="O105" s="93">
        <f t="shared" si="67"/>
        <v>0</v>
      </c>
      <c r="P105" s="93">
        <f t="shared" si="62"/>
        <v>0</v>
      </c>
      <c r="Q105" s="94"/>
      <c r="R105" s="92">
        <f t="shared" si="63"/>
        <v>0</v>
      </c>
      <c r="S105" s="92">
        <f t="shared" si="64"/>
        <v>0</v>
      </c>
      <c r="T105" s="93">
        <f t="shared" si="65"/>
        <v>0</v>
      </c>
      <c r="U105" s="95">
        <f t="shared" si="66"/>
        <v>0</v>
      </c>
      <c r="V105" s="94"/>
      <c r="X105" s="580" t="str">
        <f t="shared" si="59"/>
        <v/>
      </c>
      <c r="Y105" s="580" t="str">
        <f t="shared" si="51"/>
        <v/>
      </c>
      <c r="Z105" s="580" t="str">
        <f t="shared" si="52"/>
        <v/>
      </c>
    </row>
    <row r="106" spans="1:26" ht="13.5" hidden="1" thickBot="1" x14ac:dyDescent="0.25">
      <c r="A106" s="602" t="s">
        <v>187</v>
      </c>
      <c r="B106" s="1015" t="s">
        <v>187</v>
      </c>
      <c r="C106" s="1016" t="s">
        <v>187</v>
      </c>
      <c r="D106" s="616"/>
      <c r="E106" s="609"/>
      <c r="F106" s="677"/>
      <c r="G106" s="610"/>
      <c r="H106" s="611"/>
      <c r="I106" s="612"/>
      <c r="J106" s="613"/>
      <c r="K106" s="617">
        <f t="shared" si="60"/>
        <v>0</v>
      </c>
      <c r="L106" s="615" t="s">
        <v>783</v>
      </c>
      <c r="M106" s="92"/>
      <c r="N106" s="92"/>
      <c r="O106" s="93">
        <f t="shared" si="67"/>
        <v>0</v>
      </c>
      <c r="P106" s="93">
        <f t="shared" si="62"/>
        <v>0</v>
      </c>
      <c r="Q106" s="94"/>
      <c r="R106" s="92">
        <f t="shared" si="63"/>
        <v>0</v>
      </c>
      <c r="S106" s="92">
        <f t="shared" si="64"/>
        <v>0</v>
      </c>
      <c r="T106" s="93">
        <f t="shared" si="65"/>
        <v>0</v>
      </c>
      <c r="U106" s="95">
        <f t="shared" si="66"/>
        <v>0</v>
      </c>
      <c r="V106" s="94"/>
      <c r="X106" s="580" t="str">
        <f t="shared" si="59"/>
        <v/>
      </c>
      <c r="Y106" s="580" t="str">
        <f t="shared" si="51"/>
        <v/>
      </c>
      <c r="Z106" s="580" t="str">
        <f t="shared" si="52"/>
        <v/>
      </c>
    </row>
    <row r="107" spans="1:26" ht="13.5" hidden="1" thickBot="1" x14ac:dyDescent="0.25">
      <c r="A107" s="602" t="s">
        <v>187</v>
      </c>
      <c r="B107" s="1015" t="s">
        <v>187</v>
      </c>
      <c r="C107" s="1016" t="s">
        <v>187</v>
      </c>
      <c r="D107" s="616"/>
      <c r="E107" s="609"/>
      <c r="F107" s="677"/>
      <c r="G107" s="610"/>
      <c r="H107" s="611"/>
      <c r="I107" s="612"/>
      <c r="J107" s="613"/>
      <c r="K107" s="617">
        <f t="shared" si="60"/>
        <v>0</v>
      </c>
      <c r="L107" s="615" t="s">
        <v>783</v>
      </c>
      <c r="M107" s="92"/>
      <c r="N107" s="92"/>
      <c r="O107" s="93">
        <f t="shared" si="67"/>
        <v>0</v>
      </c>
      <c r="P107" s="93">
        <f t="shared" si="62"/>
        <v>0</v>
      </c>
      <c r="Q107" s="94"/>
      <c r="R107" s="92">
        <f t="shared" si="63"/>
        <v>0</v>
      </c>
      <c r="S107" s="92">
        <f t="shared" si="64"/>
        <v>0</v>
      </c>
      <c r="T107" s="93">
        <f t="shared" si="65"/>
        <v>0</v>
      </c>
      <c r="U107" s="95">
        <f t="shared" si="66"/>
        <v>0</v>
      </c>
      <c r="V107" s="94"/>
      <c r="X107" s="580" t="str">
        <f t="shared" si="59"/>
        <v/>
      </c>
      <c r="Y107" s="580" t="str">
        <f t="shared" si="51"/>
        <v/>
      </c>
      <c r="Z107" s="580" t="str">
        <f t="shared" si="52"/>
        <v/>
      </c>
    </row>
    <row r="108" spans="1:26" ht="13.5" hidden="1" thickBot="1" x14ac:dyDescent="0.25">
      <c r="A108" s="602" t="s">
        <v>187</v>
      </c>
      <c r="B108" s="1015" t="s">
        <v>187</v>
      </c>
      <c r="C108" s="1016" t="s">
        <v>187</v>
      </c>
      <c r="D108" s="616"/>
      <c r="E108" s="609"/>
      <c r="F108" s="677"/>
      <c r="G108" s="610"/>
      <c r="H108" s="611"/>
      <c r="I108" s="612"/>
      <c r="J108" s="613"/>
      <c r="K108" s="617">
        <f t="shared" si="60"/>
        <v>0</v>
      </c>
      <c r="L108" s="615" t="s">
        <v>783</v>
      </c>
      <c r="M108" s="92"/>
      <c r="N108" s="92"/>
      <c r="O108" s="93">
        <f t="shared" si="67"/>
        <v>0</v>
      </c>
      <c r="P108" s="93">
        <f t="shared" si="62"/>
        <v>0</v>
      </c>
      <c r="Q108" s="94"/>
      <c r="R108" s="92">
        <f t="shared" si="63"/>
        <v>0</v>
      </c>
      <c r="S108" s="92">
        <f t="shared" si="64"/>
        <v>0</v>
      </c>
      <c r="T108" s="93">
        <f t="shared" si="65"/>
        <v>0</v>
      </c>
      <c r="U108" s="95">
        <f t="shared" si="66"/>
        <v>0</v>
      </c>
      <c r="V108" s="94"/>
      <c r="X108" s="580" t="str">
        <f t="shared" si="59"/>
        <v/>
      </c>
      <c r="Y108" s="580" t="str">
        <f t="shared" si="51"/>
        <v/>
      </c>
      <c r="Z108" s="580" t="str">
        <f t="shared" si="52"/>
        <v/>
      </c>
    </row>
    <row r="109" spans="1:26" ht="13.5" hidden="1" thickBot="1" x14ac:dyDescent="0.25">
      <c r="A109" s="602" t="s">
        <v>187</v>
      </c>
      <c r="B109" s="1015" t="s">
        <v>187</v>
      </c>
      <c r="C109" s="1016" t="s">
        <v>187</v>
      </c>
      <c r="D109" s="616"/>
      <c r="E109" s="609"/>
      <c r="F109" s="677"/>
      <c r="G109" s="610"/>
      <c r="H109" s="611"/>
      <c r="I109" s="612"/>
      <c r="J109" s="613"/>
      <c r="K109" s="617">
        <f t="shared" si="60"/>
        <v>0</v>
      </c>
      <c r="L109" s="615" t="s">
        <v>783</v>
      </c>
      <c r="M109" s="92"/>
      <c r="N109" s="92"/>
      <c r="O109" s="93">
        <f t="shared" si="67"/>
        <v>0</v>
      </c>
      <c r="P109" s="93">
        <f t="shared" si="62"/>
        <v>0</v>
      </c>
      <c r="Q109" s="94"/>
      <c r="R109" s="92">
        <f t="shared" si="63"/>
        <v>0</v>
      </c>
      <c r="S109" s="92">
        <f t="shared" si="64"/>
        <v>0</v>
      </c>
      <c r="T109" s="93">
        <f t="shared" si="65"/>
        <v>0</v>
      </c>
      <c r="U109" s="95">
        <f t="shared" si="66"/>
        <v>0</v>
      </c>
      <c r="V109" s="94"/>
      <c r="X109" s="580" t="str">
        <f t="shared" si="59"/>
        <v/>
      </c>
      <c r="Y109" s="580" t="str">
        <f t="shared" si="51"/>
        <v/>
      </c>
      <c r="Z109" s="580" t="str">
        <f t="shared" si="52"/>
        <v/>
      </c>
    </row>
    <row r="110" spans="1:26" ht="13.5" hidden="1" thickBot="1" x14ac:dyDescent="0.25">
      <c r="A110" s="602" t="s">
        <v>187</v>
      </c>
      <c r="B110" s="1015" t="s">
        <v>187</v>
      </c>
      <c r="C110" s="1016" t="s">
        <v>187</v>
      </c>
      <c r="D110" s="616"/>
      <c r="E110" s="609"/>
      <c r="F110" s="677"/>
      <c r="G110" s="610"/>
      <c r="H110" s="611"/>
      <c r="I110" s="612"/>
      <c r="J110" s="613"/>
      <c r="K110" s="617">
        <f t="shared" si="60"/>
        <v>0</v>
      </c>
      <c r="L110" s="615" t="s">
        <v>783</v>
      </c>
      <c r="M110" s="92"/>
      <c r="N110" s="92"/>
      <c r="O110" s="93">
        <f t="shared" si="67"/>
        <v>0</v>
      </c>
      <c r="P110" s="93">
        <f t="shared" si="62"/>
        <v>0</v>
      </c>
      <c r="Q110" s="94"/>
      <c r="R110" s="92">
        <f t="shared" si="63"/>
        <v>0</v>
      </c>
      <c r="S110" s="92">
        <f t="shared" si="64"/>
        <v>0</v>
      </c>
      <c r="T110" s="93">
        <f t="shared" si="65"/>
        <v>0</v>
      </c>
      <c r="U110" s="95">
        <f t="shared" si="66"/>
        <v>0</v>
      </c>
      <c r="V110" s="94"/>
      <c r="X110" s="580" t="str">
        <f t="shared" si="59"/>
        <v/>
      </c>
      <c r="Y110" s="580" t="str">
        <f t="shared" si="51"/>
        <v/>
      </c>
      <c r="Z110" s="580" t="str">
        <f t="shared" si="52"/>
        <v/>
      </c>
    </row>
    <row r="111" spans="1:26" ht="13.5" hidden="1" thickBot="1" x14ac:dyDescent="0.25">
      <c r="A111" s="602" t="s">
        <v>187</v>
      </c>
      <c r="B111" s="1015" t="s">
        <v>187</v>
      </c>
      <c r="C111" s="1016" t="s">
        <v>187</v>
      </c>
      <c r="D111" s="616"/>
      <c r="E111" s="609"/>
      <c r="F111" s="677"/>
      <c r="G111" s="610"/>
      <c r="H111" s="611"/>
      <c r="I111" s="612"/>
      <c r="J111" s="613"/>
      <c r="K111" s="617">
        <f t="shared" si="60"/>
        <v>0</v>
      </c>
      <c r="L111" s="615" t="s">
        <v>783</v>
      </c>
      <c r="M111" s="92"/>
      <c r="N111" s="92"/>
      <c r="O111" s="93">
        <f t="shared" si="67"/>
        <v>0</v>
      </c>
      <c r="P111" s="93">
        <f t="shared" si="62"/>
        <v>0</v>
      </c>
      <c r="Q111" s="94"/>
      <c r="R111" s="92">
        <f t="shared" si="63"/>
        <v>0</v>
      </c>
      <c r="S111" s="92">
        <f t="shared" si="64"/>
        <v>0</v>
      </c>
      <c r="T111" s="93">
        <f t="shared" si="65"/>
        <v>0</v>
      </c>
      <c r="U111" s="95">
        <f t="shared" si="66"/>
        <v>0</v>
      </c>
      <c r="V111" s="94"/>
      <c r="X111" s="580" t="str">
        <f t="shared" si="59"/>
        <v/>
      </c>
      <c r="Y111" s="580" t="str">
        <f t="shared" si="51"/>
        <v/>
      </c>
      <c r="Z111" s="580" t="str">
        <f t="shared" si="52"/>
        <v/>
      </c>
    </row>
    <row r="112" spans="1:26" ht="13.5" hidden="1" thickBot="1" x14ac:dyDescent="0.25">
      <c r="A112" s="602" t="s">
        <v>187</v>
      </c>
      <c r="B112" s="1017" t="s">
        <v>187</v>
      </c>
      <c r="C112" s="1018" t="s">
        <v>187</v>
      </c>
      <c r="D112" s="619"/>
      <c r="E112" s="620"/>
      <c r="F112" s="678"/>
      <c r="G112" s="621"/>
      <c r="H112" s="622"/>
      <c r="I112" s="623"/>
      <c r="J112" s="624"/>
      <c r="K112" s="625">
        <f t="shared" si="60"/>
        <v>0</v>
      </c>
      <c r="L112" s="626" t="s">
        <v>783</v>
      </c>
      <c r="M112" s="92"/>
      <c r="N112" s="92"/>
      <c r="O112" s="627">
        <f t="shared" si="67"/>
        <v>0</v>
      </c>
      <c r="P112" s="627">
        <f t="shared" si="62"/>
        <v>0</v>
      </c>
      <c r="Q112" s="94"/>
      <c r="R112" s="92">
        <f t="shared" si="63"/>
        <v>0</v>
      </c>
      <c r="S112" s="92">
        <f t="shared" si="64"/>
        <v>0</v>
      </c>
      <c r="T112" s="627">
        <f t="shared" si="65"/>
        <v>0</v>
      </c>
      <c r="U112" s="628">
        <f t="shared" si="66"/>
        <v>0</v>
      </c>
      <c r="V112" s="94"/>
      <c r="X112" s="580" t="str">
        <f t="shared" si="59"/>
        <v/>
      </c>
      <c r="Y112" s="580" t="str">
        <f t="shared" si="51"/>
        <v/>
      </c>
      <c r="Z112" s="580" t="str">
        <f t="shared" si="52"/>
        <v/>
      </c>
    </row>
    <row r="113" spans="1:26" ht="13.5" thickBot="1" x14ac:dyDescent="0.25">
      <c r="A113" s="97" t="s">
        <v>213</v>
      </c>
      <c r="B113" s="1124" t="s">
        <v>213</v>
      </c>
      <c r="C113" s="1125"/>
      <c r="D113" s="1126" t="s">
        <v>501</v>
      </c>
      <c r="E113" s="1102"/>
      <c r="F113" s="679"/>
      <c r="G113" s="574"/>
      <c r="H113" s="77"/>
      <c r="I113" s="576"/>
      <c r="J113" s="576"/>
      <c r="K113" s="576"/>
      <c r="L113" s="576" t="s">
        <v>783</v>
      </c>
      <c r="M113" s="575"/>
      <c r="N113" s="576"/>
      <c r="O113" s="576"/>
      <c r="P113" s="577"/>
      <c r="Q113" s="578">
        <f>SUM(P114:P222)</f>
        <v>524210.22</v>
      </c>
      <c r="R113" s="1103"/>
      <c r="S113" s="1104"/>
      <c r="T113" s="1104"/>
      <c r="U113" s="1105"/>
      <c r="V113" s="1106">
        <f>SUM(U114:U222)</f>
        <v>515253.24</v>
      </c>
      <c r="W113" s="579" t="str">
        <f>IF(OR(Q113&gt;0,V113&gt;0),"X","")</f>
        <v>X</v>
      </c>
      <c r="X113" s="580" t="str">
        <f t="shared" si="59"/>
        <v>x</v>
      </c>
      <c r="Y113" s="580" t="str">
        <f t="shared" si="51"/>
        <v>x</v>
      </c>
      <c r="Z113" s="580" t="str">
        <f t="shared" si="52"/>
        <v>x</v>
      </c>
    </row>
    <row r="114" spans="1:26" hidden="1" x14ac:dyDescent="0.2">
      <c r="A114" s="1008">
        <v>520100</v>
      </c>
      <c r="B114" s="1010" t="s">
        <v>1931</v>
      </c>
      <c r="C114" s="978" t="s">
        <v>212</v>
      </c>
      <c r="D114" s="595" t="s">
        <v>300</v>
      </c>
      <c r="E114" s="596"/>
      <c r="F114" s="601">
        <v>0.5</v>
      </c>
      <c r="G114" s="591">
        <f>1.5*1.4</f>
        <v>2.0999999999999996</v>
      </c>
      <c r="H114" s="661">
        <f t="shared" ref="H114:H117" si="68">IF(F114&lt;=30,(0.7*F114+1.45)*G114,((0.7*30+1.45)+0.58*(F114-30))*G114)</f>
        <v>3.7799999999999989</v>
      </c>
      <c r="I114" s="630">
        <v>8.8219999999999992</v>
      </c>
      <c r="J114" s="592">
        <f t="shared" ref="J114:J126" si="69">IF(ISBLANK(I114),"",SUM(H114:I114))</f>
        <v>12.601999999999999</v>
      </c>
      <c r="K114" s="593">
        <f t="shared" ref="K114:K152" si="70">IF(ISBLANK(I114),0,ROUND(J114*(1+$F$10)*(1+$F$11*E114),2))</f>
        <v>15.34</v>
      </c>
      <c r="L114" s="594" t="s">
        <v>16</v>
      </c>
      <c r="M114" s="92"/>
      <c r="N114" s="92"/>
      <c r="O114" s="93">
        <f t="shared" ref="O114:O137" si="71">IF(ISBLANK(M114),0,ROUND(K114*M114,2))</f>
        <v>0</v>
      </c>
      <c r="P114" s="93">
        <f t="shared" ref="P114:P137" si="72">IF(ISBLANK(N114),0,ROUND(M114*N114,2))</f>
        <v>0</v>
      </c>
      <c r="Q114" s="94"/>
      <c r="R114" s="92">
        <f t="shared" ref="R114:R137" si="73">M114</f>
        <v>0</v>
      </c>
      <c r="S114" s="92">
        <f t="shared" ref="S114:S137" si="74">N114</f>
        <v>0</v>
      </c>
      <c r="T114" s="93">
        <f t="shared" ref="T114:T137" si="75">IF(ISBLANK(R114),0,ROUND(K114*R114,2))</f>
        <v>0</v>
      </c>
      <c r="U114" s="95">
        <f t="shared" ref="U114:U151" si="76">IF(ISBLANK(R114),0,ROUND(R114*S114,2))</f>
        <v>0</v>
      </c>
      <c r="V114" s="94"/>
      <c r="X114" s="580" t="str">
        <f t="shared" si="59"/>
        <v/>
      </c>
      <c r="Y114" s="580" t="str">
        <f t="shared" si="51"/>
        <v/>
      </c>
      <c r="Z114" s="580" t="str">
        <f t="shared" si="52"/>
        <v/>
      </c>
    </row>
    <row r="115" spans="1:26" hidden="1" x14ac:dyDescent="0.2">
      <c r="A115" s="1008">
        <v>520100</v>
      </c>
      <c r="B115" s="1010" t="s">
        <v>1932</v>
      </c>
      <c r="C115" s="978" t="s">
        <v>212</v>
      </c>
      <c r="D115" s="595" t="s">
        <v>301</v>
      </c>
      <c r="E115" s="596"/>
      <c r="F115" s="601">
        <v>15</v>
      </c>
      <c r="G115" s="591">
        <f>1.5*1.4</f>
        <v>2.0999999999999996</v>
      </c>
      <c r="H115" s="661">
        <f t="shared" si="68"/>
        <v>25.094999999999995</v>
      </c>
      <c r="I115" s="630">
        <v>8.8219999999999992</v>
      </c>
      <c r="J115" s="592">
        <f t="shared" si="69"/>
        <v>33.916999999999994</v>
      </c>
      <c r="K115" s="593">
        <f t="shared" si="70"/>
        <v>41.28</v>
      </c>
      <c r="L115" s="594" t="s">
        <v>16</v>
      </c>
      <c r="M115" s="92"/>
      <c r="N115" s="92"/>
      <c r="O115" s="93">
        <f t="shared" si="71"/>
        <v>0</v>
      </c>
      <c r="P115" s="93">
        <f t="shared" si="72"/>
        <v>0</v>
      </c>
      <c r="Q115" s="94"/>
      <c r="R115" s="92">
        <f t="shared" si="73"/>
        <v>0</v>
      </c>
      <c r="S115" s="92">
        <f t="shared" si="74"/>
        <v>0</v>
      </c>
      <c r="T115" s="93">
        <f t="shared" si="75"/>
        <v>0</v>
      </c>
      <c r="U115" s="95">
        <f t="shared" si="76"/>
        <v>0</v>
      </c>
      <c r="V115" s="94"/>
      <c r="X115" s="580" t="str">
        <f t="shared" si="59"/>
        <v/>
      </c>
      <c r="Y115" s="580" t="str">
        <f t="shared" si="51"/>
        <v/>
      </c>
      <c r="Z115" s="580" t="str">
        <f t="shared" si="52"/>
        <v/>
      </c>
    </row>
    <row r="116" spans="1:26" hidden="1" x14ac:dyDescent="0.2">
      <c r="A116" s="1008">
        <v>532100</v>
      </c>
      <c r="B116" s="1010">
        <v>532100</v>
      </c>
      <c r="C116" s="978" t="s">
        <v>212</v>
      </c>
      <c r="D116" s="595" t="s">
        <v>209</v>
      </c>
      <c r="E116" s="596"/>
      <c r="F116" s="601">
        <v>20</v>
      </c>
      <c r="G116" s="597">
        <v>2.1</v>
      </c>
      <c r="H116" s="661">
        <f t="shared" si="68"/>
        <v>32.445</v>
      </c>
      <c r="I116" s="592">
        <v>72.91</v>
      </c>
      <c r="J116" s="592">
        <f t="shared" si="69"/>
        <v>105.35499999999999</v>
      </c>
      <c r="K116" s="593">
        <f t="shared" si="70"/>
        <v>128.22999999999999</v>
      </c>
      <c r="L116" s="594" t="s">
        <v>16</v>
      </c>
      <c r="M116" s="92"/>
      <c r="N116" s="92"/>
      <c r="O116" s="93">
        <f t="shared" si="71"/>
        <v>0</v>
      </c>
      <c r="P116" s="93">
        <f t="shared" si="72"/>
        <v>0</v>
      </c>
      <c r="Q116" s="94"/>
      <c r="R116" s="92">
        <f t="shared" si="73"/>
        <v>0</v>
      </c>
      <c r="S116" s="92">
        <f t="shared" si="74"/>
        <v>0</v>
      </c>
      <c r="T116" s="93">
        <f t="shared" si="75"/>
        <v>0</v>
      </c>
      <c r="U116" s="95">
        <f t="shared" si="76"/>
        <v>0</v>
      </c>
      <c r="V116" s="94"/>
      <c r="X116" s="580" t="str">
        <f t="shared" si="59"/>
        <v/>
      </c>
      <c r="Y116" s="580" t="str">
        <f t="shared" si="51"/>
        <v/>
      </c>
      <c r="Z116" s="580" t="str">
        <f t="shared" si="52"/>
        <v/>
      </c>
    </row>
    <row r="117" spans="1:26" hidden="1" x14ac:dyDescent="0.2">
      <c r="A117" s="1008">
        <v>452010</v>
      </c>
      <c r="B117" s="1026">
        <v>452010</v>
      </c>
      <c r="C117" s="1027" t="s">
        <v>212</v>
      </c>
      <c r="D117" s="595" t="s">
        <v>216</v>
      </c>
      <c r="E117" s="596"/>
      <c r="F117" s="601">
        <v>15</v>
      </c>
      <c r="G117" s="591">
        <v>1.98</v>
      </c>
      <c r="H117" s="661">
        <f t="shared" si="68"/>
        <v>23.660999999999998</v>
      </c>
      <c r="I117" s="592">
        <v>10.64</v>
      </c>
      <c r="J117" s="592">
        <f t="shared" si="69"/>
        <v>34.301000000000002</v>
      </c>
      <c r="K117" s="593">
        <f t="shared" si="70"/>
        <v>41.75</v>
      </c>
      <c r="L117" s="594" t="s">
        <v>16</v>
      </c>
      <c r="M117" s="92"/>
      <c r="N117" s="92"/>
      <c r="O117" s="93">
        <f t="shared" si="71"/>
        <v>0</v>
      </c>
      <c r="P117" s="93">
        <f t="shared" si="72"/>
        <v>0</v>
      </c>
      <c r="Q117" s="94"/>
      <c r="R117" s="92">
        <f t="shared" si="73"/>
        <v>0</v>
      </c>
      <c r="S117" s="92">
        <f t="shared" si="74"/>
        <v>0</v>
      </c>
      <c r="T117" s="93">
        <f t="shared" si="75"/>
        <v>0</v>
      </c>
      <c r="U117" s="95">
        <f t="shared" si="76"/>
        <v>0</v>
      </c>
      <c r="V117" s="94"/>
      <c r="X117" s="580" t="str">
        <f t="shared" si="59"/>
        <v/>
      </c>
      <c r="Y117" s="580" t="str">
        <f t="shared" si="51"/>
        <v/>
      </c>
      <c r="Z117" s="580" t="str">
        <f t="shared" si="52"/>
        <v/>
      </c>
    </row>
    <row r="118" spans="1:26" hidden="1" x14ac:dyDescent="0.2">
      <c r="A118" s="1008">
        <v>532500</v>
      </c>
      <c r="B118" s="1010" t="s">
        <v>1939</v>
      </c>
      <c r="C118" s="978" t="s">
        <v>212</v>
      </c>
      <c r="D118" s="916" t="s">
        <v>359</v>
      </c>
      <c r="E118" s="976"/>
      <c r="F118" s="994">
        <v>20</v>
      </c>
      <c r="G118" s="918">
        <v>1.7250000000000001</v>
      </c>
      <c r="H118" s="979">
        <f t="shared" ref="H118:H119" si="77">IF(F118=0,0,IF(F118&lt;=30,(0.7*F118+1.45)*G118,((0.7*30+1.45)+0.58*(F118-30))*G118))</f>
        <v>26.651250000000001</v>
      </c>
      <c r="I118" s="592">
        <v>64.550000000000011</v>
      </c>
      <c r="J118" s="592">
        <f>IF(ISBLANK(I118),"",SUM(H118:I118))</f>
        <v>91.201250000000016</v>
      </c>
      <c r="K118" s="593">
        <f t="shared" ref="K118:K119" si="78">IF(ISBLANK(I118),0,ROUND(J118*(1+$F$10)*(1+$F$11*E118),2))</f>
        <v>111</v>
      </c>
      <c r="L118" s="594" t="s">
        <v>16</v>
      </c>
      <c r="M118" s="92"/>
      <c r="N118" s="92"/>
      <c r="O118" s="93">
        <f t="shared" ref="O118:O119" si="79">IF(ISBLANK(M118),0,ROUND(K118*M118,2))</f>
        <v>0</v>
      </c>
      <c r="P118" s="93">
        <f t="shared" ref="P118:P119" si="80">IF(ISBLANK(N118),0,ROUND(M118*N118,2))</f>
        <v>0</v>
      </c>
      <c r="Q118" s="94"/>
      <c r="R118" s="92">
        <f t="shared" ref="R118:R119" si="81">M118</f>
        <v>0</v>
      </c>
      <c r="S118" s="92">
        <f t="shared" ref="S118:S119" si="82">N118</f>
        <v>0</v>
      </c>
      <c r="T118" s="93">
        <f t="shared" ref="T118:T119" si="83">IF(ISBLANK(R118),0,ROUND(K118*R118,2))</f>
        <v>0</v>
      </c>
      <c r="U118" s="95">
        <f t="shared" ref="U118:U119" si="84">IF(ISBLANK(R118),0,ROUND(R118*S118,2))</f>
        <v>0</v>
      </c>
      <c r="V118" s="94"/>
      <c r="X118" s="580" t="str">
        <f t="shared" ref="X118:X119" si="85">IF(W118="X","x",IF(W118="xx","x",IF(W118="xy","x",IF(W118="y","x",IF(OR(P118&gt;0,U118&gt;0),"x","")))))</f>
        <v/>
      </c>
      <c r="Y118" s="580" t="str">
        <f t="shared" ref="Y118:Y119" si="86">IF(W118="X","x",IF(W118="y","x",IF(W118="xx","x",IF(U118&gt;0,"x",""))))</f>
        <v/>
      </c>
      <c r="Z118" s="580" t="str">
        <f t="shared" ref="Z118:Z119" si="87">IF(W118="X","x",IF(U118&gt;0,"x",""))</f>
        <v/>
      </c>
    </row>
    <row r="119" spans="1:26" hidden="1" x14ac:dyDescent="0.2">
      <c r="A119" s="1008">
        <v>603900</v>
      </c>
      <c r="B119" s="1010" t="s">
        <v>2061</v>
      </c>
      <c r="C119" s="978" t="s">
        <v>212</v>
      </c>
      <c r="D119" s="916" t="s">
        <v>360</v>
      </c>
      <c r="E119" s="976"/>
      <c r="F119" s="994">
        <v>20</v>
      </c>
      <c r="G119" s="918">
        <v>1.5</v>
      </c>
      <c r="H119" s="979">
        <f t="shared" si="77"/>
        <v>23.174999999999997</v>
      </c>
      <c r="I119" s="592">
        <v>107.99000000000001</v>
      </c>
      <c r="J119" s="592">
        <f>IF(ISBLANK(I119),"",SUM(H119:I119))</f>
        <v>131.16500000000002</v>
      </c>
      <c r="K119" s="593">
        <f t="shared" si="78"/>
        <v>159.63999999999999</v>
      </c>
      <c r="L119" s="594" t="s">
        <v>16</v>
      </c>
      <c r="M119" s="92"/>
      <c r="N119" s="92"/>
      <c r="O119" s="93">
        <f t="shared" si="79"/>
        <v>0</v>
      </c>
      <c r="P119" s="93">
        <f t="shared" si="80"/>
        <v>0</v>
      </c>
      <c r="Q119" s="94"/>
      <c r="R119" s="92">
        <f t="shared" si="81"/>
        <v>0</v>
      </c>
      <c r="S119" s="92">
        <f t="shared" si="82"/>
        <v>0</v>
      </c>
      <c r="T119" s="93">
        <f t="shared" si="83"/>
        <v>0</v>
      </c>
      <c r="U119" s="95">
        <f t="shared" si="84"/>
        <v>0</v>
      </c>
      <c r="V119" s="94"/>
      <c r="X119" s="580" t="str">
        <f t="shared" si="85"/>
        <v/>
      </c>
      <c r="Y119" s="580" t="str">
        <f t="shared" si="86"/>
        <v/>
      </c>
      <c r="Z119" s="580" t="str">
        <f t="shared" si="87"/>
        <v/>
      </c>
    </row>
    <row r="120" spans="1:26" hidden="1" x14ac:dyDescent="0.2">
      <c r="A120" s="1008">
        <v>605000</v>
      </c>
      <c r="B120" s="1010" t="s">
        <v>328</v>
      </c>
      <c r="C120" s="978" t="s">
        <v>212</v>
      </c>
      <c r="D120" s="909" t="s">
        <v>288</v>
      </c>
      <c r="E120" s="976"/>
      <c r="F120" s="994"/>
      <c r="G120" s="918"/>
      <c r="H120" s="979">
        <f>SUM(H121:H123)</f>
        <v>172.22290000000001</v>
      </c>
      <c r="I120" s="592">
        <v>340.38</v>
      </c>
      <c r="J120" s="592">
        <f t="shared" ref="J120" si="88">IF(ISBLANK(I120),"",SUM(H120:I120))</f>
        <v>512.60289999999998</v>
      </c>
      <c r="K120" s="593">
        <f t="shared" si="70"/>
        <v>623.89</v>
      </c>
      <c r="L120" s="594" t="s">
        <v>16</v>
      </c>
      <c r="M120" s="92"/>
      <c r="N120" s="92"/>
      <c r="O120" s="93">
        <f t="shared" si="71"/>
        <v>0</v>
      </c>
      <c r="P120" s="93">
        <f t="shared" si="72"/>
        <v>0</v>
      </c>
      <c r="Q120" s="94"/>
      <c r="R120" s="92">
        <f t="shared" si="73"/>
        <v>0</v>
      </c>
      <c r="S120" s="92">
        <f t="shared" si="74"/>
        <v>0</v>
      </c>
      <c r="T120" s="93">
        <f t="shared" si="75"/>
        <v>0</v>
      </c>
      <c r="U120" s="95">
        <f t="shared" si="76"/>
        <v>0</v>
      </c>
      <c r="V120" s="94"/>
      <c r="X120" s="580" t="str">
        <f t="shared" si="59"/>
        <v/>
      </c>
      <c r="Y120" s="580" t="str">
        <f t="shared" si="51"/>
        <v/>
      </c>
      <c r="Z120" s="580" t="str">
        <f t="shared" si="52"/>
        <v/>
      </c>
    </row>
    <row r="121" spans="1:26" hidden="1" x14ac:dyDescent="0.2">
      <c r="A121" s="479" t="s">
        <v>165</v>
      </c>
      <c r="B121" s="1028" t="s">
        <v>165</v>
      </c>
      <c r="C121" s="975"/>
      <c r="D121" s="989" t="s">
        <v>218</v>
      </c>
      <c r="E121" s="1029"/>
      <c r="F121" s="994">
        <v>500</v>
      </c>
      <c r="G121" s="997">
        <v>0.18</v>
      </c>
      <c r="H121" s="979">
        <f>IF(F121&lt;=30,(0.51*F121+4.28)*G121,((0.51*30+4.28)+0.42*(F121-30))*G121)</f>
        <v>39.056400000000004</v>
      </c>
      <c r="I121" s="592">
        <v>0</v>
      </c>
      <c r="J121" s="592"/>
      <c r="K121" s="593">
        <f t="shared" si="70"/>
        <v>0</v>
      </c>
      <c r="L121" s="670" t="s">
        <v>783</v>
      </c>
      <c r="M121" s="632"/>
      <c r="N121" s="633"/>
      <c r="O121" s="93">
        <f t="shared" si="71"/>
        <v>0</v>
      </c>
      <c r="P121" s="93">
        <f t="shared" si="72"/>
        <v>0</v>
      </c>
      <c r="Q121" s="94"/>
      <c r="R121" s="632">
        <f t="shared" si="73"/>
        <v>0</v>
      </c>
      <c r="S121" s="633">
        <f t="shared" si="74"/>
        <v>0</v>
      </c>
      <c r="T121" s="93">
        <f t="shared" si="75"/>
        <v>0</v>
      </c>
      <c r="U121" s="95">
        <f t="shared" si="76"/>
        <v>0</v>
      </c>
      <c r="V121" s="94"/>
      <c r="W121" s="579" t="str">
        <f>IF(U120&gt;0,"xx",IF(P120&gt;0,"xy",""))</f>
        <v/>
      </c>
      <c r="X121" s="580" t="str">
        <f t="shared" si="59"/>
        <v/>
      </c>
      <c r="Y121" s="580" t="str">
        <f t="shared" si="51"/>
        <v/>
      </c>
      <c r="Z121" s="580" t="str">
        <f t="shared" si="52"/>
        <v/>
      </c>
    </row>
    <row r="122" spans="1:26" hidden="1" x14ac:dyDescent="0.2">
      <c r="A122" s="479" t="s">
        <v>165</v>
      </c>
      <c r="B122" s="1028" t="s">
        <v>165</v>
      </c>
      <c r="C122" s="975"/>
      <c r="D122" s="989" t="s">
        <v>257</v>
      </c>
      <c r="E122" s="1029"/>
      <c r="F122" s="994">
        <v>180</v>
      </c>
      <c r="G122" s="997">
        <v>1.06</v>
      </c>
      <c r="H122" s="996">
        <f t="shared" ref="H122:H126" si="89">IF(F122&lt;=30,(0.7*F122+1.45)*G122,((0.7*30+1.45)+0.58*(F122-30))*G122)</f>
        <v>116.01700000000001</v>
      </c>
      <c r="I122" s="592">
        <v>0</v>
      </c>
      <c r="J122" s="592"/>
      <c r="K122" s="593">
        <f t="shared" si="70"/>
        <v>0</v>
      </c>
      <c r="L122" s="670" t="s">
        <v>783</v>
      </c>
      <c r="M122" s="632"/>
      <c r="N122" s="633"/>
      <c r="O122" s="93">
        <f t="shared" si="71"/>
        <v>0</v>
      </c>
      <c r="P122" s="93">
        <f t="shared" si="72"/>
        <v>0</v>
      </c>
      <c r="Q122" s="94"/>
      <c r="R122" s="632">
        <f t="shared" si="73"/>
        <v>0</v>
      </c>
      <c r="S122" s="633">
        <f t="shared" si="74"/>
        <v>0</v>
      </c>
      <c r="T122" s="93">
        <f t="shared" si="75"/>
        <v>0</v>
      </c>
      <c r="U122" s="95">
        <f t="shared" si="76"/>
        <v>0</v>
      </c>
      <c r="V122" s="94"/>
      <c r="W122" s="579" t="str">
        <f>IF(U120&gt;0,"xx",IF(P120&gt;0,"xy",""))</f>
        <v/>
      </c>
      <c r="X122" s="580" t="str">
        <f t="shared" si="59"/>
        <v/>
      </c>
      <c r="Y122" s="580" t="str">
        <f t="shared" si="51"/>
        <v/>
      </c>
      <c r="Z122" s="580" t="str">
        <f t="shared" si="52"/>
        <v/>
      </c>
    </row>
    <row r="123" spans="1:26" hidden="1" x14ac:dyDescent="0.2">
      <c r="A123" s="479" t="s">
        <v>165</v>
      </c>
      <c r="B123" s="1028" t="s">
        <v>165</v>
      </c>
      <c r="C123" s="975"/>
      <c r="D123" s="989" t="s">
        <v>261</v>
      </c>
      <c r="E123" s="1029"/>
      <c r="F123" s="994">
        <v>20</v>
      </c>
      <c r="G123" s="997">
        <v>1.1100000000000001</v>
      </c>
      <c r="H123" s="996">
        <f t="shared" si="89"/>
        <v>17.1495</v>
      </c>
      <c r="I123" s="592">
        <v>0</v>
      </c>
      <c r="J123" s="592"/>
      <c r="K123" s="593">
        <f t="shared" si="70"/>
        <v>0</v>
      </c>
      <c r="L123" s="670" t="s">
        <v>783</v>
      </c>
      <c r="M123" s="632"/>
      <c r="N123" s="633"/>
      <c r="O123" s="93">
        <f t="shared" si="71"/>
        <v>0</v>
      </c>
      <c r="P123" s="93">
        <f t="shared" si="72"/>
        <v>0</v>
      </c>
      <c r="Q123" s="94"/>
      <c r="R123" s="632">
        <f t="shared" si="73"/>
        <v>0</v>
      </c>
      <c r="S123" s="633">
        <f t="shared" si="74"/>
        <v>0</v>
      </c>
      <c r="T123" s="93">
        <f t="shared" si="75"/>
        <v>0</v>
      </c>
      <c r="U123" s="95">
        <f t="shared" si="76"/>
        <v>0</v>
      </c>
      <c r="V123" s="94"/>
      <c r="W123" s="579" t="str">
        <f>IF(U120&gt;0,"xx",IF(P120&gt;0,"xy",""))</f>
        <v/>
      </c>
      <c r="X123" s="580" t="str">
        <f t="shared" si="59"/>
        <v/>
      </c>
      <c r="Y123" s="580" t="str">
        <f t="shared" si="51"/>
        <v/>
      </c>
      <c r="Z123" s="580" t="str">
        <f t="shared" si="52"/>
        <v/>
      </c>
    </row>
    <row r="124" spans="1:26" hidden="1" x14ac:dyDescent="0.2">
      <c r="A124" s="1008">
        <v>400500</v>
      </c>
      <c r="B124" s="1010" t="s">
        <v>1957</v>
      </c>
      <c r="C124" s="978" t="s">
        <v>212</v>
      </c>
      <c r="D124" s="909" t="s">
        <v>2062</v>
      </c>
      <c r="E124" s="976"/>
      <c r="F124" s="994">
        <v>20</v>
      </c>
      <c r="G124" s="918">
        <v>1.73</v>
      </c>
      <c r="H124" s="996">
        <f t="shared" si="89"/>
        <v>26.728499999999997</v>
      </c>
      <c r="I124" s="592">
        <v>48.71</v>
      </c>
      <c r="J124" s="592">
        <f t="shared" si="69"/>
        <v>75.438500000000005</v>
      </c>
      <c r="K124" s="593">
        <f t="shared" si="70"/>
        <v>91.82</v>
      </c>
      <c r="L124" s="594" t="s">
        <v>16</v>
      </c>
      <c r="M124" s="92"/>
      <c r="N124" s="92"/>
      <c r="O124" s="93">
        <f t="shared" si="71"/>
        <v>0</v>
      </c>
      <c r="P124" s="93">
        <f t="shared" si="72"/>
        <v>0</v>
      </c>
      <c r="Q124" s="94"/>
      <c r="R124" s="92">
        <f t="shared" si="73"/>
        <v>0</v>
      </c>
      <c r="S124" s="92">
        <f t="shared" si="74"/>
        <v>0</v>
      </c>
      <c r="T124" s="93">
        <f t="shared" si="75"/>
        <v>0</v>
      </c>
      <c r="U124" s="95">
        <f t="shared" si="76"/>
        <v>0</v>
      </c>
      <c r="V124" s="94"/>
      <c r="X124" s="580" t="str">
        <f t="shared" si="59"/>
        <v/>
      </c>
      <c r="Y124" s="580" t="str">
        <f t="shared" si="51"/>
        <v/>
      </c>
      <c r="Z124" s="580" t="str">
        <f t="shared" si="52"/>
        <v/>
      </c>
    </row>
    <row r="125" spans="1:26" hidden="1" x14ac:dyDescent="0.2">
      <c r="A125" s="1008">
        <v>532500</v>
      </c>
      <c r="B125" s="1010" t="s">
        <v>1940</v>
      </c>
      <c r="C125" s="978" t="s">
        <v>212</v>
      </c>
      <c r="D125" s="909" t="s">
        <v>2063</v>
      </c>
      <c r="E125" s="976"/>
      <c r="F125" s="994">
        <v>20</v>
      </c>
      <c r="G125" s="918">
        <v>1.7250000000000001</v>
      </c>
      <c r="H125" s="996">
        <f t="shared" si="89"/>
        <v>26.651250000000001</v>
      </c>
      <c r="I125" s="592">
        <v>64.550000000000011</v>
      </c>
      <c r="J125" s="592">
        <f t="shared" ref="J125" si="90">IF(ISBLANK(I125),"",SUM(H125:I125))</f>
        <v>91.201250000000016</v>
      </c>
      <c r="K125" s="593">
        <f t="shared" ref="K125" si="91">IF(ISBLANK(I125),0,ROUND(J125*(1+$F$10)*(1+$F$11*E125),2))</f>
        <v>111</v>
      </c>
      <c r="L125" s="594" t="s">
        <v>16</v>
      </c>
      <c r="M125" s="92"/>
      <c r="N125" s="92"/>
      <c r="O125" s="93">
        <f t="shared" ref="O125" si="92">IF(ISBLANK(M125),0,ROUND(K125*M125,2))</f>
        <v>0</v>
      </c>
      <c r="P125" s="93">
        <f t="shared" ref="P125" si="93">IF(ISBLANK(N125),0,ROUND(M125*N125,2))</f>
        <v>0</v>
      </c>
      <c r="Q125" s="94"/>
      <c r="R125" s="92">
        <f t="shared" ref="R125" si="94">M125</f>
        <v>0</v>
      </c>
      <c r="S125" s="92">
        <f t="shared" ref="S125" si="95">N125</f>
        <v>0</v>
      </c>
      <c r="T125" s="93">
        <f t="shared" ref="T125" si="96">IF(ISBLANK(R125),0,ROUND(K125*R125,2))</f>
        <v>0</v>
      </c>
      <c r="U125" s="95">
        <f t="shared" ref="U125" si="97">IF(ISBLANK(R125),0,ROUND(R125*S125,2))</f>
        <v>0</v>
      </c>
      <c r="V125" s="94"/>
      <c r="X125" s="580" t="str">
        <f t="shared" ref="X125" si="98">IF(W125="X","x",IF(W125="xx","x",IF(W125="xy","x",IF(W125="y","x",IF(OR(P125&gt;0,U125&gt;0),"x","")))))</f>
        <v/>
      </c>
      <c r="Y125" s="580" t="str">
        <f t="shared" ref="Y125" si="99">IF(W125="X","x",IF(W125="y","x",IF(W125="xx","x",IF(U125&gt;0,"x",""))))</f>
        <v/>
      </c>
      <c r="Z125" s="580" t="str">
        <f t="shared" ref="Z125" si="100">IF(W125="X","x",IF(U125&gt;0,"x",""))</f>
        <v/>
      </c>
    </row>
    <row r="126" spans="1:26" hidden="1" x14ac:dyDescent="0.2">
      <c r="A126" s="1008">
        <v>532600</v>
      </c>
      <c r="B126" s="1010" t="s">
        <v>1943</v>
      </c>
      <c r="C126" s="978" t="s">
        <v>212</v>
      </c>
      <c r="D126" s="909" t="s">
        <v>2064</v>
      </c>
      <c r="E126" s="976"/>
      <c r="F126" s="977">
        <v>15</v>
      </c>
      <c r="G126" s="918">
        <f>ROUND(1.5*1.5,4)</f>
        <v>2.25</v>
      </c>
      <c r="H126" s="996">
        <f t="shared" si="89"/>
        <v>26.887499999999999</v>
      </c>
      <c r="I126" s="592">
        <v>12.666666666666668</v>
      </c>
      <c r="J126" s="592">
        <f t="shared" si="69"/>
        <v>39.554166666666667</v>
      </c>
      <c r="K126" s="593">
        <f t="shared" si="70"/>
        <v>48.14</v>
      </c>
      <c r="L126" s="594" t="s">
        <v>16</v>
      </c>
      <c r="M126" s="92"/>
      <c r="N126" s="92"/>
      <c r="O126" s="93">
        <f t="shared" si="71"/>
        <v>0</v>
      </c>
      <c r="P126" s="93">
        <f t="shared" si="72"/>
        <v>0</v>
      </c>
      <c r="Q126" s="94"/>
      <c r="R126" s="92">
        <f t="shared" si="73"/>
        <v>0</v>
      </c>
      <c r="S126" s="92">
        <f t="shared" si="74"/>
        <v>0</v>
      </c>
      <c r="T126" s="93">
        <f t="shared" si="75"/>
        <v>0</v>
      </c>
      <c r="U126" s="95">
        <f t="shared" si="76"/>
        <v>0</v>
      </c>
      <c r="V126" s="94"/>
      <c r="X126" s="580" t="str">
        <f t="shared" si="59"/>
        <v/>
      </c>
      <c r="Y126" s="580" t="str">
        <f t="shared" si="51"/>
        <v/>
      </c>
      <c r="Z126" s="580" t="str">
        <f t="shared" si="52"/>
        <v/>
      </c>
    </row>
    <row r="127" spans="1:26" hidden="1" x14ac:dyDescent="0.2">
      <c r="A127" s="1008">
        <v>603900</v>
      </c>
      <c r="B127" s="1010" t="s">
        <v>2060</v>
      </c>
      <c r="C127" s="978" t="s">
        <v>212</v>
      </c>
      <c r="D127" s="909" t="s">
        <v>2065</v>
      </c>
      <c r="E127" s="976"/>
      <c r="F127" s="994">
        <v>20</v>
      </c>
      <c r="G127" s="918">
        <v>1.5</v>
      </c>
      <c r="H127" s="979">
        <f t="shared" ref="H127" si="101">IF(F127=0,0,IF(F127&lt;=30,(0.7*F127+1.45)*G127,((0.7*30+1.45)+0.58*(F127-30))*G127))</f>
        <v>23.174999999999997</v>
      </c>
      <c r="I127" s="1030">
        <v>107.99</v>
      </c>
      <c r="J127" s="592">
        <f>IF(ISBLANK(I127),"",SUM(H127:I127))</f>
        <v>131.16499999999999</v>
      </c>
      <c r="K127" s="593">
        <f t="shared" si="70"/>
        <v>159.63999999999999</v>
      </c>
      <c r="L127" s="594" t="s">
        <v>16</v>
      </c>
      <c r="M127" s="92"/>
      <c r="N127" s="92"/>
      <c r="O127" s="93">
        <f t="shared" si="71"/>
        <v>0</v>
      </c>
      <c r="P127" s="93">
        <f t="shared" si="72"/>
        <v>0</v>
      </c>
      <c r="Q127" s="94"/>
      <c r="R127" s="92">
        <f t="shared" si="73"/>
        <v>0</v>
      </c>
      <c r="S127" s="92">
        <f t="shared" si="74"/>
        <v>0</v>
      </c>
      <c r="T127" s="93">
        <f t="shared" si="75"/>
        <v>0</v>
      </c>
      <c r="U127" s="95">
        <f t="shared" si="76"/>
        <v>0</v>
      </c>
      <c r="V127" s="94"/>
      <c r="X127" s="580" t="str">
        <f t="shared" si="59"/>
        <v/>
      </c>
      <c r="Y127" s="580" t="str">
        <f t="shared" si="51"/>
        <v/>
      </c>
      <c r="Z127" s="580" t="str">
        <f t="shared" si="52"/>
        <v/>
      </c>
    </row>
    <row r="128" spans="1:26" hidden="1" x14ac:dyDescent="0.2">
      <c r="A128" s="1008">
        <v>511130</v>
      </c>
      <c r="B128" s="1010" t="s">
        <v>1928</v>
      </c>
      <c r="C128" s="978" t="s">
        <v>212</v>
      </c>
      <c r="D128" s="595" t="s">
        <v>518</v>
      </c>
      <c r="E128" s="596"/>
      <c r="F128" s="671"/>
      <c r="G128" s="597"/>
      <c r="H128" s="682"/>
      <c r="I128" s="630">
        <v>0.83</v>
      </c>
      <c r="J128" s="592">
        <f t="shared" ref="J128:J137" si="102">IF(ISBLANK(I128),"",SUM(H128:I128))</f>
        <v>0.83</v>
      </c>
      <c r="K128" s="593">
        <f t="shared" si="70"/>
        <v>1.01</v>
      </c>
      <c r="L128" s="594" t="s">
        <v>16</v>
      </c>
      <c r="M128" s="92"/>
      <c r="N128" s="92"/>
      <c r="O128" s="93">
        <f t="shared" si="71"/>
        <v>0</v>
      </c>
      <c r="P128" s="93">
        <f t="shared" si="72"/>
        <v>0</v>
      </c>
      <c r="Q128" s="94"/>
      <c r="R128" s="92">
        <f t="shared" si="73"/>
        <v>0</v>
      </c>
      <c r="S128" s="92">
        <f t="shared" si="74"/>
        <v>0</v>
      </c>
      <c r="T128" s="93">
        <f t="shared" si="75"/>
        <v>0</v>
      </c>
      <c r="U128" s="95">
        <f t="shared" si="76"/>
        <v>0</v>
      </c>
      <c r="V128" s="94"/>
      <c r="W128" s="600"/>
      <c r="X128" s="580" t="str">
        <f t="shared" si="59"/>
        <v/>
      </c>
      <c r="Y128" s="580" t="str">
        <f t="shared" si="51"/>
        <v/>
      </c>
      <c r="Z128" s="580" t="str">
        <f t="shared" si="52"/>
        <v/>
      </c>
    </row>
    <row r="129" spans="1:26" hidden="1" x14ac:dyDescent="0.2">
      <c r="A129" s="1008">
        <v>533500</v>
      </c>
      <c r="B129" s="1010" t="s">
        <v>1946</v>
      </c>
      <c r="C129" s="978" t="s">
        <v>212</v>
      </c>
      <c r="D129" s="595" t="s">
        <v>519</v>
      </c>
      <c r="E129" s="596"/>
      <c r="F129" s="601">
        <v>15</v>
      </c>
      <c r="G129" s="591">
        <v>1.95</v>
      </c>
      <c r="H129" s="661">
        <f>IF(F129&lt;=30,(0.7*F129+1.45)*G129,((0.7*30+1.45)+0.58*(F129-30))*G129)</f>
        <v>23.302499999999998</v>
      </c>
      <c r="I129" s="592">
        <v>17.39</v>
      </c>
      <c r="J129" s="592">
        <f t="shared" si="102"/>
        <v>40.692499999999995</v>
      </c>
      <c r="K129" s="593">
        <f t="shared" si="70"/>
        <v>49.53</v>
      </c>
      <c r="L129" s="594" t="s">
        <v>16</v>
      </c>
      <c r="M129" s="92"/>
      <c r="N129" s="92"/>
      <c r="O129" s="93">
        <f t="shared" si="71"/>
        <v>0</v>
      </c>
      <c r="P129" s="93">
        <f t="shared" si="72"/>
        <v>0</v>
      </c>
      <c r="Q129" s="94"/>
      <c r="R129" s="92">
        <f t="shared" si="73"/>
        <v>0</v>
      </c>
      <c r="S129" s="92">
        <f t="shared" si="74"/>
        <v>0</v>
      </c>
      <c r="T129" s="93">
        <f t="shared" si="75"/>
        <v>0</v>
      </c>
      <c r="U129" s="95">
        <f t="shared" si="76"/>
        <v>0</v>
      </c>
      <c r="V129" s="94"/>
      <c r="X129" s="580" t="str">
        <f t="shared" si="59"/>
        <v/>
      </c>
      <c r="Y129" s="580" t="str">
        <f t="shared" si="51"/>
        <v/>
      </c>
      <c r="Z129" s="580" t="str">
        <f t="shared" si="52"/>
        <v/>
      </c>
    </row>
    <row r="130" spans="1:26" hidden="1" x14ac:dyDescent="0.2">
      <c r="A130" s="1008">
        <v>533100</v>
      </c>
      <c r="B130" s="1010" t="s">
        <v>1948</v>
      </c>
      <c r="C130" s="978" t="s">
        <v>212</v>
      </c>
      <c r="D130" s="595" t="s">
        <v>520</v>
      </c>
      <c r="E130" s="596"/>
      <c r="F130" s="601">
        <v>15</v>
      </c>
      <c r="G130" s="591">
        <v>1.98</v>
      </c>
      <c r="H130" s="661">
        <f>IF(F130&lt;=30,(0.7*F130+1.45)*G130,((0.7*30+1.45)+0.58*(F130-30))*G130)</f>
        <v>23.660999999999998</v>
      </c>
      <c r="I130" s="592">
        <v>20.67</v>
      </c>
      <c r="J130" s="592">
        <f t="shared" si="102"/>
        <v>44.331000000000003</v>
      </c>
      <c r="K130" s="593">
        <f t="shared" si="70"/>
        <v>53.96</v>
      </c>
      <c r="L130" s="594" t="s">
        <v>16</v>
      </c>
      <c r="M130" s="92"/>
      <c r="N130" s="92"/>
      <c r="O130" s="93">
        <f t="shared" si="71"/>
        <v>0</v>
      </c>
      <c r="P130" s="93">
        <f t="shared" si="72"/>
        <v>0</v>
      </c>
      <c r="Q130" s="94"/>
      <c r="R130" s="92">
        <f t="shared" si="73"/>
        <v>0</v>
      </c>
      <c r="S130" s="92">
        <f t="shared" si="74"/>
        <v>0</v>
      </c>
      <c r="T130" s="93">
        <f t="shared" si="75"/>
        <v>0</v>
      </c>
      <c r="U130" s="95">
        <f t="shared" si="76"/>
        <v>0</v>
      </c>
      <c r="V130" s="94"/>
      <c r="X130" s="580" t="str">
        <f t="shared" si="59"/>
        <v/>
      </c>
      <c r="Y130" s="580" t="str">
        <f t="shared" si="51"/>
        <v/>
      </c>
      <c r="Z130" s="580" t="str">
        <f t="shared" si="52"/>
        <v/>
      </c>
    </row>
    <row r="131" spans="1:26" x14ac:dyDescent="0.2">
      <c r="A131" s="1008">
        <v>511100</v>
      </c>
      <c r="B131" s="1107" t="s">
        <v>1959</v>
      </c>
      <c r="C131" s="1108" t="s">
        <v>212</v>
      </c>
      <c r="D131" s="1109" t="s">
        <v>208</v>
      </c>
      <c r="E131" s="1110"/>
      <c r="F131" s="601"/>
      <c r="G131" s="597">
        <v>0</v>
      </c>
      <c r="H131" s="682"/>
      <c r="I131" s="592">
        <v>2.81</v>
      </c>
      <c r="J131" s="592">
        <f t="shared" si="102"/>
        <v>2.81</v>
      </c>
      <c r="K131" s="593">
        <f t="shared" si="70"/>
        <v>3.42</v>
      </c>
      <c r="L131" s="594" t="s">
        <v>18</v>
      </c>
      <c r="M131" s="92">
        <v>10853.63</v>
      </c>
      <c r="N131" s="92">
        <v>3.48</v>
      </c>
      <c r="O131" s="93">
        <f t="shared" si="71"/>
        <v>37119.410000000003</v>
      </c>
      <c r="P131" s="93">
        <f t="shared" si="72"/>
        <v>37770.629999999997</v>
      </c>
      <c r="Q131" s="94"/>
      <c r="R131" s="1111">
        <f t="shared" si="73"/>
        <v>10853.63</v>
      </c>
      <c r="S131" s="1111">
        <f>K131</f>
        <v>3.42</v>
      </c>
      <c r="T131" s="1112">
        <f t="shared" si="75"/>
        <v>37119.410000000003</v>
      </c>
      <c r="U131" s="1113">
        <f t="shared" si="76"/>
        <v>37119.410000000003</v>
      </c>
      <c r="V131" s="1114"/>
      <c r="X131" s="580" t="str">
        <f t="shared" si="59"/>
        <v>x</v>
      </c>
      <c r="Y131" s="580" t="str">
        <f t="shared" si="51"/>
        <v>x</v>
      </c>
      <c r="Z131" s="580" t="str">
        <f t="shared" si="52"/>
        <v>x</v>
      </c>
    </row>
    <row r="132" spans="1:26" hidden="1" x14ac:dyDescent="0.2">
      <c r="A132" s="1008">
        <v>511000</v>
      </c>
      <c r="B132" s="1010" t="s">
        <v>1952</v>
      </c>
      <c r="C132" s="978" t="s">
        <v>212</v>
      </c>
      <c r="D132" s="595" t="s">
        <v>190</v>
      </c>
      <c r="E132" s="596"/>
      <c r="F132" s="601">
        <v>0</v>
      </c>
      <c r="G132" s="597"/>
      <c r="H132" s="682"/>
      <c r="I132" s="592">
        <v>3.38</v>
      </c>
      <c r="J132" s="592">
        <f t="shared" si="102"/>
        <v>3.38</v>
      </c>
      <c r="K132" s="593">
        <f t="shared" si="70"/>
        <v>4.1100000000000003</v>
      </c>
      <c r="L132" s="594" t="s">
        <v>18</v>
      </c>
      <c r="M132" s="92"/>
      <c r="N132" s="92"/>
      <c r="O132" s="93">
        <f t="shared" si="71"/>
        <v>0</v>
      </c>
      <c r="P132" s="93">
        <f t="shared" si="72"/>
        <v>0</v>
      </c>
      <c r="Q132" s="94"/>
      <c r="R132" s="92">
        <f t="shared" si="73"/>
        <v>0</v>
      </c>
      <c r="S132" s="92">
        <f t="shared" si="74"/>
        <v>0</v>
      </c>
      <c r="T132" s="93">
        <f t="shared" si="75"/>
        <v>0</v>
      </c>
      <c r="U132" s="95">
        <f t="shared" si="76"/>
        <v>0</v>
      </c>
      <c r="V132" s="94"/>
      <c r="X132" s="580" t="str">
        <f t="shared" si="59"/>
        <v/>
      </c>
      <c r="Y132" s="580" t="str">
        <f t="shared" si="51"/>
        <v/>
      </c>
      <c r="Z132" s="580" t="str">
        <f t="shared" si="52"/>
        <v/>
      </c>
    </row>
    <row r="133" spans="1:26" hidden="1" x14ac:dyDescent="0.2">
      <c r="A133" s="1008">
        <v>511300</v>
      </c>
      <c r="B133" s="1010" t="s">
        <v>1961</v>
      </c>
      <c r="C133" s="978" t="s">
        <v>212</v>
      </c>
      <c r="D133" s="595" t="s">
        <v>207</v>
      </c>
      <c r="E133" s="596"/>
      <c r="F133" s="601">
        <v>0</v>
      </c>
      <c r="G133" s="597">
        <v>0</v>
      </c>
      <c r="H133" s="682"/>
      <c r="I133" s="592">
        <v>0.2</v>
      </c>
      <c r="J133" s="592">
        <f t="shared" si="102"/>
        <v>0.2</v>
      </c>
      <c r="K133" s="593">
        <f t="shared" si="70"/>
        <v>0.24</v>
      </c>
      <c r="L133" s="594" t="s">
        <v>18</v>
      </c>
      <c r="M133" s="92"/>
      <c r="N133" s="92"/>
      <c r="O133" s="93">
        <f t="shared" si="71"/>
        <v>0</v>
      </c>
      <c r="P133" s="93">
        <f t="shared" si="72"/>
        <v>0</v>
      </c>
      <c r="Q133" s="94"/>
      <c r="R133" s="92">
        <f t="shared" si="73"/>
        <v>0</v>
      </c>
      <c r="S133" s="92">
        <f t="shared" si="74"/>
        <v>0</v>
      </c>
      <c r="T133" s="93">
        <f t="shared" si="75"/>
        <v>0</v>
      </c>
      <c r="U133" s="95">
        <f t="shared" si="76"/>
        <v>0</v>
      </c>
      <c r="V133" s="94"/>
      <c r="X133" s="580" t="str">
        <f t="shared" si="59"/>
        <v/>
      </c>
      <c r="Y133" s="580" t="str">
        <f t="shared" si="51"/>
        <v/>
      </c>
      <c r="Z133" s="580" t="str">
        <f t="shared" si="52"/>
        <v/>
      </c>
    </row>
    <row r="134" spans="1:26" hidden="1" x14ac:dyDescent="0.2">
      <c r="A134" s="1008">
        <v>100576</v>
      </c>
      <c r="B134" s="1010" t="s">
        <v>2093</v>
      </c>
      <c r="C134" s="978" t="s">
        <v>883</v>
      </c>
      <c r="D134" s="595" t="s">
        <v>210</v>
      </c>
      <c r="E134" s="596"/>
      <c r="F134" s="601">
        <v>0</v>
      </c>
      <c r="G134" s="597"/>
      <c r="H134" s="682"/>
      <c r="I134" s="592">
        <v>1.65</v>
      </c>
      <c r="J134" s="592">
        <f>IF(ISBLANK(I134),"",SUM(H134:I134))</f>
        <v>1.65</v>
      </c>
      <c r="K134" s="593">
        <f t="shared" si="70"/>
        <v>2.0099999999999998</v>
      </c>
      <c r="L134" s="594" t="s">
        <v>18</v>
      </c>
      <c r="M134" s="92"/>
      <c r="N134" s="92"/>
      <c r="O134" s="93">
        <f t="shared" si="71"/>
        <v>0</v>
      </c>
      <c r="P134" s="93">
        <f t="shared" si="72"/>
        <v>0</v>
      </c>
      <c r="Q134" s="94"/>
      <c r="R134" s="92">
        <f t="shared" si="73"/>
        <v>0</v>
      </c>
      <c r="S134" s="92">
        <f t="shared" si="74"/>
        <v>0</v>
      </c>
      <c r="T134" s="93">
        <f t="shared" si="75"/>
        <v>0</v>
      </c>
      <c r="U134" s="95">
        <f t="shared" si="76"/>
        <v>0</v>
      </c>
      <c r="V134" s="94"/>
      <c r="X134" s="580" t="str">
        <f t="shared" si="59"/>
        <v/>
      </c>
      <c r="Y134" s="580" t="str">
        <f t="shared" si="51"/>
        <v/>
      </c>
      <c r="Z134" s="580" t="str">
        <f t="shared" si="52"/>
        <v/>
      </c>
    </row>
    <row r="135" spans="1:26" hidden="1" x14ac:dyDescent="0.2">
      <c r="A135" s="1008">
        <v>450000</v>
      </c>
      <c r="B135" s="1026">
        <v>450000</v>
      </c>
      <c r="C135" s="1027" t="s">
        <v>212</v>
      </c>
      <c r="D135" s="595" t="s">
        <v>215</v>
      </c>
      <c r="E135" s="596"/>
      <c r="F135" s="601">
        <v>15</v>
      </c>
      <c r="G135" s="591">
        <v>1.98</v>
      </c>
      <c r="H135" s="661">
        <f t="shared" ref="H135:H137" si="103">IF(F135&lt;=30,(0.7*F135+1.45)*G135,((0.7*30+1.45)+0.58*(F135-30))*G135)</f>
        <v>23.660999999999998</v>
      </c>
      <c r="I135" s="592">
        <v>10.64</v>
      </c>
      <c r="J135" s="592">
        <f t="shared" si="102"/>
        <v>34.301000000000002</v>
      </c>
      <c r="K135" s="593">
        <f t="shared" si="70"/>
        <v>41.75</v>
      </c>
      <c r="L135" s="594" t="s">
        <v>16</v>
      </c>
      <c r="M135" s="92"/>
      <c r="N135" s="92"/>
      <c r="O135" s="93">
        <f t="shared" si="71"/>
        <v>0</v>
      </c>
      <c r="P135" s="93">
        <f t="shared" si="72"/>
        <v>0</v>
      </c>
      <c r="Q135" s="94"/>
      <c r="R135" s="92">
        <f t="shared" si="73"/>
        <v>0</v>
      </c>
      <c r="S135" s="92">
        <f t="shared" si="74"/>
        <v>0</v>
      </c>
      <c r="T135" s="93">
        <f t="shared" si="75"/>
        <v>0</v>
      </c>
      <c r="U135" s="95">
        <f t="shared" si="76"/>
        <v>0</v>
      </c>
      <c r="V135" s="94"/>
      <c r="X135" s="580" t="str">
        <f t="shared" si="59"/>
        <v/>
      </c>
      <c r="Y135" s="580" t="str">
        <f t="shared" si="51"/>
        <v/>
      </c>
      <c r="Z135" s="580" t="str">
        <f t="shared" si="52"/>
        <v/>
      </c>
    </row>
    <row r="136" spans="1:26" hidden="1" x14ac:dyDescent="0.2">
      <c r="A136" s="1008">
        <v>541000</v>
      </c>
      <c r="B136" s="1010">
        <v>541000</v>
      </c>
      <c r="C136" s="978" t="s">
        <v>212</v>
      </c>
      <c r="D136" s="595" t="s">
        <v>217</v>
      </c>
      <c r="E136" s="596"/>
      <c r="F136" s="671">
        <v>15</v>
      </c>
      <c r="G136" s="597">
        <v>2.02</v>
      </c>
      <c r="H136" s="661">
        <f t="shared" si="103"/>
        <v>24.138999999999999</v>
      </c>
      <c r="I136" s="592">
        <v>19.562999999999999</v>
      </c>
      <c r="J136" s="592">
        <f t="shared" si="102"/>
        <v>43.701999999999998</v>
      </c>
      <c r="K136" s="593">
        <f t="shared" si="70"/>
        <v>53.19</v>
      </c>
      <c r="L136" s="594" t="s">
        <v>16</v>
      </c>
      <c r="M136" s="92"/>
      <c r="N136" s="92"/>
      <c r="O136" s="93">
        <f t="shared" si="71"/>
        <v>0</v>
      </c>
      <c r="P136" s="93">
        <f t="shared" si="72"/>
        <v>0</v>
      </c>
      <c r="Q136" s="94"/>
      <c r="R136" s="92">
        <f t="shared" si="73"/>
        <v>0</v>
      </c>
      <c r="S136" s="92">
        <f t="shared" si="74"/>
        <v>0</v>
      </c>
      <c r="T136" s="93">
        <f t="shared" si="75"/>
        <v>0</v>
      </c>
      <c r="U136" s="95">
        <f t="shared" si="76"/>
        <v>0</v>
      </c>
      <c r="V136" s="94"/>
      <c r="X136" s="580" t="str">
        <f t="shared" si="59"/>
        <v/>
      </c>
      <c r="Y136" s="580" t="str">
        <f t="shared" si="51"/>
        <v/>
      </c>
      <c r="Z136" s="580" t="str">
        <f t="shared" si="52"/>
        <v/>
      </c>
    </row>
    <row r="137" spans="1:26" hidden="1" x14ac:dyDescent="0.2">
      <c r="A137" s="1008">
        <v>533100</v>
      </c>
      <c r="B137" s="1010" t="s">
        <v>1949</v>
      </c>
      <c r="C137" s="978" t="s">
        <v>212</v>
      </c>
      <c r="D137" s="595" t="s">
        <v>214</v>
      </c>
      <c r="E137" s="596"/>
      <c r="F137" s="601">
        <v>15</v>
      </c>
      <c r="G137" s="591">
        <v>2.1</v>
      </c>
      <c r="H137" s="661">
        <f t="shared" si="103"/>
        <v>25.094999999999999</v>
      </c>
      <c r="I137" s="592">
        <v>20.67</v>
      </c>
      <c r="J137" s="592">
        <f t="shared" si="102"/>
        <v>45.765000000000001</v>
      </c>
      <c r="K137" s="593">
        <f t="shared" si="70"/>
        <v>55.7</v>
      </c>
      <c r="L137" s="594" t="s">
        <v>16</v>
      </c>
      <c r="M137" s="92"/>
      <c r="N137" s="92"/>
      <c r="O137" s="93">
        <f t="shared" si="71"/>
        <v>0</v>
      </c>
      <c r="P137" s="93">
        <f t="shared" si="72"/>
        <v>0</v>
      </c>
      <c r="Q137" s="94"/>
      <c r="R137" s="92">
        <f t="shared" si="73"/>
        <v>0</v>
      </c>
      <c r="S137" s="92">
        <f t="shared" si="74"/>
        <v>0</v>
      </c>
      <c r="T137" s="93">
        <f t="shared" si="75"/>
        <v>0</v>
      </c>
      <c r="U137" s="95">
        <f t="shared" si="76"/>
        <v>0</v>
      </c>
      <c r="V137" s="94"/>
      <c r="X137" s="580" t="str">
        <f t="shared" si="59"/>
        <v/>
      </c>
      <c r="Y137" s="580" t="str">
        <f t="shared" si="51"/>
        <v/>
      </c>
      <c r="Z137" s="580" t="str">
        <f t="shared" si="52"/>
        <v/>
      </c>
    </row>
    <row r="138" spans="1:26" hidden="1" x14ac:dyDescent="0.2">
      <c r="A138" s="1008">
        <v>542000</v>
      </c>
      <c r="B138" s="1010">
        <v>542000</v>
      </c>
      <c r="C138" s="978" t="s">
        <v>212</v>
      </c>
      <c r="D138" s="595" t="s">
        <v>478</v>
      </c>
      <c r="E138" s="596"/>
      <c r="F138" s="601"/>
      <c r="G138" s="597"/>
      <c r="H138" s="682">
        <f>SUM(H139:H140)</f>
        <v>30.29111</v>
      </c>
      <c r="I138" s="592">
        <v>43.65</v>
      </c>
      <c r="J138" s="592">
        <f t="shared" ref="J138" si="104">IF(ISBLANK(I138),"",SUM(H138:I138))</f>
        <v>73.941109999999995</v>
      </c>
      <c r="K138" s="593">
        <f t="shared" si="70"/>
        <v>89.99</v>
      </c>
      <c r="L138" s="594" t="s">
        <v>16</v>
      </c>
      <c r="M138" s="92"/>
      <c r="N138" s="92"/>
      <c r="O138" s="93">
        <f t="shared" ref="O138:O168" si="105">IF(ISBLANK(M138),0,ROUND(K138*M138,2))</f>
        <v>0</v>
      </c>
      <c r="P138" s="93">
        <f t="shared" ref="P138:P169" si="106">IF(ISBLANK(N138),0,ROUND(M138*N138,2))</f>
        <v>0</v>
      </c>
      <c r="Q138" s="94"/>
      <c r="R138" s="92">
        <f t="shared" ref="R138" si="107">M138</f>
        <v>0</v>
      </c>
      <c r="S138" s="92">
        <f t="shared" ref="S138" si="108">N138</f>
        <v>0</v>
      </c>
      <c r="T138" s="93">
        <f t="shared" ref="T138:T168" si="109">IF(ISBLANK(R138),0,ROUND(K138*R138,2))</f>
        <v>0</v>
      </c>
      <c r="U138" s="95">
        <f t="shared" si="76"/>
        <v>0</v>
      </c>
      <c r="V138" s="94"/>
      <c r="X138" s="580" t="str">
        <f t="shared" si="59"/>
        <v/>
      </c>
      <c r="Y138" s="580" t="str">
        <f t="shared" si="51"/>
        <v/>
      </c>
      <c r="Z138" s="580" t="str">
        <f t="shared" si="52"/>
        <v/>
      </c>
    </row>
    <row r="139" spans="1:26" hidden="1" x14ac:dyDescent="0.2">
      <c r="A139" s="97" t="s">
        <v>165</v>
      </c>
      <c r="B139" s="1031" t="s">
        <v>165</v>
      </c>
      <c r="C139" s="978"/>
      <c r="D139" s="631" t="s">
        <v>218</v>
      </c>
      <c r="E139" s="596"/>
      <c r="F139" s="671">
        <v>500</v>
      </c>
      <c r="G139" s="597">
        <v>3.6999999999999998E-2</v>
      </c>
      <c r="H139" s="682">
        <f>IF(F139&lt;=30,(0.51*F139+4.28)*G139,((0.51*30+4.28)+0.42*(F139-30))*G139)</f>
        <v>8.0282599999999995</v>
      </c>
      <c r="I139" s="592">
        <v>0</v>
      </c>
      <c r="J139" s="592"/>
      <c r="K139" s="593">
        <f t="shared" si="70"/>
        <v>0</v>
      </c>
      <c r="L139" s="594" t="s">
        <v>783</v>
      </c>
      <c r="M139" s="632"/>
      <c r="N139" s="633"/>
      <c r="O139" s="93">
        <f t="shared" si="105"/>
        <v>0</v>
      </c>
      <c r="P139" s="93">
        <f t="shared" si="106"/>
        <v>0</v>
      </c>
      <c r="Q139" s="94"/>
      <c r="R139" s="632">
        <f t="shared" ref="R139:R168" si="110">M139</f>
        <v>0</v>
      </c>
      <c r="S139" s="633">
        <f t="shared" ref="S139:S168" si="111">N139</f>
        <v>0</v>
      </c>
      <c r="T139" s="93">
        <f t="shared" si="109"/>
        <v>0</v>
      </c>
      <c r="U139" s="95">
        <f t="shared" si="76"/>
        <v>0</v>
      </c>
      <c r="V139" s="94"/>
      <c r="W139" s="579" t="str">
        <f>IF(U138&gt;0,"xx",IF(P138&gt;0,"xy",""))</f>
        <v/>
      </c>
      <c r="X139" s="580" t="str">
        <f t="shared" si="59"/>
        <v/>
      </c>
      <c r="Y139" s="580" t="str">
        <f>IF(W139="X","x",IF(W139="y","x",IF(W139="xx","x",IF(U139&gt;0,"x",""))))</f>
        <v/>
      </c>
      <c r="Z139" s="580" t="str">
        <f t="shared" si="52"/>
        <v/>
      </c>
    </row>
    <row r="140" spans="1:26" hidden="1" x14ac:dyDescent="0.2">
      <c r="A140" s="97" t="s">
        <v>165</v>
      </c>
      <c r="B140" s="1031" t="s">
        <v>165</v>
      </c>
      <c r="C140" s="978"/>
      <c r="D140" s="631" t="s">
        <v>219</v>
      </c>
      <c r="E140" s="596"/>
      <c r="F140" s="601">
        <v>15</v>
      </c>
      <c r="G140" s="597">
        <v>1.863</v>
      </c>
      <c r="H140" s="682">
        <f>IF(F140&lt;=30,(0.7*F140+1.45)*G140,((0.7*30+1.45)+0.58*(F140-30))*G140)</f>
        <v>22.26285</v>
      </c>
      <c r="I140" s="592">
        <v>0</v>
      </c>
      <c r="J140" s="592"/>
      <c r="K140" s="593">
        <f t="shared" si="70"/>
        <v>0</v>
      </c>
      <c r="L140" s="594" t="s">
        <v>783</v>
      </c>
      <c r="M140" s="632"/>
      <c r="N140" s="633"/>
      <c r="O140" s="93">
        <f t="shared" si="105"/>
        <v>0</v>
      </c>
      <c r="P140" s="93">
        <f t="shared" si="106"/>
        <v>0</v>
      </c>
      <c r="Q140" s="94"/>
      <c r="R140" s="632">
        <f t="shared" si="110"/>
        <v>0</v>
      </c>
      <c r="S140" s="633">
        <f t="shared" si="111"/>
        <v>0</v>
      </c>
      <c r="T140" s="93">
        <f t="shared" si="109"/>
        <v>0</v>
      </c>
      <c r="U140" s="95">
        <f t="shared" si="76"/>
        <v>0</v>
      </c>
      <c r="V140" s="94"/>
      <c r="W140" s="579" t="str">
        <f>IF(U138&gt;0,"xx",IF(P138&gt;0,"xy",""))</f>
        <v/>
      </c>
      <c r="X140" s="580" t="str">
        <f t="shared" si="59"/>
        <v/>
      </c>
      <c r="Y140" s="580" t="str">
        <f t="shared" ref="Y140:Y206" si="112">IF(W140="X","x",IF(W140="y","x",IF(W140="xx","x",IF(U140&gt;0,"x",""))))</f>
        <v/>
      </c>
      <c r="Z140" s="580" t="str">
        <f t="shared" si="52"/>
        <v/>
      </c>
    </row>
    <row r="141" spans="1:26" hidden="1" x14ac:dyDescent="0.2">
      <c r="A141" s="1008">
        <v>543000</v>
      </c>
      <c r="B141" s="1010">
        <v>543000</v>
      </c>
      <c r="C141" s="978" t="s">
        <v>212</v>
      </c>
      <c r="D141" s="595" t="s">
        <v>479</v>
      </c>
      <c r="E141" s="596"/>
      <c r="F141" s="601"/>
      <c r="G141" s="597"/>
      <c r="H141" s="682">
        <f>SUM(H142:H143)</f>
        <v>33.981650000000002</v>
      </c>
      <c r="I141" s="592">
        <v>54.569999999999993</v>
      </c>
      <c r="J141" s="592">
        <f t="shared" ref="J141:J176" si="113">IF(ISBLANK(I141),"",SUM(H141:I141))</f>
        <v>88.551649999999995</v>
      </c>
      <c r="K141" s="593">
        <f t="shared" si="70"/>
        <v>107.78</v>
      </c>
      <c r="L141" s="594" t="s">
        <v>16</v>
      </c>
      <c r="M141" s="92"/>
      <c r="N141" s="92"/>
      <c r="O141" s="93">
        <f t="shared" si="105"/>
        <v>0</v>
      </c>
      <c r="P141" s="93">
        <f t="shared" si="106"/>
        <v>0</v>
      </c>
      <c r="Q141" s="94"/>
      <c r="R141" s="92">
        <f t="shared" ref="R141" si="114">M141</f>
        <v>0</v>
      </c>
      <c r="S141" s="92">
        <f t="shared" ref="S141" si="115">N141</f>
        <v>0</v>
      </c>
      <c r="T141" s="93">
        <f t="shared" si="109"/>
        <v>0</v>
      </c>
      <c r="U141" s="95">
        <f t="shared" si="76"/>
        <v>0</v>
      </c>
      <c r="V141" s="94"/>
      <c r="X141" s="580" t="str">
        <f t="shared" si="59"/>
        <v/>
      </c>
      <c r="Y141" s="580" t="str">
        <f t="shared" si="112"/>
        <v/>
      </c>
      <c r="Z141" s="580" t="str">
        <f t="shared" si="52"/>
        <v/>
      </c>
    </row>
    <row r="142" spans="1:26" hidden="1" x14ac:dyDescent="0.2">
      <c r="A142" s="97" t="s">
        <v>165</v>
      </c>
      <c r="B142" s="1031" t="s">
        <v>165</v>
      </c>
      <c r="C142" s="978"/>
      <c r="D142" s="631" t="s">
        <v>218</v>
      </c>
      <c r="E142" s="596"/>
      <c r="F142" s="671">
        <v>500</v>
      </c>
      <c r="G142" s="597">
        <v>5.5E-2</v>
      </c>
      <c r="H142" s="682">
        <f>IF(F142&lt;=30,(0.51*F142+4.28)*G142,((0.51*30+4.28)+0.42*(F142-30))*G142)</f>
        <v>11.933900000000001</v>
      </c>
      <c r="I142" s="592">
        <v>0</v>
      </c>
      <c r="J142" s="592"/>
      <c r="K142" s="593">
        <f t="shared" si="70"/>
        <v>0</v>
      </c>
      <c r="L142" s="594" t="s">
        <v>783</v>
      </c>
      <c r="M142" s="632"/>
      <c r="N142" s="633"/>
      <c r="O142" s="93">
        <f t="shared" si="105"/>
        <v>0</v>
      </c>
      <c r="P142" s="93">
        <f t="shared" si="106"/>
        <v>0</v>
      </c>
      <c r="Q142" s="94"/>
      <c r="R142" s="632">
        <f t="shared" si="110"/>
        <v>0</v>
      </c>
      <c r="S142" s="633">
        <f t="shared" si="111"/>
        <v>0</v>
      </c>
      <c r="T142" s="93">
        <f t="shared" si="109"/>
        <v>0</v>
      </c>
      <c r="U142" s="95">
        <f t="shared" si="76"/>
        <v>0</v>
      </c>
      <c r="V142" s="94"/>
      <c r="W142" s="579" t="str">
        <f>IF(U141&gt;0,"xx",IF(P141&gt;0,"xy",""))</f>
        <v/>
      </c>
      <c r="X142" s="580" t="str">
        <f t="shared" si="59"/>
        <v/>
      </c>
      <c r="Y142" s="580" t="str">
        <f t="shared" si="112"/>
        <v/>
      </c>
      <c r="Z142" s="580" t="str">
        <f t="shared" si="52"/>
        <v/>
      </c>
    </row>
    <row r="143" spans="1:26" hidden="1" x14ac:dyDescent="0.2">
      <c r="A143" s="97" t="s">
        <v>165</v>
      </c>
      <c r="B143" s="1031" t="s">
        <v>165</v>
      </c>
      <c r="C143" s="978"/>
      <c r="D143" s="631" t="s">
        <v>219</v>
      </c>
      <c r="E143" s="596"/>
      <c r="F143" s="601">
        <v>15</v>
      </c>
      <c r="G143" s="597">
        <v>1.845</v>
      </c>
      <c r="H143" s="682">
        <f>IF(F143&lt;=30,(0.7*F143+1.45)*G143,((0.7*30+1.45)+0.58*(F143-30))*G143)</f>
        <v>22.047749999999997</v>
      </c>
      <c r="I143" s="592">
        <v>0</v>
      </c>
      <c r="J143" s="592"/>
      <c r="K143" s="593">
        <f t="shared" si="70"/>
        <v>0</v>
      </c>
      <c r="L143" s="594" t="s">
        <v>783</v>
      </c>
      <c r="M143" s="632"/>
      <c r="N143" s="633"/>
      <c r="O143" s="93">
        <f t="shared" si="105"/>
        <v>0</v>
      </c>
      <c r="P143" s="93">
        <f t="shared" si="106"/>
        <v>0</v>
      </c>
      <c r="Q143" s="94"/>
      <c r="R143" s="632">
        <f t="shared" si="110"/>
        <v>0</v>
      </c>
      <c r="S143" s="633">
        <f t="shared" si="111"/>
        <v>0</v>
      </c>
      <c r="T143" s="93">
        <f t="shared" si="109"/>
        <v>0</v>
      </c>
      <c r="U143" s="95">
        <f t="shared" si="76"/>
        <v>0</v>
      </c>
      <c r="V143" s="94"/>
      <c r="W143" s="579" t="str">
        <f>IF(U141&gt;0,"xx",IF(P141&gt;0,"xy",""))</f>
        <v/>
      </c>
      <c r="X143" s="580" t="str">
        <f t="shared" si="59"/>
        <v/>
      </c>
      <c r="Y143" s="580" t="str">
        <f t="shared" si="112"/>
        <v/>
      </c>
      <c r="Z143" s="580" t="str">
        <f t="shared" si="52"/>
        <v/>
      </c>
    </row>
    <row r="144" spans="1:26" hidden="1" x14ac:dyDescent="0.2">
      <c r="A144" s="1008">
        <v>544000</v>
      </c>
      <c r="B144" s="1010">
        <v>544000</v>
      </c>
      <c r="C144" s="978" t="s">
        <v>212</v>
      </c>
      <c r="D144" s="595" t="s">
        <v>480</v>
      </c>
      <c r="E144" s="596"/>
      <c r="F144" s="601"/>
      <c r="G144" s="597"/>
      <c r="H144" s="682">
        <f>SUM(H145:H146)</f>
        <v>36.664630000000002</v>
      </c>
      <c r="I144" s="592">
        <v>58.42</v>
      </c>
      <c r="J144" s="592">
        <f t="shared" si="113"/>
        <v>95.084630000000004</v>
      </c>
      <c r="K144" s="593">
        <f t="shared" si="70"/>
        <v>115.73</v>
      </c>
      <c r="L144" s="594" t="s">
        <v>16</v>
      </c>
      <c r="M144" s="92"/>
      <c r="N144" s="92"/>
      <c r="O144" s="93">
        <f t="shared" si="105"/>
        <v>0</v>
      </c>
      <c r="P144" s="93">
        <f t="shared" si="106"/>
        <v>0</v>
      </c>
      <c r="Q144" s="94"/>
      <c r="R144" s="92">
        <f t="shared" si="110"/>
        <v>0</v>
      </c>
      <c r="S144" s="92">
        <f t="shared" si="111"/>
        <v>0</v>
      </c>
      <c r="T144" s="93">
        <f t="shared" si="109"/>
        <v>0</v>
      </c>
      <c r="U144" s="95">
        <f t="shared" si="76"/>
        <v>0</v>
      </c>
      <c r="V144" s="94"/>
      <c r="X144" s="580" t="str">
        <f t="shared" si="59"/>
        <v/>
      </c>
      <c r="Y144" s="580" t="str">
        <f t="shared" si="112"/>
        <v/>
      </c>
      <c r="Z144" s="580" t="str">
        <f t="shared" si="52"/>
        <v/>
      </c>
    </row>
    <row r="145" spans="1:26" hidden="1" x14ac:dyDescent="0.2">
      <c r="A145" s="97" t="s">
        <v>165</v>
      </c>
      <c r="B145" s="1031" t="s">
        <v>165</v>
      </c>
      <c r="C145" s="978"/>
      <c r="D145" s="631" t="s">
        <v>218</v>
      </c>
      <c r="E145" s="596"/>
      <c r="F145" s="671">
        <v>500</v>
      </c>
      <c r="G145" s="597">
        <v>7.0999999999999994E-2</v>
      </c>
      <c r="H145" s="682">
        <f>IF(F145&lt;=30,(0.51*F145+4.28)*G145,((0.51*30+4.28)+0.42*(F145-30))*G145)</f>
        <v>15.40558</v>
      </c>
      <c r="I145" s="592">
        <v>0</v>
      </c>
      <c r="J145" s="592"/>
      <c r="K145" s="593">
        <f t="shared" si="70"/>
        <v>0</v>
      </c>
      <c r="L145" s="594" t="s">
        <v>783</v>
      </c>
      <c r="M145" s="632"/>
      <c r="N145" s="633"/>
      <c r="O145" s="93">
        <f t="shared" si="105"/>
        <v>0</v>
      </c>
      <c r="P145" s="93">
        <f t="shared" si="106"/>
        <v>0</v>
      </c>
      <c r="Q145" s="94"/>
      <c r="R145" s="632">
        <f t="shared" si="110"/>
        <v>0</v>
      </c>
      <c r="S145" s="633">
        <f t="shared" si="111"/>
        <v>0</v>
      </c>
      <c r="T145" s="93">
        <f t="shared" si="109"/>
        <v>0</v>
      </c>
      <c r="U145" s="95">
        <f t="shared" si="76"/>
        <v>0</v>
      </c>
      <c r="V145" s="94"/>
      <c r="W145" s="579" t="str">
        <f>IF(U144&gt;0,"xx",IF(P144&gt;0,"xy",""))</f>
        <v/>
      </c>
      <c r="X145" s="580" t="str">
        <f t="shared" si="59"/>
        <v/>
      </c>
      <c r="Y145" s="580" t="str">
        <f t="shared" si="112"/>
        <v/>
      </c>
      <c r="Z145" s="580" t="str">
        <f t="shared" si="52"/>
        <v/>
      </c>
    </row>
    <row r="146" spans="1:26" hidden="1" x14ac:dyDescent="0.2">
      <c r="A146" s="97" t="s">
        <v>165</v>
      </c>
      <c r="B146" s="1031" t="s">
        <v>165</v>
      </c>
      <c r="C146" s="978"/>
      <c r="D146" s="631" t="s">
        <v>219</v>
      </c>
      <c r="E146" s="596"/>
      <c r="F146" s="601">
        <v>15</v>
      </c>
      <c r="G146" s="597">
        <v>1.7789999999999999</v>
      </c>
      <c r="H146" s="682">
        <f>IF(F146&lt;=30,(0.7*F146+1.45)*G146,((0.7*30+1.45)+0.58*(F146-30))*G146)</f>
        <v>21.259049999999998</v>
      </c>
      <c r="I146" s="592">
        <v>0</v>
      </c>
      <c r="J146" s="592"/>
      <c r="K146" s="593">
        <f t="shared" si="70"/>
        <v>0</v>
      </c>
      <c r="L146" s="594" t="s">
        <v>783</v>
      </c>
      <c r="M146" s="632"/>
      <c r="N146" s="633"/>
      <c r="O146" s="93">
        <f t="shared" si="105"/>
        <v>0</v>
      </c>
      <c r="P146" s="93">
        <f t="shared" si="106"/>
        <v>0</v>
      </c>
      <c r="Q146" s="94"/>
      <c r="R146" s="632">
        <f t="shared" si="110"/>
        <v>0</v>
      </c>
      <c r="S146" s="633">
        <f t="shared" si="111"/>
        <v>0</v>
      </c>
      <c r="T146" s="93">
        <f t="shared" si="109"/>
        <v>0</v>
      </c>
      <c r="U146" s="95">
        <f t="shared" si="76"/>
        <v>0</v>
      </c>
      <c r="V146" s="94"/>
      <c r="W146" s="579" t="str">
        <f>IF(U144&gt;0,"xx",IF(P144&gt;0,"xy",""))</f>
        <v/>
      </c>
      <c r="X146" s="580" t="str">
        <f t="shared" si="59"/>
        <v/>
      </c>
      <c r="Y146" s="580" t="str">
        <f t="shared" si="112"/>
        <v/>
      </c>
      <c r="Z146" s="580" t="str">
        <f t="shared" si="52"/>
        <v/>
      </c>
    </row>
    <row r="147" spans="1:26" hidden="1" x14ac:dyDescent="0.2">
      <c r="A147" s="1008">
        <v>545000</v>
      </c>
      <c r="B147" s="1010">
        <v>545000</v>
      </c>
      <c r="C147" s="978" t="s">
        <v>212</v>
      </c>
      <c r="D147" s="595" t="s">
        <v>481</v>
      </c>
      <c r="E147" s="596"/>
      <c r="F147" s="601"/>
      <c r="G147" s="597"/>
      <c r="H147" s="682">
        <f>SUM(H148:H149)</f>
        <v>40.150139999999993</v>
      </c>
      <c r="I147" s="592">
        <v>68.180000000000007</v>
      </c>
      <c r="J147" s="592">
        <f t="shared" si="113"/>
        <v>108.33014</v>
      </c>
      <c r="K147" s="593">
        <f t="shared" si="70"/>
        <v>131.85</v>
      </c>
      <c r="L147" s="594" t="s">
        <v>16</v>
      </c>
      <c r="M147" s="92"/>
      <c r="N147" s="92"/>
      <c r="O147" s="93">
        <f t="shared" si="105"/>
        <v>0</v>
      </c>
      <c r="P147" s="93">
        <f t="shared" si="106"/>
        <v>0</v>
      </c>
      <c r="Q147" s="94"/>
      <c r="R147" s="92">
        <f t="shared" si="110"/>
        <v>0</v>
      </c>
      <c r="S147" s="92">
        <f t="shared" si="111"/>
        <v>0</v>
      </c>
      <c r="T147" s="93">
        <f t="shared" si="109"/>
        <v>0</v>
      </c>
      <c r="U147" s="95">
        <f t="shared" si="76"/>
        <v>0</v>
      </c>
      <c r="V147" s="94"/>
      <c r="X147" s="580" t="str">
        <f t="shared" si="59"/>
        <v/>
      </c>
      <c r="Y147" s="580" t="str">
        <f t="shared" si="112"/>
        <v/>
      </c>
      <c r="Z147" s="580" t="str">
        <f t="shared" si="52"/>
        <v/>
      </c>
    </row>
    <row r="148" spans="1:26" hidden="1" x14ac:dyDescent="0.2">
      <c r="A148" s="97" t="s">
        <v>165</v>
      </c>
      <c r="B148" s="1031" t="s">
        <v>165</v>
      </c>
      <c r="C148" s="978"/>
      <c r="D148" s="631" t="s">
        <v>218</v>
      </c>
      <c r="E148" s="596"/>
      <c r="F148" s="671">
        <v>500</v>
      </c>
      <c r="G148" s="597">
        <v>8.7999999999999995E-2</v>
      </c>
      <c r="H148" s="682">
        <f>IF(F148&lt;=30,(0.51*F148+4.28)*G148,((0.51*30+4.28)+0.42*(F148-30))*G148)</f>
        <v>19.094239999999999</v>
      </c>
      <c r="I148" s="592">
        <v>0</v>
      </c>
      <c r="J148" s="592"/>
      <c r="K148" s="593">
        <f t="shared" si="70"/>
        <v>0</v>
      </c>
      <c r="L148" s="594" t="s">
        <v>783</v>
      </c>
      <c r="M148" s="632"/>
      <c r="N148" s="633"/>
      <c r="O148" s="93">
        <f t="shared" si="105"/>
        <v>0</v>
      </c>
      <c r="P148" s="93">
        <f t="shared" si="106"/>
        <v>0</v>
      </c>
      <c r="Q148" s="94"/>
      <c r="R148" s="632">
        <f t="shared" si="110"/>
        <v>0</v>
      </c>
      <c r="S148" s="633">
        <f t="shared" si="111"/>
        <v>0</v>
      </c>
      <c r="T148" s="93">
        <f t="shared" si="109"/>
        <v>0</v>
      </c>
      <c r="U148" s="95">
        <f t="shared" si="76"/>
        <v>0</v>
      </c>
      <c r="V148" s="94"/>
      <c r="W148" s="579" t="str">
        <f>IF(U147&gt;0,"xx",IF(P147&gt;0,"xy",""))</f>
        <v/>
      </c>
      <c r="X148" s="580" t="str">
        <f t="shared" si="59"/>
        <v/>
      </c>
      <c r="Y148" s="580" t="str">
        <f t="shared" si="112"/>
        <v/>
      </c>
      <c r="Z148" s="580" t="str">
        <f t="shared" si="52"/>
        <v/>
      </c>
    </row>
    <row r="149" spans="1:26" hidden="1" x14ac:dyDescent="0.2">
      <c r="A149" s="97" t="s">
        <v>165</v>
      </c>
      <c r="B149" s="1031" t="s">
        <v>165</v>
      </c>
      <c r="C149" s="978"/>
      <c r="D149" s="631" t="s">
        <v>219</v>
      </c>
      <c r="E149" s="596"/>
      <c r="F149" s="601">
        <v>15</v>
      </c>
      <c r="G149" s="597">
        <v>1.762</v>
      </c>
      <c r="H149" s="682">
        <f>IF(F149&lt;=30,(0.7*F149+1.45)*G149,((0.7*30+1.45)+0.58*(F149-30))*G149)</f>
        <v>21.055899999999998</v>
      </c>
      <c r="I149" s="592">
        <v>0</v>
      </c>
      <c r="J149" s="592"/>
      <c r="K149" s="593">
        <f t="shared" si="70"/>
        <v>0</v>
      </c>
      <c r="L149" s="594" t="s">
        <v>783</v>
      </c>
      <c r="M149" s="632"/>
      <c r="N149" s="633"/>
      <c r="O149" s="93">
        <f t="shared" si="105"/>
        <v>0</v>
      </c>
      <c r="P149" s="93">
        <f t="shared" si="106"/>
        <v>0</v>
      </c>
      <c r="Q149" s="94"/>
      <c r="R149" s="632">
        <f t="shared" si="110"/>
        <v>0</v>
      </c>
      <c r="S149" s="633">
        <f t="shared" si="111"/>
        <v>0</v>
      </c>
      <c r="T149" s="93">
        <f t="shared" si="109"/>
        <v>0</v>
      </c>
      <c r="U149" s="95">
        <f t="shared" si="76"/>
        <v>0</v>
      </c>
      <c r="V149" s="94"/>
      <c r="W149" s="579" t="str">
        <f>IF(U147&gt;0,"xx",IF(P147&gt;0,"xy",""))</f>
        <v/>
      </c>
      <c r="X149" s="580" t="str">
        <f t="shared" si="59"/>
        <v/>
      </c>
      <c r="Y149" s="580" t="str">
        <f t="shared" si="112"/>
        <v/>
      </c>
      <c r="Z149" s="580" t="str">
        <f t="shared" si="52"/>
        <v/>
      </c>
    </row>
    <row r="150" spans="1:26" hidden="1" x14ac:dyDescent="0.2">
      <c r="A150" s="1008">
        <v>546000</v>
      </c>
      <c r="B150" s="1010">
        <v>546000</v>
      </c>
      <c r="C150" s="978" t="s">
        <v>212</v>
      </c>
      <c r="D150" s="595" t="s">
        <v>482</v>
      </c>
      <c r="E150" s="596"/>
      <c r="F150" s="601"/>
      <c r="G150" s="597"/>
      <c r="H150" s="682">
        <f>SUM(H151:H152)</f>
        <v>43.635649999999998</v>
      </c>
      <c r="I150" s="592">
        <v>77.95</v>
      </c>
      <c r="J150" s="592">
        <f t="shared" si="113"/>
        <v>121.58565</v>
      </c>
      <c r="K150" s="593">
        <f t="shared" si="70"/>
        <v>147.97999999999999</v>
      </c>
      <c r="L150" s="594" t="s">
        <v>16</v>
      </c>
      <c r="M150" s="92"/>
      <c r="N150" s="92"/>
      <c r="O150" s="93">
        <f t="shared" si="105"/>
        <v>0</v>
      </c>
      <c r="P150" s="93">
        <f t="shared" si="106"/>
        <v>0</v>
      </c>
      <c r="Q150" s="94"/>
      <c r="R150" s="92">
        <f t="shared" si="110"/>
        <v>0</v>
      </c>
      <c r="S150" s="92">
        <f t="shared" si="111"/>
        <v>0</v>
      </c>
      <c r="T150" s="93">
        <f t="shared" si="109"/>
        <v>0</v>
      </c>
      <c r="U150" s="95">
        <f t="shared" si="76"/>
        <v>0</v>
      </c>
      <c r="V150" s="94"/>
      <c r="X150" s="580" t="str">
        <f t="shared" si="59"/>
        <v/>
      </c>
      <c r="Y150" s="580" t="str">
        <f t="shared" si="112"/>
        <v/>
      </c>
      <c r="Z150" s="580" t="str">
        <f t="shared" si="52"/>
        <v/>
      </c>
    </row>
    <row r="151" spans="1:26" hidden="1" x14ac:dyDescent="0.2">
      <c r="A151" s="97" t="s">
        <v>165</v>
      </c>
      <c r="B151" s="1031" t="s">
        <v>165</v>
      </c>
      <c r="C151" s="978"/>
      <c r="D151" s="631" t="s">
        <v>218</v>
      </c>
      <c r="E151" s="596"/>
      <c r="F151" s="671">
        <v>500</v>
      </c>
      <c r="G151" s="597">
        <v>0.105</v>
      </c>
      <c r="H151" s="682">
        <f>IF(F151&lt;=30,(0.51*F151+4.28)*G151,((0.51*30+4.28)+0.42*(F151-30))*G151)</f>
        <v>22.782900000000001</v>
      </c>
      <c r="I151" s="592">
        <v>0</v>
      </c>
      <c r="J151" s="592"/>
      <c r="K151" s="593">
        <f t="shared" si="70"/>
        <v>0</v>
      </c>
      <c r="L151" s="594" t="s">
        <v>783</v>
      </c>
      <c r="M151" s="632"/>
      <c r="N151" s="633"/>
      <c r="O151" s="93">
        <f t="shared" si="105"/>
        <v>0</v>
      </c>
      <c r="P151" s="93">
        <f t="shared" si="106"/>
        <v>0</v>
      </c>
      <c r="Q151" s="94"/>
      <c r="R151" s="632">
        <f t="shared" si="110"/>
        <v>0</v>
      </c>
      <c r="S151" s="633">
        <f t="shared" si="111"/>
        <v>0</v>
      </c>
      <c r="T151" s="93">
        <f t="shared" si="109"/>
        <v>0</v>
      </c>
      <c r="U151" s="95">
        <f t="shared" si="76"/>
        <v>0</v>
      </c>
      <c r="V151" s="94"/>
      <c r="W151" s="579" t="str">
        <f>IF(U150&gt;0,"xx",IF(P150&gt;0,"xy",""))</f>
        <v/>
      </c>
      <c r="X151" s="580" t="str">
        <f t="shared" si="59"/>
        <v/>
      </c>
      <c r="Y151" s="580" t="str">
        <f t="shared" si="112"/>
        <v/>
      </c>
      <c r="Z151" s="580" t="str">
        <f t="shared" si="52"/>
        <v/>
      </c>
    </row>
    <row r="152" spans="1:26" hidden="1" x14ac:dyDescent="0.2">
      <c r="A152" s="97" t="s">
        <v>165</v>
      </c>
      <c r="B152" s="1031" t="s">
        <v>165</v>
      </c>
      <c r="C152" s="978"/>
      <c r="D152" s="631" t="s">
        <v>219</v>
      </c>
      <c r="E152" s="596"/>
      <c r="F152" s="601">
        <v>15</v>
      </c>
      <c r="G152" s="597">
        <v>1.7450000000000001</v>
      </c>
      <c r="H152" s="682">
        <f>IF(F152&lt;=30,(0.7*F152+1.45)*G152,((0.7*30+1.45)+0.58*(F152-30))*G152)</f>
        <v>20.85275</v>
      </c>
      <c r="I152" s="592">
        <v>0</v>
      </c>
      <c r="J152" s="592"/>
      <c r="K152" s="593">
        <f t="shared" si="70"/>
        <v>0</v>
      </c>
      <c r="L152" s="594" t="s">
        <v>783</v>
      </c>
      <c r="M152" s="632"/>
      <c r="N152" s="633"/>
      <c r="O152" s="93">
        <f t="shared" si="105"/>
        <v>0</v>
      </c>
      <c r="P152" s="93">
        <f t="shared" si="106"/>
        <v>0</v>
      </c>
      <c r="Q152" s="94"/>
      <c r="R152" s="632">
        <f t="shared" si="110"/>
        <v>0</v>
      </c>
      <c r="S152" s="633">
        <f t="shared" si="111"/>
        <v>0</v>
      </c>
      <c r="T152" s="93">
        <f t="shared" si="109"/>
        <v>0</v>
      </c>
      <c r="U152" s="95">
        <f t="shared" ref="U152:U186" si="116">IF(ISBLANK(R152),0,ROUND(R152*S152,2))</f>
        <v>0</v>
      </c>
      <c r="V152" s="94"/>
      <c r="W152" s="579" t="str">
        <f>IF(U150&gt;0,"xx",IF(P150&gt;0,"xy",""))</f>
        <v/>
      </c>
      <c r="X152" s="580" t="str">
        <f t="shared" si="59"/>
        <v/>
      </c>
      <c r="Y152" s="580" t="str">
        <f t="shared" si="112"/>
        <v/>
      </c>
      <c r="Z152" s="580" t="str">
        <f t="shared" si="52"/>
        <v/>
      </c>
    </row>
    <row r="153" spans="1:26" hidden="1" x14ac:dyDescent="0.2">
      <c r="A153" s="1008">
        <v>547000</v>
      </c>
      <c r="B153" s="1010">
        <v>547000</v>
      </c>
      <c r="C153" s="978" t="s">
        <v>212</v>
      </c>
      <c r="D153" s="595" t="s">
        <v>483</v>
      </c>
      <c r="E153" s="596"/>
      <c r="F153" s="601"/>
      <c r="G153" s="597"/>
      <c r="H153" s="682">
        <f>SUM(H154:H155)</f>
        <v>46.904179999999997</v>
      </c>
      <c r="I153" s="592">
        <v>88.300000000000011</v>
      </c>
      <c r="J153" s="592">
        <f t="shared" si="113"/>
        <v>135.20418000000001</v>
      </c>
      <c r="K153" s="593">
        <f t="shared" ref="K153:K184" si="117">IF(ISBLANK(I153),0,ROUND(J153*(1+$F$10)*(1+$F$11*E153),2))</f>
        <v>164.56</v>
      </c>
      <c r="L153" s="594" t="s">
        <v>16</v>
      </c>
      <c r="M153" s="92"/>
      <c r="N153" s="92"/>
      <c r="O153" s="93">
        <f t="shared" si="105"/>
        <v>0</v>
      </c>
      <c r="P153" s="93">
        <f t="shared" si="106"/>
        <v>0</v>
      </c>
      <c r="Q153" s="94"/>
      <c r="R153" s="92">
        <f t="shared" si="110"/>
        <v>0</v>
      </c>
      <c r="S153" s="92">
        <f t="shared" si="111"/>
        <v>0</v>
      </c>
      <c r="T153" s="93">
        <f t="shared" si="109"/>
        <v>0</v>
      </c>
      <c r="U153" s="95">
        <f t="shared" si="116"/>
        <v>0</v>
      </c>
      <c r="V153" s="94"/>
      <c r="X153" s="580" t="str">
        <f t="shared" si="59"/>
        <v/>
      </c>
      <c r="Y153" s="580" t="str">
        <f t="shared" si="112"/>
        <v/>
      </c>
      <c r="Z153" s="580" t="str">
        <f t="shared" ref="Z153:Z216" si="118">IF(W153="X","x",IF(U153&gt;0,"x",""))</f>
        <v/>
      </c>
    </row>
    <row r="154" spans="1:26" hidden="1" x14ac:dyDescent="0.2">
      <c r="A154" s="97" t="s">
        <v>165</v>
      </c>
      <c r="B154" s="1031" t="s">
        <v>165</v>
      </c>
      <c r="C154" s="978"/>
      <c r="D154" s="631" t="s">
        <v>218</v>
      </c>
      <c r="E154" s="596"/>
      <c r="F154" s="671">
        <v>500</v>
      </c>
      <c r="G154" s="597">
        <v>0.121</v>
      </c>
      <c r="H154" s="682">
        <f>IF(F154&lt;=30,(0.51*F154+4.28)*G154,((0.51*30+4.28)+0.42*(F154-30))*G154)</f>
        <v>26.254580000000001</v>
      </c>
      <c r="I154" s="592">
        <v>0</v>
      </c>
      <c r="J154" s="592"/>
      <c r="K154" s="593">
        <f t="shared" si="117"/>
        <v>0</v>
      </c>
      <c r="L154" s="594" t="s">
        <v>783</v>
      </c>
      <c r="M154" s="632"/>
      <c r="N154" s="633"/>
      <c r="O154" s="93">
        <f t="shared" si="105"/>
        <v>0</v>
      </c>
      <c r="P154" s="93">
        <f t="shared" si="106"/>
        <v>0</v>
      </c>
      <c r="Q154" s="94"/>
      <c r="R154" s="632">
        <f t="shared" si="110"/>
        <v>0</v>
      </c>
      <c r="S154" s="633">
        <f t="shared" si="111"/>
        <v>0</v>
      </c>
      <c r="T154" s="93">
        <f t="shared" si="109"/>
        <v>0</v>
      </c>
      <c r="U154" s="95">
        <f t="shared" si="116"/>
        <v>0</v>
      </c>
      <c r="V154" s="94"/>
      <c r="W154" s="579" t="str">
        <f>IF(U153&gt;0,"xx",IF(P153&gt;0,"xy",""))</f>
        <v/>
      </c>
      <c r="X154" s="580" t="str">
        <f t="shared" si="59"/>
        <v/>
      </c>
      <c r="Y154" s="580" t="str">
        <f t="shared" si="112"/>
        <v/>
      </c>
      <c r="Z154" s="580" t="str">
        <f t="shared" si="118"/>
        <v/>
      </c>
    </row>
    <row r="155" spans="1:26" hidden="1" x14ac:dyDescent="0.2">
      <c r="A155" s="97" t="s">
        <v>165</v>
      </c>
      <c r="B155" s="1031" t="s">
        <v>165</v>
      </c>
      <c r="C155" s="978"/>
      <c r="D155" s="631" t="s">
        <v>219</v>
      </c>
      <c r="E155" s="596"/>
      <c r="F155" s="601">
        <v>15</v>
      </c>
      <c r="G155" s="597">
        <v>1.728</v>
      </c>
      <c r="H155" s="682">
        <f>IF(F155&lt;=30,(0.7*F155+1.45)*G155,((0.7*30+1.45)+0.58*(F155-30))*G155)</f>
        <v>20.6496</v>
      </c>
      <c r="I155" s="592">
        <v>0</v>
      </c>
      <c r="J155" s="592"/>
      <c r="K155" s="593">
        <f t="shared" si="117"/>
        <v>0</v>
      </c>
      <c r="L155" s="594" t="s">
        <v>783</v>
      </c>
      <c r="M155" s="632"/>
      <c r="N155" s="633"/>
      <c r="O155" s="93">
        <f t="shared" si="105"/>
        <v>0</v>
      </c>
      <c r="P155" s="93">
        <f t="shared" si="106"/>
        <v>0</v>
      </c>
      <c r="Q155" s="94"/>
      <c r="R155" s="632">
        <f t="shared" si="110"/>
        <v>0</v>
      </c>
      <c r="S155" s="633">
        <f t="shared" si="111"/>
        <v>0</v>
      </c>
      <c r="T155" s="93">
        <f t="shared" si="109"/>
        <v>0</v>
      </c>
      <c r="U155" s="95">
        <f t="shared" si="116"/>
        <v>0</v>
      </c>
      <c r="V155" s="94"/>
      <c r="W155" s="579" t="str">
        <f>IF(U153&gt;0,"xx",IF(P153&gt;0,"xy",""))</f>
        <v/>
      </c>
      <c r="X155" s="580" t="str">
        <f t="shared" si="59"/>
        <v/>
      </c>
      <c r="Y155" s="580" t="str">
        <f t="shared" si="112"/>
        <v/>
      </c>
      <c r="Z155" s="580" t="str">
        <f t="shared" si="118"/>
        <v/>
      </c>
    </row>
    <row r="156" spans="1:26" hidden="1" x14ac:dyDescent="0.2">
      <c r="A156" s="1008">
        <v>542100</v>
      </c>
      <c r="B156" s="1010">
        <v>542100</v>
      </c>
      <c r="C156" s="978" t="s">
        <v>212</v>
      </c>
      <c r="D156" s="595" t="s">
        <v>484</v>
      </c>
      <c r="E156" s="596"/>
      <c r="F156" s="601"/>
      <c r="G156" s="597"/>
      <c r="H156" s="682">
        <f>SUM(H157:H159)</f>
        <v>36.025089999999992</v>
      </c>
      <c r="I156" s="592">
        <v>42.48</v>
      </c>
      <c r="J156" s="592">
        <f t="shared" si="113"/>
        <v>78.505089999999996</v>
      </c>
      <c r="K156" s="593">
        <f t="shared" si="117"/>
        <v>95.55</v>
      </c>
      <c r="L156" s="594" t="s">
        <v>16</v>
      </c>
      <c r="M156" s="92"/>
      <c r="N156" s="92"/>
      <c r="O156" s="93">
        <f t="shared" si="105"/>
        <v>0</v>
      </c>
      <c r="P156" s="93">
        <f t="shared" si="106"/>
        <v>0</v>
      </c>
      <c r="Q156" s="94"/>
      <c r="R156" s="92">
        <f t="shared" si="110"/>
        <v>0</v>
      </c>
      <c r="S156" s="92">
        <f t="shared" si="111"/>
        <v>0</v>
      </c>
      <c r="T156" s="93">
        <f t="shared" si="109"/>
        <v>0</v>
      </c>
      <c r="U156" s="95">
        <f t="shared" si="116"/>
        <v>0</v>
      </c>
      <c r="V156" s="94"/>
      <c r="X156" s="580" t="str">
        <f t="shared" si="59"/>
        <v/>
      </c>
      <c r="Y156" s="580" t="str">
        <f t="shared" si="112"/>
        <v/>
      </c>
      <c r="Z156" s="580" t="str">
        <f t="shared" si="118"/>
        <v/>
      </c>
    </row>
    <row r="157" spans="1:26" hidden="1" x14ac:dyDescent="0.2">
      <c r="A157" s="97" t="s">
        <v>165</v>
      </c>
      <c r="B157" s="1031" t="s">
        <v>165</v>
      </c>
      <c r="C157" s="978"/>
      <c r="D157" s="631" t="s">
        <v>218</v>
      </c>
      <c r="E157" s="596"/>
      <c r="F157" s="671">
        <v>500</v>
      </c>
      <c r="G157" s="597">
        <v>3.6999999999999998E-2</v>
      </c>
      <c r="H157" s="682">
        <f>IF(F157&lt;=30,(0.51*F157+4.28)*G157,((0.51*30+4.28)+0.42*(F157-30))*G157)</f>
        <v>8.0282599999999995</v>
      </c>
      <c r="I157" s="592">
        <v>0</v>
      </c>
      <c r="J157" s="592"/>
      <c r="K157" s="593">
        <f t="shared" si="117"/>
        <v>0</v>
      </c>
      <c r="L157" s="594" t="s">
        <v>783</v>
      </c>
      <c r="M157" s="632"/>
      <c r="N157" s="633"/>
      <c r="O157" s="93">
        <f t="shared" si="105"/>
        <v>0</v>
      </c>
      <c r="P157" s="93">
        <f t="shared" si="106"/>
        <v>0</v>
      </c>
      <c r="Q157" s="94"/>
      <c r="R157" s="632">
        <f t="shared" si="110"/>
        <v>0</v>
      </c>
      <c r="S157" s="633">
        <f t="shared" si="111"/>
        <v>0</v>
      </c>
      <c r="T157" s="93">
        <f t="shared" si="109"/>
        <v>0</v>
      </c>
      <c r="U157" s="95">
        <f t="shared" si="116"/>
        <v>0</v>
      </c>
      <c r="V157" s="94"/>
      <c r="W157" s="579" t="str">
        <f>IF(U156&gt;0,"xx",IF(P156&gt;0,"xy",""))</f>
        <v/>
      </c>
      <c r="X157" s="580" t="str">
        <f t="shared" si="59"/>
        <v/>
      </c>
      <c r="Y157" s="580" t="str">
        <f t="shared" si="112"/>
        <v/>
      </c>
      <c r="Z157" s="580" t="str">
        <f t="shared" si="118"/>
        <v/>
      </c>
    </row>
    <row r="158" spans="1:26" hidden="1" x14ac:dyDescent="0.2">
      <c r="A158" s="97" t="s">
        <v>165</v>
      </c>
      <c r="B158" s="1031" t="s">
        <v>165</v>
      </c>
      <c r="C158" s="978"/>
      <c r="D158" s="631" t="s">
        <v>219</v>
      </c>
      <c r="E158" s="596"/>
      <c r="F158" s="601">
        <v>10</v>
      </c>
      <c r="G158" s="597">
        <v>1.9</v>
      </c>
      <c r="H158" s="682">
        <f>IF(F158&lt;=30,(0.7*F158+1.45)*G158,((0.7*30+1.45)+0.58*(F158-30))*G158)</f>
        <v>16.054999999999996</v>
      </c>
      <c r="I158" s="592">
        <v>0</v>
      </c>
      <c r="J158" s="592"/>
      <c r="K158" s="593">
        <f t="shared" si="117"/>
        <v>0</v>
      </c>
      <c r="L158" s="594" t="s">
        <v>783</v>
      </c>
      <c r="M158" s="632"/>
      <c r="N158" s="633"/>
      <c r="O158" s="93">
        <f t="shared" si="105"/>
        <v>0</v>
      </c>
      <c r="P158" s="93">
        <f t="shared" si="106"/>
        <v>0</v>
      </c>
      <c r="Q158" s="94"/>
      <c r="R158" s="632">
        <f t="shared" si="110"/>
        <v>0</v>
      </c>
      <c r="S158" s="633">
        <f t="shared" si="111"/>
        <v>0</v>
      </c>
      <c r="T158" s="93">
        <f t="shared" si="109"/>
        <v>0</v>
      </c>
      <c r="U158" s="95">
        <f t="shared" si="116"/>
        <v>0</v>
      </c>
      <c r="V158" s="94"/>
      <c r="W158" s="579" t="str">
        <f>IF(U156&gt;0,"xx",IF(P156&gt;0,"xy",""))</f>
        <v/>
      </c>
      <c r="X158" s="580" t="str">
        <f t="shared" ref="X158:X221" si="119">IF(W158="X","x",IF(W158="xx","x",IF(W158="xy","x",IF(W158="y","x",IF(OR(P158&gt;0,U158&gt;0),"x","")))))</f>
        <v/>
      </c>
      <c r="Y158" s="580" t="str">
        <f t="shared" si="112"/>
        <v/>
      </c>
      <c r="Z158" s="580" t="str">
        <f t="shared" si="118"/>
        <v/>
      </c>
    </row>
    <row r="159" spans="1:26" hidden="1" x14ac:dyDescent="0.2">
      <c r="A159" s="97" t="s">
        <v>165</v>
      </c>
      <c r="B159" s="1031" t="s">
        <v>165</v>
      </c>
      <c r="C159" s="978"/>
      <c r="D159" s="631" t="s">
        <v>220</v>
      </c>
      <c r="E159" s="596"/>
      <c r="F159" s="601">
        <v>5</v>
      </c>
      <c r="G159" s="597">
        <v>1.863</v>
      </c>
      <c r="H159" s="682">
        <f>IF(F159&lt;=30,(0.7*F159+2.91)*G159,((0.7*30+2.91)+0.58*(F159-30))*G159)</f>
        <v>11.94183</v>
      </c>
      <c r="I159" s="592">
        <v>0</v>
      </c>
      <c r="J159" s="592"/>
      <c r="K159" s="593">
        <f t="shared" si="117"/>
        <v>0</v>
      </c>
      <c r="L159" s="594" t="s">
        <v>783</v>
      </c>
      <c r="M159" s="632"/>
      <c r="N159" s="633"/>
      <c r="O159" s="93">
        <f t="shared" si="105"/>
        <v>0</v>
      </c>
      <c r="P159" s="93">
        <f t="shared" si="106"/>
        <v>0</v>
      </c>
      <c r="Q159" s="94"/>
      <c r="R159" s="632">
        <f t="shared" si="110"/>
        <v>0</v>
      </c>
      <c r="S159" s="633">
        <f t="shared" si="111"/>
        <v>0</v>
      </c>
      <c r="T159" s="93">
        <f t="shared" si="109"/>
        <v>0</v>
      </c>
      <c r="U159" s="95">
        <f t="shared" si="116"/>
        <v>0</v>
      </c>
      <c r="V159" s="94"/>
      <c r="W159" s="579" t="str">
        <f>IF($U$138&gt;0,"xx",IF($P$138&gt;0,"xy",""))</f>
        <v/>
      </c>
      <c r="X159" s="580" t="str">
        <f t="shared" si="119"/>
        <v/>
      </c>
      <c r="Y159" s="580" t="str">
        <f t="shared" si="112"/>
        <v/>
      </c>
      <c r="Z159" s="580" t="str">
        <f t="shared" si="118"/>
        <v/>
      </c>
    </row>
    <row r="160" spans="1:26" hidden="1" x14ac:dyDescent="0.2">
      <c r="A160" s="1008">
        <v>543100</v>
      </c>
      <c r="B160" s="1010">
        <v>543100</v>
      </c>
      <c r="C160" s="978" t="s">
        <v>212</v>
      </c>
      <c r="D160" s="595" t="s">
        <v>485</v>
      </c>
      <c r="E160" s="596"/>
      <c r="F160" s="601"/>
      <c r="G160" s="597"/>
      <c r="H160" s="682">
        <f>SUM(H161:H163)</f>
        <v>39.815349999999995</v>
      </c>
      <c r="I160" s="592">
        <v>49.89</v>
      </c>
      <c r="J160" s="592">
        <f t="shared" si="113"/>
        <v>89.705349999999996</v>
      </c>
      <c r="K160" s="593">
        <f t="shared" si="117"/>
        <v>109.18</v>
      </c>
      <c r="L160" s="594" t="s">
        <v>16</v>
      </c>
      <c r="M160" s="92"/>
      <c r="N160" s="92"/>
      <c r="O160" s="93">
        <f t="shared" si="105"/>
        <v>0</v>
      </c>
      <c r="P160" s="93">
        <f t="shared" si="106"/>
        <v>0</v>
      </c>
      <c r="Q160" s="94"/>
      <c r="R160" s="92">
        <f t="shared" si="110"/>
        <v>0</v>
      </c>
      <c r="S160" s="92">
        <f t="shared" si="111"/>
        <v>0</v>
      </c>
      <c r="T160" s="93">
        <f t="shared" si="109"/>
        <v>0</v>
      </c>
      <c r="U160" s="95">
        <f t="shared" si="116"/>
        <v>0</v>
      </c>
      <c r="V160" s="94"/>
      <c r="X160" s="580" t="str">
        <f t="shared" si="119"/>
        <v/>
      </c>
      <c r="Y160" s="580" t="str">
        <f t="shared" si="112"/>
        <v/>
      </c>
      <c r="Z160" s="580" t="str">
        <f t="shared" si="118"/>
        <v/>
      </c>
    </row>
    <row r="161" spans="1:26" hidden="1" x14ac:dyDescent="0.2">
      <c r="A161" s="97" t="s">
        <v>165</v>
      </c>
      <c r="B161" s="1031" t="s">
        <v>165</v>
      </c>
      <c r="C161" s="978"/>
      <c r="D161" s="631" t="s">
        <v>218</v>
      </c>
      <c r="E161" s="596"/>
      <c r="F161" s="671">
        <v>500</v>
      </c>
      <c r="G161" s="597">
        <v>5.5E-2</v>
      </c>
      <c r="H161" s="682">
        <f>IF(F161&lt;=30,(0.51*F161+4.28)*G161,((0.51*30+4.28)+0.42*(F161-30))*G161)</f>
        <v>11.933900000000001</v>
      </c>
      <c r="I161" s="592">
        <v>0</v>
      </c>
      <c r="J161" s="592"/>
      <c r="K161" s="593">
        <f t="shared" si="117"/>
        <v>0</v>
      </c>
      <c r="L161" s="594" t="s">
        <v>783</v>
      </c>
      <c r="M161" s="632"/>
      <c r="N161" s="633"/>
      <c r="O161" s="93">
        <f t="shared" si="105"/>
        <v>0</v>
      </c>
      <c r="P161" s="93">
        <f t="shared" si="106"/>
        <v>0</v>
      </c>
      <c r="Q161" s="94"/>
      <c r="R161" s="632">
        <f t="shared" si="110"/>
        <v>0</v>
      </c>
      <c r="S161" s="633">
        <f t="shared" si="111"/>
        <v>0</v>
      </c>
      <c r="T161" s="93">
        <f t="shared" si="109"/>
        <v>0</v>
      </c>
      <c r="U161" s="95">
        <f t="shared" si="116"/>
        <v>0</v>
      </c>
      <c r="V161" s="94"/>
      <c r="W161" s="579" t="str">
        <f>IF(U160&gt;0,"xx",IF(P160&gt;0,"xy",""))</f>
        <v/>
      </c>
      <c r="X161" s="580" t="str">
        <f t="shared" si="119"/>
        <v/>
      </c>
      <c r="Y161" s="580" t="str">
        <f t="shared" si="112"/>
        <v/>
      </c>
      <c r="Z161" s="580" t="str">
        <f t="shared" si="118"/>
        <v/>
      </c>
    </row>
    <row r="162" spans="1:26" hidden="1" x14ac:dyDescent="0.2">
      <c r="A162" s="97" t="s">
        <v>165</v>
      </c>
      <c r="B162" s="1031" t="s">
        <v>165</v>
      </c>
      <c r="C162" s="978"/>
      <c r="D162" s="631" t="s">
        <v>219</v>
      </c>
      <c r="E162" s="596"/>
      <c r="F162" s="601">
        <v>10</v>
      </c>
      <c r="G162" s="597">
        <v>1.9</v>
      </c>
      <c r="H162" s="682">
        <f>IF(F162&lt;=30,(0.7*F162+1.45)*G162,((0.7*30+1.45)+0.58*(F162-30))*G162)</f>
        <v>16.054999999999996</v>
      </c>
      <c r="I162" s="592">
        <v>0</v>
      </c>
      <c r="J162" s="592"/>
      <c r="K162" s="593">
        <f t="shared" si="117"/>
        <v>0</v>
      </c>
      <c r="L162" s="594" t="s">
        <v>783</v>
      </c>
      <c r="M162" s="632"/>
      <c r="N162" s="633"/>
      <c r="O162" s="93">
        <f t="shared" si="105"/>
        <v>0</v>
      </c>
      <c r="P162" s="93">
        <f t="shared" si="106"/>
        <v>0</v>
      </c>
      <c r="Q162" s="94"/>
      <c r="R162" s="632">
        <f t="shared" si="110"/>
        <v>0</v>
      </c>
      <c r="S162" s="633">
        <f t="shared" si="111"/>
        <v>0</v>
      </c>
      <c r="T162" s="93">
        <f t="shared" si="109"/>
        <v>0</v>
      </c>
      <c r="U162" s="95">
        <f t="shared" si="116"/>
        <v>0</v>
      </c>
      <c r="V162" s="94"/>
      <c r="W162" s="579" t="str">
        <f>IF(U160&gt;0,"xx",IF(P160&gt;0,"xy",""))</f>
        <v/>
      </c>
      <c r="X162" s="580" t="str">
        <f t="shared" si="119"/>
        <v/>
      </c>
      <c r="Y162" s="580" t="str">
        <f t="shared" si="112"/>
        <v/>
      </c>
      <c r="Z162" s="580" t="str">
        <f t="shared" si="118"/>
        <v/>
      </c>
    </row>
    <row r="163" spans="1:26" hidden="1" x14ac:dyDescent="0.2">
      <c r="A163" s="97" t="s">
        <v>165</v>
      </c>
      <c r="B163" s="1031" t="s">
        <v>165</v>
      </c>
      <c r="C163" s="978"/>
      <c r="D163" s="631" t="s">
        <v>220</v>
      </c>
      <c r="E163" s="596"/>
      <c r="F163" s="601">
        <v>5</v>
      </c>
      <c r="G163" s="597">
        <v>1.845</v>
      </c>
      <c r="H163" s="682">
        <f>IF(F163&lt;=30,(0.7*F163+2.91)*G163,((0.7*30+2.91)+0.58*(F163-30))*G163)</f>
        <v>11.826449999999999</v>
      </c>
      <c r="I163" s="592">
        <v>0</v>
      </c>
      <c r="J163" s="592"/>
      <c r="K163" s="593">
        <f t="shared" si="117"/>
        <v>0</v>
      </c>
      <c r="L163" s="594" t="s">
        <v>783</v>
      </c>
      <c r="M163" s="632"/>
      <c r="N163" s="633"/>
      <c r="O163" s="93">
        <f t="shared" si="105"/>
        <v>0</v>
      </c>
      <c r="P163" s="93">
        <f t="shared" si="106"/>
        <v>0</v>
      </c>
      <c r="Q163" s="94"/>
      <c r="R163" s="632">
        <f t="shared" si="110"/>
        <v>0</v>
      </c>
      <c r="S163" s="633">
        <f t="shared" si="111"/>
        <v>0</v>
      </c>
      <c r="T163" s="93">
        <f t="shared" si="109"/>
        <v>0</v>
      </c>
      <c r="U163" s="95">
        <f t="shared" si="116"/>
        <v>0</v>
      </c>
      <c r="V163" s="94"/>
      <c r="W163" s="579" t="str">
        <f>IF($U$138&gt;0,"xx",IF($P$138&gt;0,"xy",""))</f>
        <v/>
      </c>
      <c r="X163" s="580" t="str">
        <f t="shared" si="119"/>
        <v/>
      </c>
      <c r="Y163" s="580" t="str">
        <f t="shared" si="112"/>
        <v/>
      </c>
      <c r="Z163" s="580" t="str">
        <f t="shared" si="118"/>
        <v/>
      </c>
    </row>
    <row r="164" spans="1:26" hidden="1" x14ac:dyDescent="0.2">
      <c r="A164" s="1008">
        <v>544100</v>
      </c>
      <c r="B164" s="1010">
        <v>544100</v>
      </c>
      <c r="C164" s="978" t="s">
        <v>212</v>
      </c>
      <c r="D164" s="595" t="s">
        <v>486</v>
      </c>
      <c r="E164" s="596"/>
      <c r="F164" s="601"/>
      <c r="G164" s="597"/>
      <c r="H164" s="682">
        <f>SUM(H165:H167)</f>
        <v>42.441470000000002</v>
      </c>
      <c r="I164" s="592">
        <v>51.28</v>
      </c>
      <c r="J164" s="592">
        <f t="shared" si="113"/>
        <v>93.721470000000011</v>
      </c>
      <c r="K164" s="593">
        <f t="shared" si="117"/>
        <v>114.07</v>
      </c>
      <c r="L164" s="594" t="s">
        <v>16</v>
      </c>
      <c r="M164" s="92"/>
      <c r="N164" s="92"/>
      <c r="O164" s="93">
        <f t="shared" si="105"/>
        <v>0</v>
      </c>
      <c r="P164" s="93">
        <f t="shared" si="106"/>
        <v>0</v>
      </c>
      <c r="Q164" s="94"/>
      <c r="R164" s="92">
        <f t="shared" si="110"/>
        <v>0</v>
      </c>
      <c r="S164" s="92">
        <f t="shared" si="111"/>
        <v>0</v>
      </c>
      <c r="T164" s="93">
        <f t="shared" si="109"/>
        <v>0</v>
      </c>
      <c r="U164" s="95">
        <f t="shared" si="116"/>
        <v>0</v>
      </c>
      <c r="V164" s="94"/>
      <c r="X164" s="580" t="str">
        <f t="shared" si="119"/>
        <v/>
      </c>
      <c r="Y164" s="580" t="str">
        <f t="shared" si="112"/>
        <v/>
      </c>
      <c r="Z164" s="580" t="str">
        <f t="shared" si="118"/>
        <v/>
      </c>
    </row>
    <row r="165" spans="1:26" hidden="1" x14ac:dyDescent="0.2">
      <c r="A165" s="97" t="s">
        <v>165</v>
      </c>
      <c r="B165" s="1031" t="s">
        <v>165</v>
      </c>
      <c r="C165" s="978"/>
      <c r="D165" s="631" t="s">
        <v>218</v>
      </c>
      <c r="E165" s="596"/>
      <c r="F165" s="671">
        <v>500</v>
      </c>
      <c r="G165" s="597">
        <v>7.0999999999999994E-2</v>
      </c>
      <c r="H165" s="682">
        <f>IF(F165&lt;=30,(0.51*F165+4.28)*G165,((0.51*30+4.28)+0.42*(F165-30))*G165)</f>
        <v>15.40558</v>
      </c>
      <c r="I165" s="592">
        <v>0</v>
      </c>
      <c r="J165" s="592"/>
      <c r="K165" s="593">
        <f t="shared" si="117"/>
        <v>0</v>
      </c>
      <c r="L165" s="594" t="s">
        <v>783</v>
      </c>
      <c r="M165" s="632"/>
      <c r="N165" s="633"/>
      <c r="O165" s="93">
        <f t="shared" si="105"/>
        <v>0</v>
      </c>
      <c r="P165" s="93">
        <f t="shared" si="106"/>
        <v>0</v>
      </c>
      <c r="Q165" s="94"/>
      <c r="R165" s="632">
        <f t="shared" si="110"/>
        <v>0</v>
      </c>
      <c r="S165" s="633">
        <f t="shared" si="111"/>
        <v>0</v>
      </c>
      <c r="T165" s="93">
        <f t="shared" si="109"/>
        <v>0</v>
      </c>
      <c r="U165" s="95">
        <f t="shared" si="116"/>
        <v>0</v>
      </c>
      <c r="V165" s="94"/>
      <c r="W165" s="579" t="str">
        <f>IF(U164&gt;0,"xx",IF(P164&gt;0,"xy",""))</f>
        <v/>
      </c>
      <c r="X165" s="580" t="str">
        <f t="shared" si="119"/>
        <v/>
      </c>
      <c r="Y165" s="580" t="str">
        <f t="shared" si="112"/>
        <v/>
      </c>
      <c r="Z165" s="580" t="str">
        <f t="shared" si="118"/>
        <v/>
      </c>
    </row>
    <row r="166" spans="1:26" hidden="1" x14ac:dyDescent="0.2">
      <c r="A166" s="97" t="s">
        <v>165</v>
      </c>
      <c r="B166" s="1031" t="s">
        <v>165</v>
      </c>
      <c r="C166" s="978"/>
      <c r="D166" s="631" t="s">
        <v>219</v>
      </c>
      <c r="E166" s="596"/>
      <c r="F166" s="601">
        <v>10</v>
      </c>
      <c r="G166" s="597">
        <v>1.85</v>
      </c>
      <c r="H166" s="682">
        <f>IF(F166&lt;=30,(0.7*F166+1.45)*G166,((0.7*30+1.45)+0.58*(F166-30))*G166)</f>
        <v>15.6325</v>
      </c>
      <c r="I166" s="592">
        <v>0</v>
      </c>
      <c r="J166" s="592"/>
      <c r="K166" s="593">
        <f t="shared" si="117"/>
        <v>0</v>
      </c>
      <c r="L166" s="594" t="s">
        <v>783</v>
      </c>
      <c r="M166" s="632"/>
      <c r="N166" s="633"/>
      <c r="O166" s="93">
        <f t="shared" si="105"/>
        <v>0</v>
      </c>
      <c r="P166" s="93">
        <f t="shared" si="106"/>
        <v>0</v>
      </c>
      <c r="Q166" s="94"/>
      <c r="R166" s="632">
        <f t="shared" si="110"/>
        <v>0</v>
      </c>
      <c r="S166" s="633">
        <f t="shared" si="111"/>
        <v>0</v>
      </c>
      <c r="T166" s="93">
        <f t="shared" si="109"/>
        <v>0</v>
      </c>
      <c r="U166" s="95">
        <f t="shared" si="116"/>
        <v>0</v>
      </c>
      <c r="V166" s="94"/>
      <c r="W166" s="579" t="str">
        <f>IF(U164&gt;0,"xx",IF(P164&gt;0,"xy",""))</f>
        <v/>
      </c>
      <c r="X166" s="580" t="str">
        <f t="shared" si="119"/>
        <v/>
      </c>
      <c r="Y166" s="580" t="str">
        <f t="shared" si="112"/>
        <v/>
      </c>
      <c r="Z166" s="580" t="str">
        <f t="shared" si="118"/>
        <v/>
      </c>
    </row>
    <row r="167" spans="1:26" hidden="1" x14ac:dyDescent="0.2">
      <c r="A167" s="97" t="s">
        <v>165</v>
      </c>
      <c r="B167" s="1031" t="s">
        <v>165</v>
      </c>
      <c r="C167" s="978"/>
      <c r="D167" s="631" t="s">
        <v>220</v>
      </c>
      <c r="E167" s="596"/>
      <c r="F167" s="601">
        <v>5</v>
      </c>
      <c r="G167" s="597">
        <v>1.7789999999999999</v>
      </c>
      <c r="H167" s="682">
        <f>IF(F167&lt;=30,(0.7*F167+2.91)*G167,((0.7*30+2.91)+0.58*(F167-30))*G167)</f>
        <v>11.40339</v>
      </c>
      <c r="I167" s="592">
        <v>0</v>
      </c>
      <c r="J167" s="592"/>
      <c r="K167" s="593">
        <f t="shared" si="117"/>
        <v>0</v>
      </c>
      <c r="L167" s="594" t="s">
        <v>783</v>
      </c>
      <c r="M167" s="632"/>
      <c r="N167" s="633"/>
      <c r="O167" s="93">
        <f t="shared" si="105"/>
        <v>0</v>
      </c>
      <c r="P167" s="93">
        <f t="shared" si="106"/>
        <v>0</v>
      </c>
      <c r="Q167" s="94"/>
      <c r="R167" s="632">
        <f t="shared" si="110"/>
        <v>0</v>
      </c>
      <c r="S167" s="633">
        <f t="shared" si="111"/>
        <v>0</v>
      </c>
      <c r="T167" s="93">
        <f t="shared" si="109"/>
        <v>0</v>
      </c>
      <c r="U167" s="95">
        <f t="shared" si="116"/>
        <v>0</v>
      </c>
      <c r="V167" s="94"/>
      <c r="W167" s="579" t="str">
        <f>IF($U$138&gt;0,"xx",IF($P$138&gt;0,"xy",""))</f>
        <v/>
      </c>
      <c r="X167" s="580" t="str">
        <f t="shared" si="119"/>
        <v/>
      </c>
      <c r="Y167" s="580" t="str">
        <f t="shared" si="112"/>
        <v/>
      </c>
      <c r="Z167" s="580" t="str">
        <f t="shared" si="118"/>
        <v/>
      </c>
    </row>
    <row r="168" spans="1:26" hidden="1" x14ac:dyDescent="0.2">
      <c r="A168" s="1008">
        <v>545100</v>
      </c>
      <c r="B168" s="1010">
        <v>545100</v>
      </c>
      <c r="C168" s="978" t="s">
        <v>212</v>
      </c>
      <c r="D168" s="595" t="s">
        <v>487</v>
      </c>
      <c r="E168" s="596"/>
      <c r="F168" s="601"/>
      <c r="G168" s="597"/>
      <c r="H168" s="682">
        <f>SUM(H169:H171)</f>
        <v>46.021160000000002</v>
      </c>
      <c r="I168" s="592">
        <v>58.29</v>
      </c>
      <c r="J168" s="592">
        <f t="shared" si="113"/>
        <v>104.31116</v>
      </c>
      <c r="K168" s="593">
        <f t="shared" si="117"/>
        <v>126.96</v>
      </c>
      <c r="L168" s="594" t="s">
        <v>16</v>
      </c>
      <c r="M168" s="92"/>
      <c r="N168" s="92"/>
      <c r="O168" s="93">
        <f t="shared" si="105"/>
        <v>0</v>
      </c>
      <c r="P168" s="93">
        <f t="shared" si="106"/>
        <v>0</v>
      </c>
      <c r="Q168" s="94"/>
      <c r="R168" s="92">
        <f t="shared" si="110"/>
        <v>0</v>
      </c>
      <c r="S168" s="92">
        <f t="shared" si="111"/>
        <v>0</v>
      </c>
      <c r="T168" s="93">
        <f t="shared" si="109"/>
        <v>0</v>
      </c>
      <c r="U168" s="95">
        <f t="shared" si="116"/>
        <v>0</v>
      </c>
      <c r="V168" s="94"/>
      <c r="X168" s="580" t="str">
        <f t="shared" si="119"/>
        <v/>
      </c>
      <c r="Y168" s="580" t="str">
        <f t="shared" si="112"/>
        <v/>
      </c>
      <c r="Z168" s="580" t="str">
        <f t="shared" si="118"/>
        <v/>
      </c>
    </row>
    <row r="169" spans="1:26" hidden="1" x14ac:dyDescent="0.2">
      <c r="A169" s="97" t="s">
        <v>165</v>
      </c>
      <c r="B169" s="1031" t="s">
        <v>165</v>
      </c>
      <c r="C169" s="978"/>
      <c r="D169" s="631" t="s">
        <v>218</v>
      </c>
      <c r="E169" s="596"/>
      <c r="F169" s="671">
        <v>500</v>
      </c>
      <c r="G169" s="597">
        <v>8.7999999999999995E-2</v>
      </c>
      <c r="H169" s="682">
        <f>IF(F169&lt;=30,(0.51*F169+4.28)*G169,((0.51*30+4.28)+0.42*(F169-30))*G169)</f>
        <v>19.094239999999999</v>
      </c>
      <c r="I169" s="592">
        <v>0</v>
      </c>
      <c r="J169" s="592"/>
      <c r="K169" s="593">
        <f t="shared" si="117"/>
        <v>0</v>
      </c>
      <c r="L169" s="594" t="s">
        <v>783</v>
      </c>
      <c r="M169" s="632"/>
      <c r="N169" s="633"/>
      <c r="O169" s="93">
        <f t="shared" ref="O169:O261" si="120">IF(ISBLANK(M169),0,ROUND(K169*M169,2))</f>
        <v>0</v>
      </c>
      <c r="P169" s="93">
        <f t="shared" si="106"/>
        <v>0</v>
      </c>
      <c r="Q169" s="94"/>
      <c r="R169" s="632">
        <f t="shared" ref="R169:R196" si="121">M169</f>
        <v>0</v>
      </c>
      <c r="S169" s="633">
        <f t="shared" ref="S169:S196" si="122">N169</f>
        <v>0</v>
      </c>
      <c r="T169" s="93">
        <f t="shared" ref="T169:T261" si="123">IF(ISBLANK(R169),0,ROUND(K169*R169,2))</f>
        <v>0</v>
      </c>
      <c r="U169" s="95">
        <f t="shared" si="116"/>
        <v>0</v>
      </c>
      <c r="V169" s="94"/>
      <c r="W169" s="579" t="str">
        <f>IF(U168&gt;0,"xx",IF(P168&gt;0,"xy",""))</f>
        <v/>
      </c>
      <c r="X169" s="580" t="str">
        <f t="shared" si="119"/>
        <v/>
      </c>
      <c r="Y169" s="580" t="str">
        <f t="shared" si="112"/>
        <v/>
      </c>
      <c r="Z169" s="580" t="str">
        <f t="shared" si="118"/>
        <v/>
      </c>
    </row>
    <row r="170" spans="1:26" hidden="1" x14ac:dyDescent="0.2">
      <c r="A170" s="97" t="s">
        <v>165</v>
      </c>
      <c r="B170" s="1031" t="s">
        <v>165</v>
      </c>
      <c r="C170" s="978"/>
      <c r="D170" s="631" t="s">
        <v>219</v>
      </c>
      <c r="E170" s="596"/>
      <c r="F170" s="601">
        <v>10</v>
      </c>
      <c r="G170" s="597">
        <v>1.85</v>
      </c>
      <c r="H170" s="682">
        <f>IF(F170&lt;=30,(0.7*F170+1.45)*G170,((0.7*30+1.45)+0.58*(F170-30))*G170)</f>
        <v>15.6325</v>
      </c>
      <c r="I170" s="592">
        <v>0</v>
      </c>
      <c r="J170" s="592"/>
      <c r="K170" s="593">
        <f t="shared" si="117"/>
        <v>0</v>
      </c>
      <c r="L170" s="594" t="s">
        <v>783</v>
      </c>
      <c r="M170" s="632"/>
      <c r="N170" s="633"/>
      <c r="O170" s="93">
        <f t="shared" si="120"/>
        <v>0</v>
      </c>
      <c r="P170" s="93">
        <f t="shared" ref="P170:P262" si="124">IF(ISBLANK(N170),0,ROUND(M170*N170,2))</f>
        <v>0</v>
      </c>
      <c r="Q170" s="94"/>
      <c r="R170" s="632">
        <f t="shared" si="121"/>
        <v>0</v>
      </c>
      <c r="S170" s="633">
        <f t="shared" si="122"/>
        <v>0</v>
      </c>
      <c r="T170" s="93">
        <f t="shared" si="123"/>
        <v>0</v>
      </c>
      <c r="U170" s="95">
        <f t="shared" si="116"/>
        <v>0</v>
      </c>
      <c r="V170" s="94"/>
      <c r="W170" s="579" t="str">
        <f>IF(U168&gt;0,"xx",IF(P168&gt;0,"xy",""))</f>
        <v/>
      </c>
      <c r="X170" s="580" t="str">
        <f t="shared" si="119"/>
        <v/>
      </c>
      <c r="Y170" s="580" t="str">
        <f t="shared" si="112"/>
        <v/>
      </c>
      <c r="Z170" s="580" t="str">
        <f t="shared" si="118"/>
        <v/>
      </c>
    </row>
    <row r="171" spans="1:26" hidden="1" x14ac:dyDescent="0.2">
      <c r="A171" s="97" t="s">
        <v>165</v>
      </c>
      <c r="B171" s="1031" t="s">
        <v>165</v>
      </c>
      <c r="C171" s="978"/>
      <c r="D171" s="631" t="s">
        <v>220</v>
      </c>
      <c r="E171" s="596"/>
      <c r="F171" s="601">
        <v>5</v>
      </c>
      <c r="G171" s="597">
        <v>1.762</v>
      </c>
      <c r="H171" s="682">
        <f>IF(F171&lt;=30,(0.7*F171+2.91)*G171,((0.7*30+2.91)+0.58*(F171-30))*G171)</f>
        <v>11.294420000000001</v>
      </c>
      <c r="I171" s="592">
        <v>0</v>
      </c>
      <c r="J171" s="592"/>
      <c r="K171" s="593">
        <f t="shared" si="117"/>
        <v>0</v>
      </c>
      <c r="L171" s="594" t="s">
        <v>783</v>
      </c>
      <c r="M171" s="632"/>
      <c r="N171" s="633"/>
      <c r="O171" s="93">
        <f t="shared" si="120"/>
        <v>0</v>
      </c>
      <c r="P171" s="93">
        <f t="shared" si="124"/>
        <v>0</v>
      </c>
      <c r="Q171" s="94"/>
      <c r="R171" s="632">
        <f t="shared" si="121"/>
        <v>0</v>
      </c>
      <c r="S171" s="633">
        <f t="shared" si="122"/>
        <v>0</v>
      </c>
      <c r="T171" s="93">
        <f t="shared" si="123"/>
        <v>0</v>
      </c>
      <c r="U171" s="95">
        <f t="shared" si="116"/>
        <v>0</v>
      </c>
      <c r="V171" s="94"/>
      <c r="W171" s="579" t="str">
        <f>IF($U$138&gt;0,"xx",IF($P$138&gt;0,"xy",""))</f>
        <v/>
      </c>
      <c r="X171" s="580" t="str">
        <f t="shared" si="119"/>
        <v/>
      </c>
      <c r="Y171" s="580" t="str">
        <f t="shared" si="112"/>
        <v/>
      </c>
      <c r="Z171" s="580" t="str">
        <f t="shared" si="118"/>
        <v/>
      </c>
    </row>
    <row r="172" spans="1:26" hidden="1" x14ac:dyDescent="0.2">
      <c r="A172" s="1008">
        <v>546100</v>
      </c>
      <c r="B172" s="1010">
        <v>546100</v>
      </c>
      <c r="C172" s="978" t="s">
        <v>212</v>
      </c>
      <c r="D172" s="595" t="s">
        <v>488</v>
      </c>
      <c r="E172" s="596"/>
      <c r="F172" s="601"/>
      <c r="G172" s="597"/>
      <c r="H172" s="682">
        <f>SUM(H173:H175)</f>
        <v>49.600850000000008</v>
      </c>
      <c r="I172" s="592">
        <v>65.290000000000006</v>
      </c>
      <c r="J172" s="592">
        <f t="shared" si="113"/>
        <v>114.89085000000001</v>
      </c>
      <c r="K172" s="593">
        <f t="shared" si="117"/>
        <v>139.83000000000001</v>
      </c>
      <c r="L172" s="594" t="s">
        <v>16</v>
      </c>
      <c r="M172" s="92"/>
      <c r="N172" s="92"/>
      <c r="O172" s="93">
        <f t="shared" si="120"/>
        <v>0</v>
      </c>
      <c r="P172" s="93">
        <f t="shared" si="124"/>
        <v>0</v>
      </c>
      <c r="Q172" s="94"/>
      <c r="R172" s="92">
        <f t="shared" si="121"/>
        <v>0</v>
      </c>
      <c r="S172" s="92">
        <f t="shared" si="122"/>
        <v>0</v>
      </c>
      <c r="T172" s="93">
        <f t="shared" si="123"/>
        <v>0</v>
      </c>
      <c r="U172" s="95">
        <f t="shared" si="116"/>
        <v>0</v>
      </c>
      <c r="V172" s="94"/>
      <c r="X172" s="580" t="str">
        <f t="shared" si="119"/>
        <v/>
      </c>
      <c r="Y172" s="580" t="str">
        <f t="shared" si="112"/>
        <v/>
      </c>
      <c r="Z172" s="580" t="str">
        <f t="shared" si="118"/>
        <v/>
      </c>
    </row>
    <row r="173" spans="1:26" hidden="1" x14ac:dyDescent="0.2">
      <c r="A173" s="97" t="s">
        <v>165</v>
      </c>
      <c r="B173" s="1031" t="s">
        <v>165</v>
      </c>
      <c r="C173" s="978"/>
      <c r="D173" s="631" t="s">
        <v>218</v>
      </c>
      <c r="E173" s="596"/>
      <c r="F173" s="671">
        <v>500</v>
      </c>
      <c r="G173" s="597">
        <v>0.105</v>
      </c>
      <c r="H173" s="682">
        <f>IF(F173&lt;=30,(0.51*F173+4.28)*G173,((0.51*30+4.28)+0.42*(F173-30))*G173)</f>
        <v>22.782900000000001</v>
      </c>
      <c r="I173" s="592">
        <v>0</v>
      </c>
      <c r="J173" s="592"/>
      <c r="K173" s="593">
        <f t="shared" si="117"/>
        <v>0</v>
      </c>
      <c r="L173" s="594" t="s">
        <v>783</v>
      </c>
      <c r="M173" s="632"/>
      <c r="N173" s="633"/>
      <c r="O173" s="93">
        <f t="shared" si="120"/>
        <v>0</v>
      </c>
      <c r="P173" s="93">
        <f t="shared" si="124"/>
        <v>0</v>
      </c>
      <c r="Q173" s="94"/>
      <c r="R173" s="632">
        <f t="shared" si="121"/>
        <v>0</v>
      </c>
      <c r="S173" s="633">
        <f t="shared" si="122"/>
        <v>0</v>
      </c>
      <c r="T173" s="93">
        <f t="shared" si="123"/>
        <v>0</v>
      </c>
      <c r="U173" s="95">
        <f t="shared" si="116"/>
        <v>0</v>
      </c>
      <c r="V173" s="94"/>
      <c r="W173" s="579" t="str">
        <f>IF(U172&gt;0,"xx",IF(P172&gt;0,"xy",""))</f>
        <v/>
      </c>
      <c r="X173" s="580" t="str">
        <f t="shared" si="119"/>
        <v/>
      </c>
      <c r="Y173" s="580" t="str">
        <f t="shared" si="112"/>
        <v/>
      </c>
      <c r="Z173" s="580" t="str">
        <f t="shared" si="118"/>
        <v/>
      </c>
    </row>
    <row r="174" spans="1:26" hidden="1" x14ac:dyDescent="0.2">
      <c r="A174" s="97" t="s">
        <v>165</v>
      </c>
      <c r="B174" s="1031" t="s">
        <v>165</v>
      </c>
      <c r="C174" s="978"/>
      <c r="D174" s="631" t="s">
        <v>219</v>
      </c>
      <c r="E174" s="596"/>
      <c r="F174" s="601">
        <v>10</v>
      </c>
      <c r="G174" s="597">
        <v>1.85</v>
      </c>
      <c r="H174" s="682">
        <f>IF(F174&lt;=30,(0.7*F174+1.45)*G174,((0.7*30+1.45)+0.58*(F174-30))*G174)</f>
        <v>15.6325</v>
      </c>
      <c r="I174" s="592">
        <v>0</v>
      </c>
      <c r="J174" s="592"/>
      <c r="K174" s="593">
        <f t="shared" si="117"/>
        <v>0</v>
      </c>
      <c r="L174" s="594" t="s">
        <v>783</v>
      </c>
      <c r="M174" s="632"/>
      <c r="N174" s="633"/>
      <c r="O174" s="93">
        <f t="shared" si="120"/>
        <v>0</v>
      </c>
      <c r="P174" s="93">
        <f t="shared" si="124"/>
        <v>0</v>
      </c>
      <c r="Q174" s="94"/>
      <c r="R174" s="632">
        <f t="shared" si="121"/>
        <v>0</v>
      </c>
      <c r="S174" s="633">
        <f t="shared" si="122"/>
        <v>0</v>
      </c>
      <c r="T174" s="93">
        <f t="shared" si="123"/>
        <v>0</v>
      </c>
      <c r="U174" s="95">
        <f t="shared" si="116"/>
        <v>0</v>
      </c>
      <c r="V174" s="94"/>
      <c r="W174" s="579" t="str">
        <f>IF(U172&gt;0,"xx",IF(P172&gt;0,"xy",""))</f>
        <v/>
      </c>
      <c r="X174" s="580" t="str">
        <f t="shared" si="119"/>
        <v/>
      </c>
      <c r="Y174" s="580" t="str">
        <f t="shared" si="112"/>
        <v/>
      </c>
      <c r="Z174" s="580" t="str">
        <f t="shared" si="118"/>
        <v/>
      </c>
    </row>
    <row r="175" spans="1:26" hidden="1" x14ac:dyDescent="0.2">
      <c r="A175" s="97" t="s">
        <v>165</v>
      </c>
      <c r="B175" s="1031" t="s">
        <v>165</v>
      </c>
      <c r="C175" s="978"/>
      <c r="D175" s="631" t="s">
        <v>220</v>
      </c>
      <c r="E175" s="596"/>
      <c r="F175" s="601">
        <v>5</v>
      </c>
      <c r="G175" s="597">
        <v>1.7450000000000001</v>
      </c>
      <c r="H175" s="682">
        <f>IF(F175&lt;=30,(0.7*F175+2.91)*G175,((0.7*30+2.91)+0.58*(F175-30))*G175)</f>
        <v>11.185450000000001</v>
      </c>
      <c r="I175" s="592">
        <v>0</v>
      </c>
      <c r="J175" s="592"/>
      <c r="K175" s="593">
        <f t="shared" si="117"/>
        <v>0</v>
      </c>
      <c r="L175" s="594" t="s">
        <v>783</v>
      </c>
      <c r="M175" s="632"/>
      <c r="N175" s="633"/>
      <c r="O175" s="93">
        <f t="shared" si="120"/>
        <v>0</v>
      </c>
      <c r="P175" s="93">
        <f t="shared" si="124"/>
        <v>0</v>
      </c>
      <c r="Q175" s="94"/>
      <c r="R175" s="632">
        <f t="shared" si="121"/>
        <v>0</v>
      </c>
      <c r="S175" s="633">
        <f t="shared" si="122"/>
        <v>0</v>
      </c>
      <c r="T175" s="93">
        <f t="shared" si="123"/>
        <v>0</v>
      </c>
      <c r="U175" s="95">
        <f t="shared" si="116"/>
        <v>0</v>
      </c>
      <c r="V175" s="94"/>
      <c r="W175" s="579" t="str">
        <f>IF($U$138&gt;0,"xx",IF($P$138&gt;0,"xy",""))</f>
        <v/>
      </c>
      <c r="X175" s="580" t="str">
        <f t="shared" si="119"/>
        <v/>
      </c>
      <c r="Y175" s="580" t="str">
        <f t="shared" si="112"/>
        <v/>
      </c>
      <c r="Z175" s="580" t="str">
        <f t="shared" si="118"/>
        <v/>
      </c>
    </row>
    <row r="176" spans="1:26" hidden="1" x14ac:dyDescent="0.2">
      <c r="A176" s="1008">
        <v>547100</v>
      </c>
      <c r="B176" s="1010">
        <v>547100</v>
      </c>
      <c r="C176" s="978" t="s">
        <v>212</v>
      </c>
      <c r="D176" s="595" t="s">
        <v>489</v>
      </c>
      <c r="E176" s="596"/>
      <c r="F176" s="601"/>
      <c r="G176" s="597"/>
      <c r="H176" s="682">
        <f>SUM(H177:H179)</f>
        <v>52.963560000000001</v>
      </c>
      <c r="I176" s="592">
        <v>71.88000000000001</v>
      </c>
      <c r="J176" s="592">
        <f t="shared" si="113"/>
        <v>124.84356000000001</v>
      </c>
      <c r="K176" s="593">
        <f t="shared" si="117"/>
        <v>151.94999999999999</v>
      </c>
      <c r="L176" s="594" t="s">
        <v>16</v>
      </c>
      <c r="M176" s="92"/>
      <c r="N176" s="92"/>
      <c r="O176" s="93">
        <f t="shared" si="120"/>
        <v>0</v>
      </c>
      <c r="P176" s="93">
        <f t="shared" si="124"/>
        <v>0</v>
      </c>
      <c r="Q176" s="94"/>
      <c r="R176" s="92">
        <f t="shared" si="121"/>
        <v>0</v>
      </c>
      <c r="S176" s="92">
        <f t="shared" si="122"/>
        <v>0</v>
      </c>
      <c r="T176" s="93">
        <f t="shared" si="123"/>
        <v>0</v>
      </c>
      <c r="U176" s="95">
        <f t="shared" si="116"/>
        <v>0</v>
      </c>
      <c r="V176" s="94"/>
      <c r="X176" s="580" t="str">
        <f t="shared" si="119"/>
        <v/>
      </c>
      <c r="Y176" s="580" t="str">
        <f t="shared" si="112"/>
        <v/>
      </c>
      <c r="Z176" s="580" t="str">
        <f t="shared" si="118"/>
        <v/>
      </c>
    </row>
    <row r="177" spans="1:26" hidden="1" x14ac:dyDescent="0.2">
      <c r="A177" s="97" t="s">
        <v>165</v>
      </c>
      <c r="B177" s="1031" t="s">
        <v>165</v>
      </c>
      <c r="C177" s="978"/>
      <c r="D177" s="631" t="s">
        <v>218</v>
      </c>
      <c r="E177" s="596"/>
      <c r="F177" s="671">
        <v>500</v>
      </c>
      <c r="G177" s="597">
        <v>0.121</v>
      </c>
      <c r="H177" s="682">
        <f>IF(F177&lt;=30,(0.51*F177+4.28)*G177,((0.51*30+4.28)+0.42*(F177-30))*G177)</f>
        <v>26.254580000000001</v>
      </c>
      <c r="I177" s="592">
        <v>0</v>
      </c>
      <c r="J177" s="592"/>
      <c r="K177" s="593">
        <f t="shared" si="117"/>
        <v>0</v>
      </c>
      <c r="L177" s="594" t="s">
        <v>783</v>
      </c>
      <c r="M177" s="632"/>
      <c r="N177" s="633"/>
      <c r="O177" s="93">
        <f t="shared" si="120"/>
        <v>0</v>
      </c>
      <c r="P177" s="93">
        <f t="shared" si="124"/>
        <v>0</v>
      </c>
      <c r="Q177" s="94"/>
      <c r="R177" s="632">
        <f t="shared" si="121"/>
        <v>0</v>
      </c>
      <c r="S177" s="633">
        <f t="shared" si="122"/>
        <v>0</v>
      </c>
      <c r="T177" s="93">
        <f t="shared" si="123"/>
        <v>0</v>
      </c>
      <c r="U177" s="95">
        <f t="shared" si="116"/>
        <v>0</v>
      </c>
      <c r="V177" s="94"/>
      <c r="W177" s="579" t="str">
        <f>IF(U176&gt;0,"xx",IF(P176&gt;0,"xy",""))</f>
        <v/>
      </c>
      <c r="X177" s="580" t="str">
        <f t="shared" si="119"/>
        <v/>
      </c>
      <c r="Y177" s="580" t="str">
        <f t="shared" si="112"/>
        <v/>
      </c>
      <c r="Z177" s="580" t="str">
        <f t="shared" si="118"/>
        <v/>
      </c>
    </row>
    <row r="178" spans="1:26" hidden="1" x14ac:dyDescent="0.2">
      <c r="A178" s="97" t="s">
        <v>165</v>
      </c>
      <c r="B178" s="1031" t="s">
        <v>165</v>
      </c>
      <c r="C178" s="978"/>
      <c r="D178" s="631" t="s">
        <v>219</v>
      </c>
      <c r="E178" s="596"/>
      <c r="F178" s="601">
        <v>10</v>
      </c>
      <c r="G178" s="597">
        <v>1.85</v>
      </c>
      <c r="H178" s="682">
        <f>IF(F178&lt;=30,(0.7*F178+1.45)*G178,((0.7*30+1.45)+0.58*(F178-30))*G178)</f>
        <v>15.6325</v>
      </c>
      <c r="I178" s="592">
        <v>0</v>
      </c>
      <c r="J178" s="592"/>
      <c r="K178" s="593">
        <f t="shared" si="117"/>
        <v>0</v>
      </c>
      <c r="L178" s="594" t="s">
        <v>783</v>
      </c>
      <c r="M178" s="632"/>
      <c r="N178" s="633"/>
      <c r="O178" s="93">
        <f t="shared" si="120"/>
        <v>0</v>
      </c>
      <c r="P178" s="93">
        <f t="shared" si="124"/>
        <v>0</v>
      </c>
      <c r="Q178" s="94"/>
      <c r="R178" s="632">
        <f t="shared" si="121"/>
        <v>0</v>
      </c>
      <c r="S178" s="633">
        <f t="shared" si="122"/>
        <v>0</v>
      </c>
      <c r="T178" s="93">
        <f t="shared" si="123"/>
        <v>0</v>
      </c>
      <c r="U178" s="95">
        <f t="shared" si="116"/>
        <v>0</v>
      </c>
      <c r="V178" s="94"/>
      <c r="W178" s="579" t="str">
        <f>IF(U176&gt;0,"xx",IF(P176&gt;0,"xy",""))</f>
        <v/>
      </c>
      <c r="X178" s="580" t="str">
        <f t="shared" si="119"/>
        <v/>
      </c>
      <c r="Y178" s="580" t="str">
        <f t="shared" si="112"/>
        <v/>
      </c>
      <c r="Z178" s="580" t="str">
        <f t="shared" si="118"/>
        <v/>
      </c>
    </row>
    <row r="179" spans="1:26" hidden="1" x14ac:dyDescent="0.2">
      <c r="A179" s="97" t="s">
        <v>165</v>
      </c>
      <c r="B179" s="1031" t="s">
        <v>165</v>
      </c>
      <c r="C179" s="978"/>
      <c r="D179" s="631" t="s">
        <v>220</v>
      </c>
      <c r="E179" s="596"/>
      <c r="F179" s="601">
        <v>5</v>
      </c>
      <c r="G179" s="597">
        <v>1.728</v>
      </c>
      <c r="H179" s="682">
        <f>IF(F179&lt;=30,(0.7*F179+2.91)*G179,((0.7*30+2.91)+0.58*(F179-30))*G179)</f>
        <v>11.07648</v>
      </c>
      <c r="I179" s="592">
        <v>0</v>
      </c>
      <c r="J179" s="592"/>
      <c r="K179" s="593">
        <f t="shared" si="117"/>
        <v>0</v>
      </c>
      <c r="L179" s="594" t="s">
        <v>783</v>
      </c>
      <c r="M179" s="632"/>
      <c r="N179" s="633"/>
      <c r="O179" s="93">
        <f t="shared" si="120"/>
        <v>0</v>
      </c>
      <c r="P179" s="93">
        <f t="shared" si="124"/>
        <v>0</v>
      </c>
      <c r="Q179" s="94"/>
      <c r="R179" s="632">
        <f t="shared" si="121"/>
        <v>0</v>
      </c>
      <c r="S179" s="633">
        <f t="shared" si="122"/>
        <v>0</v>
      </c>
      <c r="T179" s="93">
        <f t="shared" si="123"/>
        <v>0</v>
      </c>
      <c r="U179" s="95">
        <f t="shared" si="116"/>
        <v>0</v>
      </c>
      <c r="V179" s="94"/>
      <c r="W179" s="579" t="str">
        <f>IF($U$138&gt;0,"xx",IF($P$138&gt;0,"xy",""))</f>
        <v/>
      </c>
      <c r="X179" s="580" t="str">
        <f t="shared" si="119"/>
        <v/>
      </c>
      <c r="Y179" s="580" t="str">
        <f t="shared" si="112"/>
        <v/>
      </c>
      <c r="Z179" s="580" t="str">
        <f t="shared" si="118"/>
        <v/>
      </c>
    </row>
    <row r="180" spans="1:26" hidden="1" x14ac:dyDescent="0.2">
      <c r="A180" s="1008">
        <v>530200</v>
      </c>
      <c r="B180" s="1010" t="s">
        <v>1963</v>
      </c>
      <c r="C180" s="978" t="s">
        <v>212</v>
      </c>
      <c r="D180" s="595" t="s">
        <v>221</v>
      </c>
      <c r="E180" s="596"/>
      <c r="F180" s="601">
        <v>20</v>
      </c>
      <c r="G180" s="591">
        <v>2.2000000000000002</v>
      </c>
      <c r="H180" s="682">
        <f>IF(F180&lt;=30,(0.7*F180+1.45)*G180,((0.7*30+1.45)+0.58*(F180-30))*G180)</f>
        <v>33.99</v>
      </c>
      <c r="I180" s="592">
        <v>76.62</v>
      </c>
      <c r="J180" s="592">
        <f>IF(ISBLANK(I180),"",SUM(H180:I180))</f>
        <v>110.61000000000001</v>
      </c>
      <c r="K180" s="593">
        <f t="shared" si="117"/>
        <v>134.62</v>
      </c>
      <c r="L180" s="594" t="s">
        <v>16</v>
      </c>
      <c r="M180" s="92"/>
      <c r="N180" s="92"/>
      <c r="O180" s="93">
        <f t="shared" ref="O180:O181" si="125">IF(ISBLANK(M180),0,ROUND(K180*M180,2))</f>
        <v>0</v>
      </c>
      <c r="P180" s="93">
        <f t="shared" ref="P180:P181" si="126">IF(ISBLANK(N180),0,ROUND(M180*N180,2))</f>
        <v>0</v>
      </c>
      <c r="Q180" s="94"/>
      <c r="R180" s="92">
        <f t="shared" ref="R180:R181" si="127">M180</f>
        <v>0</v>
      </c>
      <c r="S180" s="92">
        <f t="shared" ref="S180:S181" si="128">N180</f>
        <v>0</v>
      </c>
      <c r="T180" s="93">
        <f t="shared" ref="T180:T181" si="129">IF(ISBLANK(R180),0,ROUND(K180*R180,2))</f>
        <v>0</v>
      </c>
      <c r="U180" s="95">
        <f t="shared" ref="U180:U181" si="130">IF(ISBLANK(R180),0,ROUND(R180*S180,2))</f>
        <v>0</v>
      </c>
      <c r="V180" s="94"/>
      <c r="X180" s="580" t="str">
        <f t="shared" si="119"/>
        <v/>
      </c>
      <c r="Y180" s="580" t="str">
        <f t="shared" si="112"/>
        <v/>
      </c>
      <c r="Z180" s="580" t="str">
        <f t="shared" si="118"/>
        <v/>
      </c>
    </row>
    <row r="181" spans="1:26" hidden="1" x14ac:dyDescent="0.2">
      <c r="A181" s="1008" t="s">
        <v>1127</v>
      </c>
      <c r="B181" s="1010" t="s">
        <v>2018</v>
      </c>
      <c r="C181" s="978" t="s">
        <v>523</v>
      </c>
      <c r="D181" s="595" t="s">
        <v>806</v>
      </c>
      <c r="E181" s="596"/>
      <c r="F181" s="601">
        <v>10</v>
      </c>
      <c r="G181" s="591">
        <v>1.95</v>
      </c>
      <c r="H181" s="682">
        <f t="shared" ref="H181:H184" si="131">IF(F181&lt;=30,(0.7*F181+1.45)*G181,((0.7*30+1.45)+0.58*(F181-30))*G181)</f>
        <v>16.477499999999999</v>
      </c>
      <c r="I181" s="592">
        <v>72.11</v>
      </c>
      <c r="J181" s="592">
        <f>IF(ISBLANK(I181),"",SUM(H181:I181))</f>
        <v>88.587500000000006</v>
      </c>
      <c r="K181" s="593">
        <f t="shared" si="117"/>
        <v>107.82</v>
      </c>
      <c r="L181" s="594" t="s">
        <v>16</v>
      </c>
      <c r="M181" s="92"/>
      <c r="N181" s="92"/>
      <c r="O181" s="93">
        <f t="shared" si="125"/>
        <v>0</v>
      </c>
      <c r="P181" s="93">
        <f t="shared" si="126"/>
        <v>0</v>
      </c>
      <c r="Q181" s="94"/>
      <c r="R181" s="92">
        <f t="shared" si="127"/>
        <v>0</v>
      </c>
      <c r="S181" s="92">
        <f t="shared" si="128"/>
        <v>0</v>
      </c>
      <c r="T181" s="93">
        <f t="shared" si="129"/>
        <v>0</v>
      </c>
      <c r="U181" s="95">
        <f t="shared" si="130"/>
        <v>0</v>
      </c>
      <c r="V181" s="94"/>
      <c r="X181" s="580" t="str">
        <f t="shared" si="119"/>
        <v/>
      </c>
      <c r="Y181" s="580" t="str">
        <f t="shared" si="112"/>
        <v/>
      </c>
      <c r="Z181" s="580" t="str">
        <f t="shared" si="118"/>
        <v/>
      </c>
    </row>
    <row r="182" spans="1:26" hidden="1" x14ac:dyDescent="0.2">
      <c r="A182" s="1008" t="s">
        <v>1128</v>
      </c>
      <c r="B182" s="1010" t="s">
        <v>2019</v>
      </c>
      <c r="C182" s="978" t="s">
        <v>523</v>
      </c>
      <c r="D182" s="595" t="s">
        <v>807</v>
      </c>
      <c r="E182" s="596"/>
      <c r="F182" s="601">
        <v>11</v>
      </c>
      <c r="G182" s="591">
        <v>2.1</v>
      </c>
      <c r="H182" s="682">
        <f t="shared" si="131"/>
        <v>19.214999999999996</v>
      </c>
      <c r="I182" s="592">
        <v>88.65</v>
      </c>
      <c r="J182" s="592">
        <f>IF(ISBLANK(I182),"",SUM(H182:I182))</f>
        <v>107.86500000000001</v>
      </c>
      <c r="K182" s="593">
        <f t="shared" si="117"/>
        <v>131.28</v>
      </c>
      <c r="L182" s="594" t="s">
        <v>16</v>
      </c>
      <c r="M182" s="92"/>
      <c r="N182" s="92"/>
      <c r="O182" s="93">
        <f t="shared" si="120"/>
        <v>0</v>
      </c>
      <c r="P182" s="93">
        <f t="shared" si="124"/>
        <v>0</v>
      </c>
      <c r="Q182" s="94"/>
      <c r="R182" s="92">
        <f t="shared" si="121"/>
        <v>0</v>
      </c>
      <c r="S182" s="92">
        <f t="shared" si="122"/>
        <v>0</v>
      </c>
      <c r="T182" s="93">
        <f t="shared" si="123"/>
        <v>0</v>
      </c>
      <c r="U182" s="95">
        <f t="shared" si="116"/>
        <v>0</v>
      </c>
      <c r="V182" s="94"/>
      <c r="X182" s="580" t="str">
        <f t="shared" si="119"/>
        <v/>
      </c>
      <c r="Y182" s="580" t="str">
        <f t="shared" si="112"/>
        <v/>
      </c>
      <c r="Z182" s="580" t="str">
        <f t="shared" si="118"/>
        <v/>
      </c>
    </row>
    <row r="183" spans="1:26" x14ac:dyDescent="0.2">
      <c r="A183" s="1008">
        <v>530200</v>
      </c>
      <c r="B183" s="1107" t="s">
        <v>2095</v>
      </c>
      <c r="C183" s="1108" t="s">
        <v>212</v>
      </c>
      <c r="D183" s="1109" t="s">
        <v>522</v>
      </c>
      <c r="E183" s="1110"/>
      <c r="F183" s="1087">
        <v>4.7</v>
      </c>
      <c r="G183" s="591">
        <v>2.2000000000000002</v>
      </c>
      <c r="H183" s="682">
        <f t="shared" si="131"/>
        <v>10.428000000000001</v>
      </c>
      <c r="I183" s="592">
        <v>76.62</v>
      </c>
      <c r="J183" s="592">
        <f>IF(ISBLANK(I183),"",SUM(H183:I183))</f>
        <v>87.048000000000002</v>
      </c>
      <c r="K183" s="593">
        <f t="shared" si="117"/>
        <v>105.95</v>
      </c>
      <c r="L183" s="594" t="s">
        <v>16</v>
      </c>
      <c r="M183" s="92">
        <v>2474.63</v>
      </c>
      <c r="N183" s="92">
        <v>107.79</v>
      </c>
      <c r="O183" s="93">
        <f t="shared" ref="O183" si="132">IF(ISBLANK(M183),0,ROUND(K183*M183,2))</f>
        <v>262187.05</v>
      </c>
      <c r="P183" s="93">
        <f t="shared" ref="P183" si="133">IF(ISBLANK(N183),0,ROUND(M183*N183,2))</f>
        <v>266740.37</v>
      </c>
      <c r="Q183" s="94"/>
      <c r="R183" s="1111">
        <f t="shared" ref="R183" si="134">M183</f>
        <v>2474.63</v>
      </c>
      <c r="S183" s="1111">
        <f>K183</f>
        <v>105.95</v>
      </c>
      <c r="T183" s="1112">
        <f t="shared" ref="T183" si="135">IF(ISBLANK(R183),0,ROUND(K183*R183,2))</f>
        <v>262187.05</v>
      </c>
      <c r="U183" s="1113">
        <f t="shared" ref="U183" si="136">IF(ISBLANK(R183),0,ROUND(R183*S183,2))</f>
        <v>262187.05</v>
      </c>
      <c r="V183" s="1114"/>
      <c r="X183" s="580" t="str">
        <f t="shared" si="119"/>
        <v>x</v>
      </c>
      <c r="Y183" s="580" t="str">
        <f t="shared" si="112"/>
        <v>x</v>
      </c>
      <c r="Z183" s="580" t="str">
        <f t="shared" si="118"/>
        <v>x</v>
      </c>
    </row>
    <row r="184" spans="1:26" hidden="1" x14ac:dyDescent="0.2">
      <c r="A184" s="1008">
        <v>516200</v>
      </c>
      <c r="B184" s="1010">
        <v>516200</v>
      </c>
      <c r="C184" s="978" t="s">
        <v>212</v>
      </c>
      <c r="D184" s="595" t="s">
        <v>234</v>
      </c>
      <c r="E184" s="596"/>
      <c r="F184" s="601">
        <v>20</v>
      </c>
      <c r="G184" s="591">
        <v>1.95</v>
      </c>
      <c r="H184" s="682">
        <f t="shared" si="131"/>
        <v>30.127499999999998</v>
      </c>
      <c r="I184" s="592">
        <v>73.73</v>
      </c>
      <c r="J184" s="592">
        <f>IF(ISBLANK(I184),"",SUM(H184:I184))*0.85</f>
        <v>88.278874999999999</v>
      </c>
      <c r="K184" s="593">
        <f t="shared" si="117"/>
        <v>107.44</v>
      </c>
      <c r="L184" s="594" t="s">
        <v>16</v>
      </c>
      <c r="M184" s="92"/>
      <c r="N184" s="92"/>
      <c r="O184" s="93">
        <f t="shared" ref="O184" si="137">IF(ISBLANK(M184),0,ROUND(K184*M184,2))</f>
        <v>0</v>
      </c>
      <c r="P184" s="93">
        <f t="shared" ref="P184" si="138">IF(ISBLANK(N184),0,ROUND(M184*N184,2))</f>
        <v>0</v>
      </c>
      <c r="Q184" s="94"/>
      <c r="R184" s="92">
        <f t="shared" si="121"/>
        <v>0</v>
      </c>
      <c r="S184" s="92">
        <f t="shared" si="122"/>
        <v>0</v>
      </c>
      <c r="T184" s="93">
        <f t="shared" ref="T184" si="139">IF(ISBLANK(R184),0,ROUND(K184*R184,2))</f>
        <v>0</v>
      </c>
      <c r="U184" s="95">
        <f t="shared" si="116"/>
        <v>0</v>
      </c>
      <c r="V184" s="94"/>
      <c r="X184" s="580" t="str">
        <f t="shared" si="119"/>
        <v/>
      </c>
      <c r="Y184" s="580" t="str">
        <f t="shared" si="112"/>
        <v/>
      </c>
      <c r="Z184" s="580" t="str">
        <f t="shared" si="118"/>
        <v/>
      </c>
    </row>
    <row r="185" spans="1:26" ht="13.5" thickBot="1" x14ac:dyDescent="0.25">
      <c r="A185" s="1008">
        <v>531000</v>
      </c>
      <c r="B185" s="1107" t="s">
        <v>2155</v>
      </c>
      <c r="C185" s="1108" t="s">
        <v>212</v>
      </c>
      <c r="D185" s="1109" t="s">
        <v>222</v>
      </c>
      <c r="E185" s="1110"/>
      <c r="F185" s="1087">
        <v>4.7</v>
      </c>
      <c r="G185" s="597">
        <v>2.4</v>
      </c>
      <c r="H185" s="682">
        <f>IF(F185&lt;=30,(0.7*F185+2.91)*G185,((0.7*30+2.91)+0.58*(F185-30))*G185)</f>
        <v>14.879999999999999</v>
      </c>
      <c r="I185" s="592">
        <v>102.38</v>
      </c>
      <c r="J185" s="592">
        <f>IF(ISBLANK(I185),"",SUM(H185:I185))</f>
        <v>117.25999999999999</v>
      </c>
      <c r="K185" s="593">
        <f t="shared" ref="K185:K196" si="140">IF(ISBLANK(I185),0,ROUND(J185*(1+$F$10)*(1+$F$11*E185),2))</f>
        <v>142.72</v>
      </c>
      <c r="L185" s="594" t="s">
        <v>16</v>
      </c>
      <c r="M185" s="92">
        <v>1513.08</v>
      </c>
      <c r="N185" s="92">
        <v>145.19999999999999</v>
      </c>
      <c r="O185" s="93">
        <f t="shared" si="120"/>
        <v>215946.78</v>
      </c>
      <c r="P185" s="93">
        <f t="shared" si="124"/>
        <v>219699.22</v>
      </c>
      <c r="Q185" s="94"/>
      <c r="R185" s="1111">
        <f t="shared" si="121"/>
        <v>1513.08</v>
      </c>
      <c r="S185" s="1111">
        <f>K185</f>
        <v>142.72</v>
      </c>
      <c r="T185" s="1112">
        <f t="shared" si="123"/>
        <v>215946.78</v>
      </c>
      <c r="U185" s="1113">
        <f t="shared" si="116"/>
        <v>215946.78</v>
      </c>
      <c r="V185" s="1114"/>
      <c r="X185" s="580" t="str">
        <f t="shared" si="119"/>
        <v>x</v>
      </c>
      <c r="Y185" s="580" t="str">
        <f t="shared" si="112"/>
        <v>x</v>
      </c>
      <c r="Z185" s="580" t="str">
        <f t="shared" si="118"/>
        <v>x</v>
      </c>
    </row>
    <row r="186" spans="1:26" ht="13.5" hidden="1" thickBot="1" x14ac:dyDescent="0.25">
      <c r="A186" s="1008">
        <v>531120</v>
      </c>
      <c r="B186" s="1010">
        <v>531120</v>
      </c>
      <c r="C186" s="978" t="s">
        <v>212</v>
      </c>
      <c r="D186" s="595" t="s">
        <v>228</v>
      </c>
      <c r="E186" s="596"/>
      <c r="F186" s="601"/>
      <c r="G186" s="597"/>
      <c r="H186" s="682">
        <f>SUM(H187:H189)</f>
        <v>61.414079999999998</v>
      </c>
      <c r="I186" s="592">
        <v>147.42999999999998</v>
      </c>
      <c r="J186" s="592">
        <f>IF(ISBLANK(I186),"",SUM(H186:I186))*0.9</f>
        <v>187.95967199999998</v>
      </c>
      <c r="K186" s="593">
        <f t="shared" si="140"/>
        <v>228.77</v>
      </c>
      <c r="L186" s="594" t="s">
        <v>16</v>
      </c>
      <c r="M186" s="92"/>
      <c r="N186" s="92"/>
      <c r="O186" s="93">
        <f t="shared" ref="O186:O189" si="141">IF(ISBLANK(M186),0,ROUND(K186*M186,2))</f>
        <v>0</v>
      </c>
      <c r="P186" s="93">
        <f t="shared" ref="P186:P189" si="142">IF(ISBLANK(N186),0,ROUND(M186*N186,2))</f>
        <v>0</v>
      </c>
      <c r="Q186" s="94"/>
      <c r="R186" s="92">
        <f t="shared" si="121"/>
        <v>0</v>
      </c>
      <c r="S186" s="92">
        <f t="shared" si="122"/>
        <v>0</v>
      </c>
      <c r="T186" s="93">
        <f t="shared" ref="T186:T189" si="143">IF(ISBLANK(R186),0,ROUND(K186*R186,2))</f>
        <v>0</v>
      </c>
      <c r="U186" s="95">
        <f t="shared" si="116"/>
        <v>0</v>
      </c>
      <c r="V186" s="94"/>
      <c r="X186" s="580" t="str">
        <f t="shared" si="119"/>
        <v/>
      </c>
      <c r="Y186" s="580" t="str">
        <f t="shared" si="112"/>
        <v/>
      </c>
      <c r="Z186" s="580" t="str">
        <f t="shared" si="118"/>
        <v/>
      </c>
    </row>
    <row r="187" spans="1:26" ht="13.5" hidden="1" thickBot="1" x14ac:dyDescent="0.25">
      <c r="A187" s="97" t="s">
        <v>165</v>
      </c>
      <c r="B187" s="1031" t="s">
        <v>165</v>
      </c>
      <c r="C187" s="978"/>
      <c r="D187" s="631" t="s">
        <v>218</v>
      </c>
      <c r="E187" s="596"/>
      <c r="F187" s="671">
        <v>500</v>
      </c>
      <c r="G187" s="597">
        <v>9.6000000000000002E-2</v>
      </c>
      <c r="H187" s="682">
        <f>IF(F187&lt;=30,(0.51*F187+4.28)*G187,((0.51*30+4.28)+0.42*(F187-30))*G187)</f>
        <v>20.830080000000002</v>
      </c>
      <c r="I187" s="592">
        <v>0</v>
      </c>
      <c r="J187" s="592"/>
      <c r="K187" s="593">
        <f t="shared" si="140"/>
        <v>0</v>
      </c>
      <c r="L187" s="594" t="s">
        <v>783</v>
      </c>
      <c r="M187" s="632"/>
      <c r="N187" s="633"/>
      <c r="O187" s="93">
        <f t="shared" si="141"/>
        <v>0</v>
      </c>
      <c r="P187" s="93">
        <f t="shared" si="142"/>
        <v>0</v>
      </c>
      <c r="Q187" s="94"/>
      <c r="R187" s="632">
        <f t="shared" ref="R187:R190" si="144">M187</f>
        <v>0</v>
      </c>
      <c r="S187" s="633">
        <f t="shared" ref="S187:S190" si="145">N187</f>
        <v>0</v>
      </c>
      <c r="T187" s="93">
        <f t="shared" si="143"/>
        <v>0</v>
      </c>
      <c r="U187" s="95">
        <f t="shared" ref="U187:U196" si="146">IF(ISBLANK(R187),0,ROUND(R187*S187,2))</f>
        <v>0</v>
      </c>
      <c r="V187" s="94"/>
      <c r="W187" s="579" t="str">
        <f>IF(U186&gt;0,"xx",IF(P186&gt;0,"xy",""))</f>
        <v/>
      </c>
      <c r="X187" s="580" t="str">
        <f t="shared" si="119"/>
        <v/>
      </c>
      <c r="Y187" s="580" t="str">
        <f t="shared" si="112"/>
        <v/>
      </c>
      <c r="Z187" s="580" t="str">
        <f t="shared" si="118"/>
        <v/>
      </c>
    </row>
    <row r="188" spans="1:26" ht="13.5" hidden="1" thickBot="1" x14ac:dyDescent="0.25">
      <c r="A188" s="97" t="s">
        <v>165</v>
      </c>
      <c r="B188" s="1031" t="s">
        <v>165</v>
      </c>
      <c r="C188" s="978"/>
      <c r="D188" s="631" t="s">
        <v>229</v>
      </c>
      <c r="E188" s="596"/>
      <c r="F188" s="601"/>
      <c r="G188" s="597">
        <v>2.4</v>
      </c>
      <c r="H188" s="682">
        <f>IF(F188=0,0,IF(F188&lt;=30,(0.7*F188+1.45)*G188,((0.7*30+1.45)+0.58*(F188-30))*G188))</f>
        <v>0</v>
      </c>
      <c r="I188" s="592">
        <v>0</v>
      </c>
      <c r="J188" s="592">
        <f t="shared" ref="J188" si="147">IF(ISBLANK(I188),"",SUM(H188:I188))</f>
        <v>0</v>
      </c>
      <c r="K188" s="593">
        <f t="shared" si="140"/>
        <v>0</v>
      </c>
      <c r="L188" s="594" t="s">
        <v>783</v>
      </c>
      <c r="M188" s="632"/>
      <c r="N188" s="633"/>
      <c r="O188" s="93">
        <f t="shared" si="141"/>
        <v>0</v>
      </c>
      <c r="P188" s="93">
        <f t="shared" si="142"/>
        <v>0</v>
      </c>
      <c r="Q188" s="94"/>
      <c r="R188" s="632">
        <f t="shared" si="144"/>
        <v>0</v>
      </c>
      <c r="S188" s="633">
        <f t="shared" si="145"/>
        <v>0</v>
      </c>
      <c r="T188" s="93">
        <f t="shared" si="143"/>
        <v>0</v>
      </c>
      <c r="U188" s="95">
        <f t="shared" si="146"/>
        <v>0</v>
      </c>
      <c r="V188" s="94"/>
      <c r="W188" s="579" t="str">
        <f>IF(U186&gt;0,"xx",IF(P186&gt;0,"xy",""))</f>
        <v/>
      </c>
      <c r="X188" s="580" t="str">
        <f t="shared" si="119"/>
        <v/>
      </c>
      <c r="Y188" s="580" t="str">
        <f t="shared" si="112"/>
        <v/>
      </c>
      <c r="Z188" s="580" t="str">
        <f t="shared" si="118"/>
        <v/>
      </c>
    </row>
    <row r="189" spans="1:26" ht="13.5" hidden="1" thickBot="1" x14ac:dyDescent="0.25">
      <c r="A189" s="97" t="s">
        <v>165</v>
      </c>
      <c r="B189" s="1031" t="s">
        <v>165</v>
      </c>
      <c r="C189" s="978"/>
      <c r="D189" s="631" t="s">
        <v>230</v>
      </c>
      <c r="E189" s="596"/>
      <c r="F189" s="601">
        <v>20</v>
      </c>
      <c r="G189" s="597">
        <v>2.4</v>
      </c>
      <c r="H189" s="682">
        <f>IF(F189&lt;=30,(0.7*F189+2.91)*G189,((0.7*30+2.91)+0.58*(F189-30))*G189)</f>
        <v>40.583999999999996</v>
      </c>
      <c r="I189" s="592">
        <v>0</v>
      </c>
      <c r="J189" s="592"/>
      <c r="K189" s="593">
        <f t="shared" si="140"/>
        <v>0</v>
      </c>
      <c r="L189" s="594" t="s">
        <v>783</v>
      </c>
      <c r="M189" s="632"/>
      <c r="N189" s="633"/>
      <c r="O189" s="93">
        <f t="shared" si="141"/>
        <v>0</v>
      </c>
      <c r="P189" s="93">
        <f t="shared" si="142"/>
        <v>0</v>
      </c>
      <c r="Q189" s="94"/>
      <c r="R189" s="632">
        <f t="shared" si="144"/>
        <v>0</v>
      </c>
      <c r="S189" s="633">
        <f t="shared" si="145"/>
        <v>0</v>
      </c>
      <c r="T189" s="93">
        <f t="shared" si="143"/>
        <v>0</v>
      </c>
      <c r="U189" s="95">
        <f t="shared" si="146"/>
        <v>0</v>
      </c>
      <c r="V189" s="94"/>
      <c r="W189" s="579" t="str">
        <f>IF($U$138&gt;0,"xx",IF($P$138&gt;0,"xy",""))</f>
        <v/>
      </c>
      <c r="X189" s="580" t="str">
        <f t="shared" si="119"/>
        <v/>
      </c>
      <c r="Y189" s="580" t="str">
        <f t="shared" si="112"/>
        <v/>
      </c>
      <c r="Z189" s="580" t="str">
        <f t="shared" si="118"/>
        <v/>
      </c>
    </row>
    <row r="190" spans="1:26" ht="13.5" hidden="1" thickBot="1" x14ac:dyDescent="0.25">
      <c r="A190" s="1008">
        <v>531350</v>
      </c>
      <c r="B190" s="1010">
        <v>531350</v>
      </c>
      <c r="C190" s="978" t="s">
        <v>212</v>
      </c>
      <c r="D190" s="595" t="s">
        <v>223</v>
      </c>
      <c r="E190" s="596"/>
      <c r="F190" s="601"/>
      <c r="G190" s="591"/>
      <c r="H190" s="908">
        <f>SUM(H191:H192)</f>
        <v>31.363500000000002</v>
      </c>
      <c r="I190" s="592">
        <v>81.72</v>
      </c>
      <c r="J190" s="592">
        <f>IF(ISBLANK(I190),"",SUM(H190:I190))</f>
        <v>113.0835</v>
      </c>
      <c r="K190" s="593">
        <f t="shared" si="140"/>
        <v>137.63</v>
      </c>
      <c r="L190" s="594" t="s">
        <v>16</v>
      </c>
      <c r="M190" s="92"/>
      <c r="N190" s="92"/>
      <c r="O190" s="93">
        <f t="shared" si="120"/>
        <v>0</v>
      </c>
      <c r="P190" s="93">
        <f t="shared" si="124"/>
        <v>0</v>
      </c>
      <c r="Q190" s="94"/>
      <c r="R190" s="92">
        <f t="shared" si="144"/>
        <v>0</v>
      </c>
      <c r="S190" s="92">
        <f t="shared" si="145"/>
        <v>0</v>
      </c>
      <c r="T190" s="93">
        <f t="shared" si="123"/>
        <v>0</v>
      </c>
      <c r="U190" s="95">
        <f t="shared" si="146"/>
        <v>0</v>
      </c>
      <c r="V190" s="94"/>
      <c r="X190" s="580" t="str">
        <f t="shared" si="119"/>
        <v/>
      </c>
      <c r="Y190" s="580" t="str">
        <f t="shared" si="112"/>
        <v/>
      </c>
      <c r="Z190" s="580" t="str">
        <f t="shared" si="118"/>
        <v/>
      </c>
    </row>
    <row r="191" spans="1:26" ht="13.5" hidden="1" thickBot="1" x14ac:dyDescent="0.25">
      <c r="A191" s="97" t="s">
        <v>165</v>
      </c>
      <c r="B191" s="1031" t="s">
        <v>165</v>
      </c>
      <c r="C191" s="978"/>
      <c r="D191" s="631" t="s">
        <v>224</v>
      </c>
      <c r="E191" s="596"/>
      <c r="F191" s="601">
        <v>20</v>
      </c>
      <c r="G191" s="591">
        <v>1.35</v>
      </c>
      <c r="H191" s="682">
        <f t="shared" ref="H191:H196" si="148">IF(F191&lt;=30,(0.7*F191+1.45)*G191,((0.7*30+1.45)+0.58*(F191-30))*G191)</f>
        <v>20.857500000000002</v>
      </c>
      <c r="I191" s="592">
        <v>0</v>
      </c>
      <c r="J191" s="592"/>
      <c r="K191" s="593">
        <f t="shared" si="140"/>
        <v>0</v>
      </c>
      <c r="L191" s="594" t="s">
        <v>783</v>
      </c>
      <c r="M191" s="632"/>
      <c r="N191" s="633"/>
      <c r="O191" s="93">
        <f t="shared" si="120"/>
        <v>0</v>
      </c>
      <c r="P191" s="93">
        <f t="shared" si="124"/>
        <v>0</v>
      </c>
      <c r="Q191" s="94"/>
      <c r="R191" s="632">
        <f t="shared" si="121"/>
        <v>0</v>
      </c>
      <c r="S191" s="633">
        <f t="shared" si="122"/>
        <v>0</v>
      </c>
      <c r="T191" s="93">
        <f t="shared" si="123"/>
        <v>0</v>
      </c>
      <c r="U191" s="95">
        <f t="shared" si="146"/>
        <v>0</v>
      </c>
      <c r="V191" s="94"/>
      <c r="W191" s="579" t="str">
        <f>IF(U190&gt;0,"xx",IF(P190&gt;0,"xy",""))</f>
        <v/>
      </c>
      <c r="X191" s="580" t="str">
        <f t="shared" si="119"/>
        <v/>
      </c>
      <c r="Y191" s="580" t="str">
        <f t="shared" si="112"/>
        <v/>
      </c>
      <c r="Z191" s="580" t="str">
        <f t="shared" si="118"/>
        <v/>
      </c>
    </row>
    <row r="192" spans="1:26" ht="13.5" hidden="1" thickBot="1" x14ac:dyDescent="0.25">
      <c r="A192" s="97" t="s">
        <v>165</v>
      </c>
      <c r="B192" s="1031" t="s">
        <v>165</v>
      </c>
      <c r="C192" s="978"/>
      <c r="D192" s="631" t="s">
        <v>225</v>
      </c>
      <c r="E192" s="596"/>
      <c r="F192" s="601">
        <v>20</v>
      </c>
      <c r="G192" s="591">
        <v>0.68</v>
      </c>
      <c r="H192" s="682">
        <f t="shared" si="148"/>
        <v>10.506</v>
      </c>
      <c r="I192" s="592">
        <v>0</v>
      </c>
      <c r="J192" s="592"/>
      <c r="K192" s="593">
        <f t="shared" si="140"/>
        <v>0</v>
      </c>
      <c r="L192" s="594" t="s">
        <v>783</v>
      </c>
      <c r="M192" s="632"/>
      <c r="N192" s="633"/>
      <c r="O192" s="93">
        <f t="shared" si="120"/>
        <v>0</v>
      </c>
      <c r="P192" s="93">
        <f t="shared" si="124"/>
        <v>0</v>
      </c>
      <c r="Q192" s="94"/>
      <c r="R192" s="632">
        <f t="shared" si="121"/>
        <v>0</v>
      </c>
      <c r="S192" s="633">
        <f t="shared" si="122"/>
        <v>0</v>
      </c>
      <c r="T192" s="93">
        <f t="shared" si="123"/>
        <v>0</v>
      </c>
      <c r="U192" s="95">
        <f t="shared" si="146"/>
        <v>0</v>
      </c>
      <c r="V192" s="94"/>
      <c r="W192" s="579" t="str">
        <f>IF(U190&gt;0,"xx",IF(P190&gt;0,"xy",""))</f>
        <v/>
      </c>
      <c r="X192" s="580" t="str">
        <f t="shared" si="119"/>
        <v/>
      </c>
      <c r="Y192" s="580" t="str">
        <f t="shared" si="112"/>
        <v/>
      </c>
      <c r="Z192" s="580" t="str">
        <f t="shared" si="118"/>
        <v/>
      </c>
    </row>
    <row r="193" spans="1:26" ht="13.5" hidden="1" thickBot="1" x14ac:dyDescent="0.25">
      <c r="A193" s="1008">
        <v>531300</v>
      </c>
      <c r="B193" s="1010">
        <v>531300</v>
      </c>
      <c r="C193" s="978" t="s">
        <v>212</v>
      </c>
      <c r="D193" s="595" t="s">
        <v>226</v>
      </c>
      <c r="E193" s="596"/>
      <c r="F193" s="601"/>
      <c r="G193" s="591"/>
      <c r="H193" s="908">
        <f>SUM(H194:H195)</f>
        <v>31.363500000000002</v>
      </c>
      <c r="I193" s="592">
        <v>84.09</v>
      </c>
      <c r="J193" s="592">
        <f>IF(ISBLANK(I193),"",SUM(H193:I193))</f>
        <v>115.45350000000001</v>
      </c>
      <c r="K193" s="593">
        <f t="shared" si="140"/>
        <v>140.52000000000001</v>
      </c>
      <c r="L193" s="594" t="s">
        <v>16</v>
      </c>
      <c r="M193" s="92"/>
      <c r="N193" s="92"/>
      <c r="O193" s="93">
        <f t="shared" si="120"/>
        <v>0</v>
      </c>
      <c r="P193" s="93">
        <f t="shared" si="124"/>
        <v>0</v>
      </c>
      <c r="Q193" s="94"/>
      <c r="R193" s="92">
        <f t="shared" si="121"/>
        <v>0</v>
      </c>
      <c r="S193" s="92">
        <f t="shared" si="122"/>
        <v>0</v>
      </c>
      <c r="T193" s="93">
        <f t="shared" si="123"/>
        <v>0</v>
      </c>
      <c r="U193" s="95">
        <f t="shared" si="146"/>
        <v>0</v>
      </c>
      <c r="V193" s="94"/>
      <c r="X193" s="580" t="str">
        <f t="shared" si="119"/>
        <v/>
      </c>
      <c r="Y193" s="580" t="str">
        <f t="shared" si="112"/>
        <v/>
      </c>
      <c r="Z193" s="580" t="str">
        <f t="shared" si="118"/>
        <v/>
      </c>
    </row>
    <row r="194" spans="1:26" ht="13.5" hidden="1" thickBot="1" x14ac:dyDescent="0.25">
      <c r="A194" s="97" t="s">
        <v>165</v>
      </c>
      <c r="B194" s="1031" t="s">
        <v>165</v>
      </c>
      <c r="C194" s="978"/>
      <c r="D194" s="631" t="s">
        <v>224</v>
      </c>
      <c r="E194" s="596"/>
      <c r="F194" s="601">
        <v>20</v>
      </c>
      <c r="G194" s="591">
        <v>1.35</v>
      </c>
      <c r="H194" s="682">
        <f t="shared" si="148"/>
        <v>20.857500000000002</v>
      </c>
      <c r="I194" s="592">
        <v>0</v>
      </c>
      <c r="J194" s="592"/>
      <c r="K194" s="593">
        <f t="shared" si="140"/>
        <v>0</v>
      </c>
      <c r="L194" s="594" t="s">
        <v>783</v>
      </c>
      <c r="M194" s="632"/>
      <c r="N194" s="633"/>
      <c r="O194" s="93">
        <f t="shared" si="120"/>
        <v>0</v>
      </c>
      <c r="P194" s="93">
        <f t="shared" si="124"/>
        <v>0</v>
      </c>
      <c r="Q194" s="94"/>
      <c r="R194" s="632">
        <f t="shared" si="121"/>
        <v>0</v>
      </c>
      <c r="S194" s="633">
        <f t="shared" si="122"/>
        <v>0</v>
      </c>
      <c r="T194" s="93">
        <f t="shared" si="123"/>
        <v>0</v>
      </c>
      <c r="U194" s="95">
        <f t="shared" si="146"/>
        <v>0</v>
      </c>
      <c r="V194" s="94"/>
      <c r="W194" s="579" t="str">
        <f>IF(U193&gt;0,"xx",IF(P193&gt;0,"xy",""))</f>
        <v/>
      </c>
      <c r="X194" s="580" t="str">
        <f t="shared" si="119"/>
        <v/>
      </c>
      <c r="Y194" s="580" t="str">
        <f t="shared" si="112"/>
        <v/>
      </c>
      <c r="Z194" s="580" t="str">
        <f t="shared" si="118"/>
        <v/>
      </c>
    </row>
    <row r="195" spans="1:26" ht="13.5" hidden="1" thickBot="1" x14ac:dyDescent="0.25">
      <c r="A195" s="97" t="s">
        <v>165</v>
      </c>
      <c r="B195" s="1031" t="s">
        <v>165</v>
      </c>
      <c r="C195" s="978"/>
      <c r="D195" s="631" t="s">
        <v>225</v>
      </c>
      <c r="E195" s="596"/>
      <c r="F195" s="601">
        <v>20</v>
      </c>
      <c r="G195" s="591">
        <v>0.68</v>
      </c>
      <c r="H195" s="682">
        <f t="shared" si="148"/>
        <v>10.506</v>
      </c>
      <c r="I195" s="592">
        <v>0</v>
      </c>
      <c r="J195" s="592"/>
      <c r="K195" s="593">
        <f t="shared" si="140"/>
        <v>0</v>
      </c>
      <c r="L195" s="594" t="s">
        <v>783</v>
      </c>
      <c r="M195" s="632"/>
      <c r="N195" s="633"/>
      <c r="O195" s="93">
        <f t="shared" si="120"/>
        <v>0</v>
      </c>
      <c r="P195" s="93">
        <f t="shared" si="124"/>
        <v>0</v>
      </c>
      <c r="Q195" s="94"/>
      <c r="R195" s="632">
        <f t="shared" si="121"/>
        <v>0</v>
      </c>
      <c r="S195" s="633">
        <f t="shared" si="122"/>
        <v>0</v>
      </c>
      <c r="T195" s="93">
        <f t="shared" si="123"/>
        <v>0</v>
      </c>
      <c r="U195" s="95">
        <f t="shared" si="146"/>
        <v>0</v>
      </c>
      <c r="V195" s="94"/>
      <c r="W195" s="579" t="str">
        <f>IF(U193&gt;0,"xx",IF(P193&gt;0,"xy",""))</f>
        <v/>
      </c>
      <c r="X195" s="580" t="str">
        <f t="shared" si="119"/>
        <v/>
      </c>
      <c r="Y195" s="580" t="str">
        <f t="shared" si="112"/>
        <v/>
      </c>
      <c r="Z195" s="580" t="str">
        <f t="shared" si="118"/>
        <v/>
      </c>
    </row>
    <row r="196" spans="1:26" ht="13.5" hidden="1" thickBot="1" x14ac:dyDescent="0.25">
      <c r="A196" s="1008">
        <v>532000</v>
      </c>
      <c r="B196" s="1010">
        <v>532000</v>
      </c>
      <c r="C196" s="978"/>
      <c r="D196" s="595" t="s">
        <v>227</v>
      </c>
      <c r="E196" s="596"/>
      <c r="F196" s="671">
        <v>20</v>
      </c>
      <c r="G196" s="597">
        <v>2.2000000000000002</v>
      </c>
      <c r="H196" s="682">
        <f t="shared" si="148"/>
        <v>33.99</v>
      </c>
      <c r="I196" s="592">
        <v>94.41</v>
      </c>
      <c r="J196" s="592">
        <f>IF(ISBLANK(I196),"",SUM(H196:I196))</f>
        <v>128.4</v>
      </c>
      <c r="K196" s="593">
        <f t="shared" si="140"/>
        <v>156.28</v>
      </c>
      <c r="L196" s="594" t="s">
        <v>16</v>
      </c>
      <c r="M196" s="599"/>
      <c r="N196" s="599"/>
      <c r="O196" s="93">
        <f t="shared" si="120"/>
        <v>0</v>
      </c>
      <c r="P196" s="95">
        <f t="shared" si="124"/>
        <v>0</v>
      </c>
      <c r="Q196" s="94"/>
      <c r="R196" s="598">
        <f t="shared" si="121"/>
        <v>0</v>
      </c>
      <c r="S196" s="599">
        <f t="shared" si="122"/>
        <v>0</v>
      </c>
      <c r="T196" s="93">
        <f t="shared" si="123"/>
        <v>0</v>
      </c>
      <c r="U196" s="95">
        <f t="shared" si="146"/>
        <v>0</v>
      </c>
      <c r="V196" s="94"/>
      <c r="X196" s="580" t="str">
        <f t="shared" si="119"/>
        <v/>
      </c>
      <c r="Y196" s="580" t="str">
        <f t="shared" si="112"/>
        <v/>
      </c>
      <c r="Z196" s="580" t="str">
        <f t="shared" si="118"/>
        <v/>
      </c>
    </row>
    <row r="197" spans="1:26" ht="13.5" hidden="1" thickBot="1" x14ac:dyDescent="0.25">
      <c r="A197" s="602" t="s">
        <v>187</v>
      </c>
      <c r="B197" s="1013" t="s">
        <v>187</v>
      </c>
      <c r="C197" s="1014"/>
      <c r="D197" s="603" t="s">
        <v>502</v>
      </c>
      <c r="E197" s="910"/>
      <c r="F197" s="676"/>
      <c r="G197" s="604"/>
      <c r="H197" s="911"/>
      <c r="I197" s="605"/>
      <c r="J197" s="605"/>
      <c r="K197" s="605"/>
      <c r="L197" s="634" t="s">
        <v>783</v>
      </c>
      <c r="M197" s="606"/>
      <c r="N197" s="605"/>
      <c r="O197" s="605"/>
      <c r="P197" s="607"/>
      <c r="Q197" s="94"/>
      <c r="R197" s="606"/>
      <c r="S197" s="605"/>
      <c r="T197" s="605"/>
      <c r="U197" s="607"/>
      <c r="V197" s="94"/>
      <c r="W197" s="579" t="str">
        <f>IF(OR(SUM(P198:P222)&gt;0,SUM(U198:U222)&gt;0),"y","")</f>
        <v/>
      </c>
      <c r="X197" s="580" t="str">
        <f t="shared" si="119"/>
        <v/>
      </c>
      <c r="Y197" s="580" t="str">
        <f t="shared" si="112"/>
        <v/>
      </c>
      <c r="Z197" s="580" t="str">
        <f t="shared" si="118"/>
        <v/>
      </c>
    </row>
    <row r="198" spans="1:26" ht="13.5" hidden="1" thickBot="1" x14ac:dyDescent="0.25">
      <c r="A198" s="602" t="s">
        <v>187</v>
      </c>
      <c r="B198" s="1015" t="s">
        <v>187</v>
      </c>
      <c r="C198" s="1016" t="s">
        <v>187</v>
      </c>
      <c r="D198" s="608"/>
      <c r="E198" s="609"/>
      <c r="F198" s="677"/>
      <c r="G198" s="610"/>
      <c r="H198" s="611"/>
      <c r="I198" s="612"/>
      <c r="J198" s="613"/>
      <c r="K198" s="614">
        <f t="shared" ref="K198:K222" si="149">IF(ISBLANK(J198),0,ROUND(J198*(1+$F$10)*(1+$F$11*E198),2))</f>
        <v>0</v>
      </c>
      <c r="L198" s="635" t="s">
        <v>783</v>
      </c>
      <c r="M198" s="599"/>
      <c r="N198" s="599"/>
      <c r="O198" s="93">
        <f t="shared" ref="O198" si="150">IF(ISBLANK(M198),0,ROUND(K198*M198,2))</f>
        <v>0</v>
      </c>
      <c r="P198" s="95">
        <f t="shared" ref="P198:P222" si="151">IF(ISBLANK(N198),0,ROUND(M198*N198,2))</f>
        <v>0</v>
      </c>
      <c r="Q198" s="94"/>
      <c r="R198" s="598">
        <f t="shared" ref="R198:R222" si="152">M198</f>
        <v>0</v>
      </c>
      <c r="S198" s="599">
        <f t="shared" ref="S198:S222" si="153">N198</f>
        <v>0</v>
      </c>
      <c r="T198" s="93">
        <f t="shared" ref="T198:T222" si="154">IF(ISBLANK(R198),0,ROUND(K198*R198,2))</f>
        <v>0</v>
      </c>
      <c r="U198" s="95">
        <f t="shared" ref="U198:U222" si="155">IF(ISBLANK(R198),0,ROUND(R198*S198,2))</f>
        <v>0</v>
      </c>
      <c r="V198" s="94"/>
      <c r="X198" s="580" t="str">
        <f t="shared" si="119"/>
        <v/>
      </c>
      <c r="Y198" s="580" t="str">
        <f t="shared" si="112"/>
        <v/>
      </c>
      <c r="Z198" s="580" t="str">
        <f t="shared" si="118"/>
        <v/>
      </c>
    </row>
    <row r="199" spans="1:26" ht="13.5" hidden="1" thickBot="1" x14ac:dyDescent="0.25">
      <c r="A199" s="602" t="s">
        <v>187</v>
      </c>
      <c r="B199" s="1015" t="s">
        <v>187</v>
      </c>
      <c r="C199" s="1016" t="s">
        <v>187</v>
      </c>
      <c r="D199" s="616"/>
      <c r="E199" s="609"/>
      <c r="F199" s="677"/>
      <c r="G199" s="610"/>
      <c r="H199" s="611"/>
      <c r="I199" s="612"/>
      <c r="J199" s="613"/>
      <c r="K199" s="617">
        <f t="shared" si="149"/>
        <v>0</v>
      </c>
      <c r="L199" s="635" t="s">
        <v>783</v>
      </c>
      <c r="M199" s="92"/>
      <c r="N199" s="92"/>
      <c r="O199" s="93">
        <f>IF(ISBLANK(M199),0,ROUND(K199*M199,2))</f>
        <v>0</v>
      </c>
      <c r="P199" s="93">
        <f t="shared" si="151"/>
        <v>0</v>
      </c>
      <c r="Q199" s="94"/>
      <c r="R199" s="92">
        <f t="shared" si="152"/>
        <v>0</v>
      </c>
      <c r="S199" s="92">
        <f t="shared" si="153"/>
        <v>0</v>
      </c>
      <c r="T199" s="93">
        <f t="shared" si="154"/>
        <v>0</v>
      </c>
      <c r="U199" s="618">
        <f t="shared" si="155"/>
        <v>0</v>
      </c>
      <c r="V199" s="94"/>
      <c r="X199" s="580" t="str">
        <f t="shared" si="119"/>
        <v/>
      </c>
      <c r="Y199" s="580" t="str">
        <f t="shared" si="112"/>
        <v/>
      </c>
      <c r="Z199" s="580" t="str">
        <f t="shared" si="118"/>
        <v/>
      </c>
    </row>
    <row r="200" spans="1:26" ht="13.5" hidden="1" thickBot="1" x14ac:dyDescent="0.25">
      <c r="A200" s="602" t="s">
        <v>187</v>
      </c>
      <c r="B200" s="1015" t="s">
        <v>187</v>
      </c>
      <c r="C200" s="1016" t="s">
        <v>187</v>
      </c>
      <c r="D200" s="616"/>
      <c r="E200" s="609"/>
      <c r="F200" s="677"/>
      <c r="G200" s="610"/>
      <c r="H200" s="611"/>
      <c r="I200" s="612"/>
      <c r="J200" s="613"/>
      <c r="K200" s="617">
        <f t="shared" si="149"/>
        <v>0</v>
      </c>
      <c r="L200" s="635" t="s">
        <v>783</v>
      </c>
      <c r="M200" s="92"/>
      <c r="N200" s="92"/>
      <c r="O200" s="93">
        <f t="shared" ref="O200:O222" si="156">IF(ISBLANK(M200),0,ROUND(K200*M200,2))</f>
        <v>0</v>
      </c>
      <c r="P200" s="93">
        <f t="shared" si="151"/>
        <v>0</v>
      </c>
      <c r="Q200" s="94"/>
      <c r="R200" s="92">
        <f t="shared" si="152"/>
        <v>0</v>
      </c>
      <c r="S200" s="92">
        <f t="shared" si="153"/>
        <v>0</v>
      </c>
      <c r="T200" s="93">
        <f t="shared" si="154"/>
        <v>0</v>
      </c>
      <c r="U200" s="95">
        <f t="shared" si="155"/>
        <v>0</v>
      </c>
      <c r="V200" s="94"/>
      <c r="X200" s="580" t="str">
        <f t="shared" si="119"/>
        <v/>
      </c>
      <c r="Y200" s="580" t="str">
        <f t="shared" si="112"/>
        <v/>
      </c>
      <c r="Z200" s="580" t="str">
        <f t="shared" si="118"/>
        <v/>
      </c>
    </row>
    <row r="201" spans="1:26" ht="13.5" hidden="1" thickBot="1" x14ac:dyDescent="0.25">
      <c r="A201" s="602" t="s">
        <v>187</v>
      </c>
      <c r="B201" s="1015" t="s">
        <v>187</v>
      </c>
      <c r="C201" s="1016" t="s">
        <v>187</v>
      </c>
      <c r="D201" s="616"/>
      <c r="E201" s="609"/>
      <c r="F201" s="677"/>
      <c r="G201" s="610"/>
      <c r="H201" s="611"/>
      <c r="I201" s="612"/>
      <c r="J201" s="613"/>
      <c r="K201" s="617">
        <f t="shared" si="149"/>
        <v>0</v>
      </c>
      <c r="L201" s="635" t="s">
        <v>783</v>
      </c>
      <c r="M201" s="92"/>
      <c r="N201" s="92"/>
      <c r="O201" s="93">
        <f t="shared" si="156"/>
        <v>0</v>
      </c>
      <c r="P201" s="93">
        <f t="shared" si="151"/>
        <v>0</v>
      </c>
      <c r="Q201" s="94"/>
      <c r="R201" s="92">
        <f t="shared" si="152"/>
        <v>0</v>
      </c>
      <c r="S201" s="92">
        <f t="shared" si="153"/>
        <v>0</v>
      </c>
      <c r="T201" s="93">
        <f t="shared" si="154"/>
        <v>0</v>
      </c>
      <c r="U201" s="95">
        <f t="shared" si="155"/>
        <v>0</v>
      </c>
      <c r="V201" s="94"/>
      <c r="X201" s="580" t="str">
        <f t="shared" si="119"/>
        <v/>
      </c>
      <c r="Y201" s="580" t="str">
        <f t="shared" si="112"/>
        <v/>
      </c>
      <c r="Z201" s="580" t="str">
        <f t="shared" si="118"/>
        <v/>
      </c>
    </row>
    <row r="202" spans="1:26" ht="13.5" hidden="1" thickBot="1" x14ac:dyDescent="0.25">
      <c r="A202" s="602" t="s">
        <v>187</v>
      </c>
      <c r="B202" s="1015" t="s">
        <v>187</v>
      </c>
      <c r="C202" s="1016" t="s">
        <v>187</v>
      </c>
      <c r="D202" s="616"/>
      <c r="E202" s="609"/>
      <c r="F202" s="677"/>
      <c r="G202" s="610"/>
      <c r="H202" s="611"/>
      <c r="I202" s="612"/>
      <c r="J202" s="613"/>
      <c r="K202" s="617">
        <f t="shared" si="149"/>
        <v>0</v>
      </c>
      <c r="L202" s="635" t="s">
        <v>783</v>
      </c>
      <c r="M202" s="92"/>
      <c r="N202" s="92"/>
      <c r="O202" s="93">
        <f t="shared" si="156"/>
        <v>0</v>
      </c>
      <c r="P202" s="93">
        <f t="shared" si="151"/>
        <v>0</v>
      </c>
      <c r="Q202" s="94"/>
      <c r="R202" s="92">
        <f t="shared" si="152"/>
        <v>0</v>
      </c>
      <c r="S202" s="92">
        <f t="shared" si="153"/>
        <v>0</v>
      </c>
      <c r="T202" s="93">
        <f t="shared" si="154"/>
        <v>0</v>
      </c>
      <c r="U202" s="95">
        <f t="shared" si="155"/>
        <v>0</v>
      </c>
      <c r="V202" s="94"/>
      <c r="X202" s="580" t="str">
        <f t="shared" si="119"/>
        <v/>
      </c>
      <c r="Y202" s="580" t="str">
        <f t="shared" si="112"/>
        <v/>
      </c>
      <c r="Z202" s="580" t="str">
        <f t="shared" si="118"/>
        <v/>
      </c>
    </row>
    <row r="203" spans="1:26" ht="13.5" hidden="1" thickBot="1" x14ac:dyDescent="0.25">
      <c r="A203" s="602" t="s">
        <v>187</v>
      </c>
      <c r="B203" s="1015" t="s">
        <v>187</v>
      </c>
      <c r="C203" s="1016" t="s">
        <v>187</v>
      </c>
      <c r="D203" s="616"/>
      <c r="E203" s="609"/>
      <c r="F203" s="677"/>
      <c r="G203" s="610"/>
      <c r="H203" s="611"/>
      <c r="I203" s="612"/>
      <c r="J203" s="613"/>
      <c r="K203" s="617">
        <f t="shared" si="149"/>
        <v>0</v>
      </c>
      <c r="L203" s="635" t="s">
        <v>783</v>
      </c>
      <c r="M203" s="92"/>
      <c r="N203" s="92"/>
      <c r="O203" s="93">
        <f t="shared" si="156"/>
        <v>0</v>
      </c>
      <c r="P203" s="93">
        <f t="shared" si="151"/>
        <v>0</v>
      </c>
      <c r="Q203" s="94"/>
      <c r="R203" s="92">
        <f t="shared" si="152"/>
        <v>0</v>
      </c>
      <c r="S203" s="92">
        <f t="shared" si="153"/>
        <v>0</v>
      </c>
      <c r="T203" s="93">
        <f t="shared" si="154"/>
        <v>0</v>
      </c>
      <c r="U203" s="95">
        <f t="shared" si="155"/>
        <v>0</v>
      </c>
      <c r="V203" s="94"/>
      <c r="X203" s="580" t="str">
        <f t="shared" si="119"/>
        <v/>
      </c>
      <c r="Y203" s="580" t="str">
        <f t="shared" si="112"/>
        <v/>
      </c>
      <c r="Z203" s="580" t="str">
        <f t="shared" si="118"/>
        <v/>
      </c>
    </row>
    <row r="204" spans="1:26" ht="13.5" hidden="1" thickBot="1" x14ac:dyDescent="0.25">
      <c r="A204" s="602" t="s">
        <v>187</v>
      </c>
      <c r="B204" s="1015" t="s">
        <v>187</v>
      </c>
      <c r="C204" s="1016" t="s">
        <v>187</v>
      </c>
      <c r="D204" s="616"/>
      <c r="E204" s="609"/>
      <c r="F204" s="677"/>
      <c r="G204" s="610"/>
      <c r="H204" s="611"/>
      <c r="I204" s="612"/>
      <c r="J204" s="613"/>
      <c r="K204" s="617">
        <f t="shared" si="149"/>
        <v>0</v>
      </c>
      <c r="L204" s="635" t="s">
        <v>783</v>
      </c>
      <c r="M204" s="92"/>
      <c r="N204" s="92"/>
      <c r="O204" s="93">
        <f t="shared" si="156"/>
        <v>0</v>
      </c>
      <c r="P204" s="93">
        <f t="shared" si="151"/>
        <v>0</v>
      </c>
      <c r="Q204" s="94"/>
      <c r="R204" s="92">
        <f t="shared" si="152"/>
        <v>0</v>
      </c>
      <c r="S204" s="92">
        <f t="shared" si="153"/>
        <v>0</v>
      </c>
      <c r="T204" s="93">
        <f t="shared" si="154"/>
        <v>0</v>
      </c>
      <c r="U204" s="95">
        <f t="shared" si="155"/>
        <v>0</v>
      </c>
      <c r="V204" s="94"/>
      <c r="X204" s="580" t="str">
        <f t="shared" si="119"/>
        <v/>
      </c>
      <c r="Y204" s="580" t="str">
        <f t="shared" si="112"/>
        <v/>
      </c>
      <c r="Z204" s="580" t="str">
        <f t="shared" si="118"/>
        <v/>
      </c>
    </row>
    <row r="205" spans="1:26" ht="13.5" hidden="1" thickBot="1" x14ac:dyDescent="0.25">
      <c r="A205" s="602" t="s">
        <v>187</v>
      </c>
      <c r="B205" s="1015" t="s">
        <v>187</v>
      </c>
      <c r="C205" s="1016" t="s">
        <v>187</v>
      </c>
      <c r="D205" s="616"/>
      <c r="E205" s="609"/>
      <c r="F205" s="677"/>
      <c r="G205" s="610"/>
      <c r="H205" s="611"/>
      <c r="I205" s="612"/>
      <c r="J205" s="613"/>
      <c r="K205" s="617">
        <f t="shared" si="149"/>
        <v>0</v>
      </c>
      <c r="L205" s="635" t="s">
        <v>783</v>
      </c>
      <c r="M205" s="92"/>
      <c r="N205" s="92"/>
      <c r="O205" s="93">
        <f t="shared" si="156"/>
        <v>0</v>
      </c>
      <c r="P205" s="93">
        <f t="shared" si="151"/>
        <v>0</v>
      </c>
      <c r="Q205" s="94"/>
      <c r="R205" s="92">
        <f t="shared" si="152"/>
        <v>0</v>
      </c>
      <c r="S205" s="92">
        <f t="shared" si="153"/>
        <v>0</v>
      </c>
      <c r="T205" s="93">
        <f t="shared" si="154"/>
        <v>0</v>
      </c>
      <c r="U205" s="95">
        <f t="shared" si="155"/>
        <v>0</v>
      </c>
      <c r="V205" s="94"/>
      <c r="X205" s="580" t="str">
        <f t="shared" si="119"/>
        <v/>
      </c>
      <c r="Y205" s="580" t="str">
        <f t="shared" si="112"/>
        <v/>
      </c>
      <c r="Z205" s="580" t="str">
        <f t="shared" si="118"/>
        <v/>
      </c>
    </row>
    <row r="206" spans="1:26" ht="13.5" hidden="1" thickBot="1" x14ac:dyDescent="0.25">
      <c r="A206" s="602" t="s">
        <v>187</v>
      </c>
      <c r="B206" s="1015" t="s">
        <v>187</v>
      </c>
      <c r="C206" s="1016" t="s">
        <v>187</v>
      </c>
      <c r="D206" s="616"/>
      <c r="E206" s="609"/>
      <c r="F206" s="677"/>
      <c r="G206" s="610"/>
      <c r="H206" s="611"/>
      <c r="I206" s="612"/>
      <c r="J206" s="613"/>
      <c r="K206" s="617">
        <f t="shared" si="149"/>
        <v>0</v>
      </c>
      <c r="L206" s="635" t="s">
        <v>783</v>
      </c>
      <c r="M206" s="92"/>
      <c r="N206" s="92"/>
      <c r="O206" s="93">
        <f t="shared" si="156"/>
        <v>0</v>
      </c>
      <c r="P206" s="93">
        <f t="shared" si="151"/>
        <v>0</v>
      </c>
      <c r="Q206" s="94"/>
      <c r="R206" s="92">
        <f t="shared" si="152"/>
        <v>0</v>
      </c>
      <c r="S206" s="92">
        <f t="shared" si="153"/>
        <v>0</v>
      </c>
      <c r="T206" s="93">
        <f t="shared" si="154"/>
        <v>0</v>
      </c>
      <c r="U206" s="95">
        <f t="shared" si="155"/>
        <v>0</v>
      </c>
      <c r="V206" s="94"/>
      <c r="X206" s="580" t="str">
        <f t="shared" si="119"/>
        <v/>
      </c>
      <c r="Y206" s="580" t="str">
        <f t="shared" si="112"/>
        <v/>
      </c>
      <c r="Z206" s="580" t="str">
        <f t="shared" si="118"/>
        <v/>
      </c>
    </row>
    <row r="207" spans="1:26" ht="13.5" hidden="1" thickBot="1" x14ac:dyDescent="0.25">
      <c r="A207" s="602" t="s">
        <v>187</v>
      </c>
      <c r="B207" s="1015" t="s">
        <v>187</v>
      </c>
      <c r="C207" s="1016" t="s">
        <v>187</v>
      </c>
      <c r="D207" s="616"/>
      <c r="E207" s="609"/>
      <c r="F207" s="677"/>
      <c r="G207" s="610"/>
      <c r="H207" s="611"/>
      <c r="I207" s="612"/>
      <c r="J207" s="613"/>
      <c r="K207" s="617">
        <f t="shared" si="149"/>
        <v>0</v>
      </c>
      <c r="L207" s="635" t="s">
        <v>783</v>
      </c>
      <c r="M207" s="92"/>
      <c r="N207" s="92"/>
      <c r="O207" s="93">
        <f t="shared" si="156"/>
        <v>0</v>
      </c>
      <c r="P207" s="93">
        <f t="shared" si="151"/>
        <v>0</v>
      </c>
      <c r="Q207" s="94"/>
      <c r="R207" s="92">
        <f t="shared" si="152"/>
        <v>0</v>
      </c>
      <c r="S207" s="92">
        <f t="shared" si="153"/>
        <v>0</v>
      </c>
      <c r="T207" s="93">
        <f t="shared" si="154"/>
        <v>0</v>
      </c>
      <c r="U207" s="95">
        <f t="shared" si="155"/>
        <v>0</v>
      </c>
      <c r="V207" s="94"/>
      <c r="X207" s="580" t="str">
        <f t="shared" si="119"/>
        <v/>
      </c>
      <c r="Y207" s="580" t="str">
        <f t="shared" ref="Y207:Y265" si="157">IF(W207="X","x",IF(W207="y","x",IF(W207="xx","x",IF(U207&gt;0,"x",""))))</f>
        <v/>
      </c>
      <c r="Z207" s="580" t="str">
        <f t="shared" si="118"/>
        <v/>
      </c>
    </row>
    <row r="208" spans="1:26" ht="13.5" hidden="1" thickBot="1" x14ac:dyDescent="0.25">
      <c r="A208" s="602" t="s">
        <v>187</v>
      </c>
      <c r="B208" s="1015" t="s">
        <v>187</v>
      </c>
      <c r="C208" s="1016" t="s">
        <v>187</v>
      </c>
      <c r="D208" s="616"/>
      <c r="E208" s="609"/>
      <c r="F208" s="677"/>
      <c r="G208" s="610"/>
      <c r="H208" s="611"/>
      <c r="I208" s="612"/>
      <c r="J208" s="613"/>
      <c r="K208" s="617">
        <f t="shared" si="149"/>
        <v>0</v>
      </c>
      <c r="L208" s="635" t="s">
        <v>783</v>
      </c>
      <c r="M208" s="92"/>
      <c r="N208" s="92"/>
      <c r="O208" s="93">
        <f t="shared" si="156"/>
        <v>0</v>
      </c>
      <c r="P208" s="93">
        <f t="shared" si="151"/>
        <v>0</v>
      </c>
      <c r="Q208" s="94"/>
      <c r="R208" s="92">
        <f t="shared" si="152"/>
        <v>0</v>
      </c>
      <c r="S208" s="92">
        <f t="shared" si="153"/>
        <v>0</v>
      </c>
      <c r="T208" s="93">
        <f t="shared" si="154"/>
        <v>0</v>
      </c>
      <c r="U208" s="95">
        <f t="shared" si="155"/>
        <v>0</v>
      </c>
      <c r="V208" s="94"/>
      <c r="X208" s="580" t="str">
        <f t="shared" si="119"/>
        <v/>
      </c>
      <c r="Y208" s="580" t="str">
        <f t="shared" si="157"/>
        <v/>
      </c>
      <c r="Z208" s="580" t="str">
        <f t="shared" si="118"/>
        <v/>
      </c>
    </row>
    <row r="209" spans="1:26" ht="13.5" hidden="1" thickBot="1" x14ac:dyDescent="0.25">
      <c r="A209" s="602" t="s">
        <v>187</v>
      </c>
      <c r="B209" s="1015" t="s">
        <v>187</v>
      </c>
      <c r="C209" s="1016" t="s">
        <v>187</v>
      </c>
      <c r="D209" s="616"/>
      <c r="E209" s="609"/>
      <c r="F209" s="677"/>
      <c r="G209" s="610"/>
      <c r="H209" s="611"/>
      <c r="I209" s="612"/>
      <c r="J209" s="613"/>
      <c r="K209" s="617">
        <f t="shared" si="149"/>
        <v>0</v>
      </c>
      <c r="L209" s="635" t="s">
        <v>783</v>
      </c>
      <c r="M209" s="92"/>
      <c r="N209" s="92"/>
      <c r="O209" s="93">
        <f t="shared" si="156"/>
        <v>0</v>
      </c>
      <c r="P209" s="93">
        <f t="shared" si="151"/>
        <v>0</v>
      </c>
      <c r="Q209" s="94"/>
      <c r="R209" s="92">
        <f t="shared" si="152"/>
        <v>0</v>
      </c>
      <c r="S209" s="92">
        <f t="shared" si="153"/>
        <v>0</v>
      </c>
      <c r="T209" s="93">
        <f t="shared" si="154"/>
        <v>0</v>
      </c>
      <c r="U209" s="95">
        <f t="shared" si="155"/>
        <v>0</v>
      </c>
      <c r="V209" s="94"/>
      <c r="X209" s="580" t="str">
        <f t="shared" si="119"/>
        <v/>
      </c>
      <c r="Y209" s="580" t="str">
        <f t="shared" si="157"/>
        <v/>
      </c>
      <c r="Z209" s="580" t="str">
        <f t="shared" si="118"/>
        <v/>
      </c>
    </row>
    <row r="210" spans="1:26" ht="13.5" hidden="1" thickBot="1" x14ac:dyDescent="0.25">
      <c r="A210" s="602" t="s">
        <v>187</v>
      </c>
      <c r="B210" s="1015" t="s">
        <v>187</v>
      </c>
      <c r="C210" s="1016" t="s">
        <v>187</v>
      </c>
      <c r="D210" s="616"/>
      <c r="E210" s="609"/>
      <c r="F210" s="677"/>
      <c r="G210" s="610"/>
      <c r="H210" s="611"/>
      <c r="I210" s="612"/>
      <c r="J210" s="613"/>
      <c r="K210" s="617">
        <f t="shared" si="149"/>
        <v>0</v>
      </c>
      <c r="L210" s="635" t="s">
        <v>783</v>
      </c>
      <c r="M210" s="92"/>
      <c r="N210" s="92"/>
      <c r="O210" s="93">
        <f t="shared" si="156"/>
        <v>0</v>
      </c>
      <c r="P210" s="93">
        <f t="shared" si="151"/>
        <v>0</v>
      </c>
      <c r="Q210" s="94"/>
      <c r="R210" s="92">
        <f t="shared" si="152"/>
        <v>0</v>
      </c>
      <c r="S210" s="92">
        <f t="shared" si="153"/>
        <v>0</v>
      </c>
      <c r="T210" s="93">
        <f t="shared" si="154"/>
        <v>0</v>
      </c>
      <c r="U210" s="95">
        <f t="shared" si="155"/>
        <v>0</v>
      </c>
      <c r="V210" s="94"/>
      <c r="X210" s="580" t="str">
        <f t="shared" si="119"/>
        <v/>
      </c>
      <c r="Y210" s="580" t="str">
        <f t="shared" si="157"/>
        <v/>
      </c>
      <c r="Z210" s="580" t="str">
        <f t="shared" si="118"/>
        <v/>
      </c>
    </row>
    <row r="211" spans="1:26" ht="13.5" hidden="1" thickBot="1" x14ac:dyDescent="0.25">
      <c r="A211" s="602" t="s">
        <v>187</v>
      </c>
      <c r="B211" s="1015" t="s">
        <v>187</v>
      </c>
      <c r="C211" s="1016" t="s">
        <v>187</v>
      </c>
      <c r="D211" s="616"/>
      <c r="E211" s="609"/>
      <c r="F211" s="677"/>
      <c r="G211" s="610"/>
      <c r="H211" s="611"/>
      <c r="I211" s="612"/>
      <c r="J211" s="613"/>
      <c r="K211" s="617">
        <f t="shared" si="149"/>
        <v>0</v>
      </c>
      <c r="L211" s="635" t="s">
        <v>783</v>
      </c>
      <c r="M211" s="92"/>
      <c r="N211" s="92"/>
      <c r="O211" s="93">
        <f t="shared" si="156"/>
        <v>0</v>
      </c>
      <c r="P211" s="93">
        <f t="shared" si="151"/>
        <v>0</v>
      </c>
      <c r="Q211" s="94"/>
      <c r="R211" s="92">
        <f t="shared" si="152"/>
        <v>0</v>
      </c>
      <c r="S211" s="92">
        <f t="shared" si="153"/>
        <v>0</v>
      </c>
      <c r="T211" s="93">
        <f t="shared" si="154"/>
        <v>0</v>
      </c>
      <c r="U211" s="95">
        <f t="shared" si="155"/>
        <v>0</v>
      </c>
      <c r="V211" s="94"/>
      <c r="X211" s="580" t="str">
        <f t="shared" si="119"/>
        <v/>
      </c>
      <c r="Y211" s="580" t="str">
        <f t="shared" si="157"/>
        <v/>
      </c>
      <c r="Z211" s="580" t="str">
        <f t="shared" si="118"/>
        <v/>
      </c>
    </row>
    <row r="212" spans="1:26" ht="13.5" hidden="1" thickBot="1" x14ac:dyDescent="0.25">
      <c r="A212" s="602" t="s">
        <v>187</v>
      </c>
      <c r="B212" s="1015" t="s">
        <v>187</v>
      </c>
      <c r="C212" s="1016" t="s">
        <v>187</v>
      </c>
      <c r="D212" s="616"/>
      <c r="E212" s="609"/>
      <c r="F212" s="677"/>
      <c r="G212" s="610"/>
      <c r="H212" s="611"/>
      <c r="I212" s="612"/>
      <c r="J212" s="613"/>
      <c r="K212" s="617">
        <f t="shared" si="149"/>
        <v>0</v>
      </c>
      <c r="L212" s="635" t="s">
        <v>783</v>
      </c>
      <c r="M212" s="92"/>
      <c r="N212" s="92"/>
      <c r="O212" s="93">
        <f t="shared" si="156"/>
        <v>0</v>
      </c>
      <c r="P212" s="93">
        <f t="shared" si="151"/>
        <v>0</v>
      </c>
      <c r="Q212" s="94"/>
      <c r="R212" s="92">
        <f t="shared" si="152"/>
        <v>0</v>
      </c>
      <c r="S212" s="92">
        <f t="shared" si="153"/>
        <v>0</v>
      </c>
      <c r="T212" s="93">
        <f t="shared" si="154"/>
        <v>0</v>
      </c>
      <c r="U212" s="95">
        <f t="shared" si="155"/>
        <v>0</v>
      </c>
      <c r="V212" s="94"/>
      <c r="X212" s="580" t="str">
        <f t="shared" si="119"/>
        <v/>
      </c>
      <c r="Y212" s="580" t="str">
        <f t="shared" si="157"/>
        <v/>
      </c>
      <c r="Z212" s="580" t="str">
        <f t="shared" si="118"/>
        <v/>
      </c>
    </row>
    <row r="213" spans="1:26" ht="13.5" hidden="1" thickBot="1" x14ac:dyDescent="0.25">
      <c r="A213" s="602" t="s">
        <v>187</v>
      </c>
      <c r="B213" s="1015" t="s">
        <v>187</v>
      </c>
      <c r="C213" s="1016" t="s">
        <v>187</v>
      </c>
      <c r="D213" s="616"/>
      <c r="E213" s="609"/>
      <c r="F213" s="677"/>
      <c r="G213" s="610"/>
      <c r="H213" s="611"/>
      <c r="I213" s="612"/>
      <c r="J213" s="613"/>
      <c r="K213" s="617">
        <f t="shared" si="149"/>
        <v>0</v>
      </c>
      <c r="L213" s="635" t="s">
        <v>783</v>
      </c>
      <c r="M213" s="92"/>
      <c r="N213" s="92"/>
      <c r="O213" s="93">
        <f t="shared" si="156"/>
        <v>0</v>
      </c>
      <c r="P213" s="93">
        <f t="shared" si="151"/>
        <v>0</v>
      </c>
      <c r="Q213" s="94"/>
      <c r="R213" s="92">
        <f t="shared" ref="R213" si="158">M213</f>
        <v>0</v>
      </c>
      <c r="S213" s="92">
        <f t="shared" ref="S213" si="159">N213</f>
        <v>0</v>
      </c>
      <c r="T213" s="93">
        <f t="shared" si="154"/>
        <v>0</v>
      </c>
      <c r="U213" s="95">
        <f t="shared" si="155"/>
        <v>0</v>
      </c>
      <c r="V213" s="94"/>
      <c r="X213" s="580" t="str">
        <f t="shared" si="119"/>
        <v/>
      </c>
      <c r="Y213" s="580" t="str">
        <f t="shared" si="157"/>
        <v/>
      </c>
      <c r="Z213" s="580" t="str">
        <f t="shared" si="118"/>
        <v/>
      </c>
    </row>
    <row r="214" spans="1:26" ht="13.5" hidden="1" thickBot="1" x14ac:dyDescent="0.25">
      <c r="A214" s="602" t="s">
        <v>187</v>
      </c>
      <c r="B214" s="1015" t="s">
        <v>187</v>
      </c>
      <c r="C214" s="1016" t="s">
        <v>187</v>
      </c>
      <c r="D214" s="616"/>
      <c r="E214" s="609"/>
      <c r="F214" s="677"/>
      <c r="G214" s="610"/>
      <c r="H214" s="611"/>
      <c r="I214" s="612"/>
      <c r="J214" s="613"/>
      <c r="K214" s="617">
        <f t="shared" si="149"/>
        <v>0</v>
      </c>
      <c r="L214" s="635" t="s">
        <v>783</v>
      </c>
      <c r="M214" s="92"/>
      <c r="N214" s="92"/>
      <c r="O214" s="93">
        <f t="shared" si="156"/>
        <v>0</v>
      </c>
      <c r="P214" s="93">
        <f t="shared" si="151"/>
        <v>0</v>
      </c>
      <c r="Q214" s="94"/>
      <c r="R214" s="92">
        <f t="shared" si="152"/>
        <v>0</v>
      </c>
      <c r="S214" s="92">
        <f t="shared" si="153"/>
        <v>0</v>
      </c>
      <c r="T214" s="93">
        <f t="shared" si="154"/>
        <v>0</v>
      </c>
      <c r="U214" s="95">
        <f t="shared" si="155"/>
        <v>0</v>
      </c>
      <c r="V214" s="94"/>
      <c r="X214" s="580" t="str">
        <f t="shared" si="119"/>
        <v/>
      </c>
      <c r="Y214" s="580" t="str">
        <f t="shared" si="157"/>
        <v/>
      </c>
      <c r="Z214" s="580" t="str">
        <f t="shared" si="118"/>
        <v/>
      </c>
    </row>
    <row r="215" spans="1:26" ht="13.5" hidden="1" thickBot="1" x14ac:dyDescent="0.25">
      <c r="A215" s="602" t="s">
        <v>187</v>
      </c>
      <c r="B215" s="1015" t="s">
        <v>187</v>
      </c>
      <c r="C215" s="1016" t="s">
        <v>187</v>
      </c>
      <c r="D215" s="616"/>
      <c r="E215" s="609"/>
      <c r="F215" s="677"/>
      <c r="G215" s="610"/>
      <c r="H215" s="611"/>
      <c r="I215" s="612"/>
      <c r="J215" s="613"/>
      <c r="K215" s="617">
        <f t="shared" si="149"/>
        <v>0</v>
      </c>
      <c r="L215" s="635" t="s">
        <v>783</v>
      </c>
      <c r="M215" s="92"/>
      <c r="N215" s="92"/>
      <c r="O215" s="93">
        <f t="shared" si="156"/>
        <v>0</v>
      </c>
      <c r="P215" s="93">
        <f t="shared" si="151"/>
        <v>0</v>
      </c>
      <c r="Q215" s="94"/>
      <c r="R215" s="92">
        <f t="shared" si="152"/>
        <v>0</v>
      </c>
      <c r="S215" s="92">
        <f t="shared" si="153"/>
        <v>0</v>
      </c>
      <c r="T215" s="93">
        <f t="shared" si="154"/>
        <v>0</v>
      </c>
      <c r="U215" s="95">
        <f t="shared" si="155"/>
        <v>0</v>
      </c>
      <c r="V215" s="94"/>
      <c r="X215" s="580" t="str">
        <f t="shared" si="119"/>
        <v/>
      </c>
      <c r="Y215" s="580" t="str">
        <f t="shared" si="157"/>
        <v/>
      </c>
      <c r="Z215" s="580" t="str">
        <f t="shared" si="118"/>
        <v/>
      </c>
    </row>
    <row r="216" spans="1:26" ht="13.5" hidden="1" thickBot="1" x14ac:dyDescent="0.25">
      <c r="A216" s="602" t="s">
        <v>187</v>
      </c>
      <c r="B216" s="1015" t="s">
        <v>187</v>
      </c>
      <c r="C216" s="1016" t="s">
        <v>187</v>
      </c>
      <c r="D216" s="616"/>
      <c r="E216" s="609"/>
      <c r="F216" s="677"/>
      <c r="G216" s="610"/>
      <c r="H216" s="611"/>
      <c r="I216" s="612"/>
      <c r="J216" s="613"/>
      <c r="K216" s="617">
        <f t="shared" si="149"/>
        <v>0</v>
      </c>
      <c r="L216" s="635" t="s">
        <v>783</v>
      </c>
      <c r="M216" s="92"/>
      <c r="N216" s="92"/>
      <c r="O216" s="93">
        <f t="shared" si="156"/>
        <v>0</v>
      </c>
      <c r="P216" s="93">
        <f t="shared" si="151"/>
        <v>0</v>
      </c>
      <c r="Q216" s="94"/>
      <c r="R216" s="92">
        <f t="shared" si="152"/>
        <v>0</v>
      </c>
      <c r="S216" s="92">
        <f t="shared" si="153"/>
        <v>0</v>
      </c>
      <c r="T216" s="93">
        <f t="shared" si="154"/>
        <v>0</v>
      </c>
      <c r="U216" s="95">
        <f t="shared" si="155"/>
        <v>0</v>
      </c>
      <c r="V216" s="94"/>
      <c r="X216" s="580" t="str">
        <f t="shared" si="119"/>
        <v/>
      </c>
      <c r="Y216" s="580" t="str">
        <f t="shared" si="157"/>
        <v/>
      </c>
      <c r="Z216" s="580" t="str">
        <f t="shared" si="118"/>
        <v/>
      </c>
    </row>
    <row r="217" spans="1:26" ht="13.5" hidden="1" thickBot="1" x14ac:dyDescent="0.25">
      <c r="A217" s="602" t="s">
        <v>187</v>
      </c>
      <c r="B217" s="1015" t="s">
        <v>187</v>
      </c>
      <c r="C217" s="1016" t="s">
        <v>187</v>
      </c>
      <c r="D217" s="616"/>
      <c r="E217" s="609"/>
      <c r="F217" s="677"/>
      <c r="G217" s="610"/>
      <c r="H217" s="611"/>
      <c r="I217" s="612"/>
      <c r="J217" s="613"/>
      <c r="K217" s="617">
        <f t="shared" si="149"/>
        <v>0</v>
      </c>
      <c r="L217" s="635" t="s">
        <v>783</v>
      </c>
      <c r="M217" s="92"/>
      <c r="N217" s="92"/>
      <c r="O217" s="93">
        <f t="shared" si="156"/>
        <v>0</v>
      </c>
      <c r="P217" s="93">
        <f t="shared" si="151"/>
        <v>0</v>
      </c>
      <c r="Q217" s="94"/>
      <c r="R217" s="92">
        <f t="shared" si="152"/>
        <v>0</v>
      </c>
      <c r="S217" s="92">
        <f t="shared" si="153"/>
        <v>0</v>
      </c>
      <c r="T217" s="93">
        <f t="shared" si="154"/>
        <v>0</v>
      </c>
      <c r="U217" s="95">
        <f t="shared" si="155"/>
        <v>0</v>
      </c>
      <c r="V217" s="94"/>
      <c r="X217" s="580" t="str">
        <f t="shared" si="119"/>
        <v/>
      </c>
      <c r="Y217" s="580" t="str">
        <f t="shared" si="157"/>
        <v/>
      </c>
      <c r="Z217" s="580" t="str">
        <f t="shared" ref="Z217:Z273" si="160">IF(W217="X","x",IF(U217&gt;0,"x",""))</f>
        <v/>
      </c>
    </row>
    <row r="218" spans="1:26" ht="13.5" hidden="1" thickBot="1" x14ac:dyDescent="0.25">
      <c r="A218" s="602" t="s">
        <v>187</v>
      </c>
      <c r="B218" s="1015" t="s">
        <v>187</v>
      </c>
      <c r="C218" s="1016" t="s">
        <v>187</v>
      </c>
      <c r="D218" s="616"/>
      <c r="E218" s="609"/>
      <c r="F218" s="677"/>
      <c r="G218" s="610"/>
      <c r="H218" s="611"/>
      <c r="I218" s="612"/>
      <c r="J218" s="613"/>
      <c r="K218" s="617">
        <f t="shared" si="149"/>
        <v>0</v>
      </c>
      <c r="L218" s="635" t="s">
        <v>783</v>
      </c>
      <c r="M218" s="92"/>
      <c r="N218" s="92"/>
      <c r="O218" s="93">
        <f t="shared" si="156"/>
        <v>0</v>
      </c>
      <c r="P218" s="93">
        <f t="shared" si="151"/>
        <v>0</v>
      </c>
      <c r="Q218" s="94"/>
      <c r="R218" s="92">
        <f t="shared" si="152"/>
        <v>0</v>
      </c>
      <c r="S218" s="92">
        <f t="shared" si="153"/>
        <v>0</v>
      </c>
      <c r="T218" s="93">
        <f t="shared" si="154"/>
        <v>0</v>
      </c>
      <c r="U218" s="95">
        <f t="shared" si="155"/>
        <v>0</v>
      </c>
      <c r="V218" s="94"/>
      <c r="X218" s="580" t="str">
        <f t="shared" si="119"/>
        <v/>
      </c>
      <c r="Y218" s="580" t="str">
        <f t="shared" si="157"/>
        <v/>
      </c>
      <c r="Z218" s="580" t="str">
        <f t="shared" si="160"/>
        <v/>
      </c>
    </row>
    <row r="219" spans="1:26" ht="13.5" hidden="1" thickBot="1" x14ac:dyDescent="0.25">
      <c r="A219" s="602" t="s">
        <v>187</v>
      </c>
      <c r="B219" s="1015" t="s">
        <v>187</v>
      </c>
      <c r="C219" s="1016" t="s">
        <v>187</v>
      </c>
      <c r="D219" s="616"/>
      <c r="E219" s="609"/>
      <c r="F219" s="677"/>
      <c r="G219" s="610"/>
      <c r="H219" s="611"/>
      <c r="I219" s="612"/>
      <c r="J219" s="613"/>
      <c r="K219" s="617">
        <f t="shared" si="149"/>
        <v>0</v>
      </c>
      <c r="L219" s="635" t="s">
        <v>783</v>
      </c>
      <c r="M219" s="92"/>
      <c r="N219" s="92"/>
      <c r="O219" s="93">
        <f t="shared" si="156"/>
        <v>0</v>
      </c>
      <c r="P219" s="93">
        <f t="shared" si="151"/>
        <v>0</v>
      </c>
      <c r="Q219" s="94"/>
      <c r="R219" s="92">
        <f t="shared" si="152"/>
        <v>0</v>
      </c>
      <c r="S219" s="92">
        <f t="shared" si="153"/>
        <v>0</v>
      </c>
      <c r="T219" s="93">
        <f t="shared" si="154"/>
        <v>0</v>
      </c>
      <c r="U219" s="95">
        <f t="shared" si="155"/>
        <v>0</v>
      </c>
      <c r="V219" s="94"/>
      <c r="X219" s="580" t="str">
        <f t="shared" si="119"/>
        <v/>
      </c>
      <c r="Y219" s="580" t="str">
        <f t="shared" si="157"/>
        <v/>
      </c>
      <c r="Z219" s="580" t="str">
        <f t="shared" si="160"/>
        <v/>
      </c>
    </row>
    <row r="220" spans="1:26" ht="13.5" hidden="1" thickBot="1" x14ac:dyDescent="0.25">
      <c r="A220" s="602" t="s">
        <v>187</v>
      </c>
      <c r="B220" s="1015" t="s">
        <v>187</v>
      </c>
      <c r="C220" s="1016" t="s">
        <v>187</v>
      </c>
      <c r="D220" s="616"/>
      <c r="E220" s="609"/>
      <c r="F220" s="677"/>
      <c r="G220" s="610"/>
      <c r="H220" s="611"/>
      <c r="I220" s="612"/>
      <c r="J220" s="613"/>
      <c r="K220" s="617">
        <f t="shared" si="149"/>
        <v>0</v>
      </c>
      <c r="L220" s="635" t="s">
        <v>783</v>
      </c>
      <c r="M220" s="92"/>
      <c r="N220" s="92"/>
      <c r="O220" s="93">
        <f t="shared" si="156"/>
        <v>0</v>
      </c>
      <c r="P220" s="93">
        <f t="shared" si="151"/>
        <v>0</v>
      </c>
      <c r="Q220" s="94"/>
      <c r="R220" s="92">
        <f t="shared" si="152"/>
        <v>0</v>
      </c>
      <c r="S220" s="92">
        <f t="shared" si="153"/>
        <v>0</v>
      </c>
      <c r="T220" s="93">
        <f t="shared" si="154"/>
        <v>0</v>
      </c>
      <c r="U220" s="95">
        <f t="shared" si="155"/>
        <v>0</v>
      </c>
      <c r="V220" s="94"/>
      <c r="X220" s="580" t="str">
        <f t="shared" si="119"/>
        <v/>
      </c>
      <c r="Y220" s="580" t="str">
        <f t="shared" si="157"/>
        <v/>
      </c>
      <c r="Z220" s="580" t="str">
        <f t="shared" si="160"/>
        <v/>
      </c>
    </row>
    <row r="221" spans="1:26" ht="13.5" hidden="1" thickBot="1" x14ac:dyDescent="0.25">
      <c r="A221" s="602" t="s">
        <v>187</v>
      </c>
      <c r="B221" s="1015" t="s">
        <v>187</v>
      </c>
      <c r="C221" s="1016" t="s">
        <v>187</v>
      </c>
      <c r="D221" s="616"/>
      <c r="E221" s="609"/>
      <c r="F221" s="677"/>
      <c r="G221" s="610"/>
      <c r="H221" s="611"/>
      <c r="I221" s="612"/>
      <c r="J221" s="613"/>
      <c r="K221" s="617">
        <f t="shared" si="149"/>
        <v>0</v>
      </c>
      <c r="L221" s="635" t="s">
        <v>783</v>
      </c>
      <c r="M221" s="92"/>
      <c r="N221" s="92"/>
      <c r="O221" s="93">
        <f t="shared" si="156"/>
        <v>0</v>
      </c>
      <c r="P221" s="93">
        <f t="shared" si="151"/>
        <v>0</v>
      </c>
      <c r="Q221" s="94"/>
      <c r="R221" s="92">
        <f t="shared" si="152"/>
        <v>0</v>
      </c>
      <c r="S221" s="92">
        <f t="shared" si="153"/>
        <v>0</v>
      </c>
      <c r="T221" s="93">
        <f t="shared" si="154"/>
        <v>0</v>
      </c>
      <c r="U221" s="95">
        <f t="shared" si="155"/>
        <v>0</v>
      </c>
      <c r="V221" s="94"/>
      <c r="X221" s="580" t="str">
        <f t="shared" si="119"/>
        <v/>
      </c>
      <c r="Y221" s="580" t="str">
        <f t="shared" si="157"/>
        <v/>
      </c>
      <c r="Z221" s="580" t="str">
        <f t="shared" si="160"/>
        <v/>
      </c>
    </row>
    <row r="222" spans="1:26" ht="13.5" hidden="1" thickBot="1" x14ac:dyDescent="0.25">
      <c r="A222" s="602" t="s">
        <v>187</v>
      </c>
      <c r="B222" s="1017" t="s">
        <v>187</v>
      </c>
      <c r="C222" s="1018" t="s">
        <v>187</v>
      </c>
      <c r="D222" s="619"/>
      <c r="E222" s="620"/>
      <c r="F222" s="678"/>
      <c r="G222" s="621"/>
      <c r="H222" s="622"/>
      <c r="I222" s="623"/>
      <c r="J222" s="624"/>
      <c r="K222" s="625">
        <f t="shared" si="149"/>
        <v>0</v>
      </c>
      <c r="L222" s="636" t="s">
        <v>783</v>
      </c>
      <c r="M222" s="92"/>
      <c r="N222" s="92"/>
      <c r="O222" s="627">
        <f t="shared" si="156"/>
        <v>0</v>
      </c>
      <c r="P222" s="627">
        <f t="shared" si="151"/>
        <v>0</v>
      </c>
      <c r="Q222" s="94"/>
      <c r="R222" s="92">
        <f t="shared" si="152"/>
        <v>0</v>
      </c>
      <c r="S222" s="92">
        <f t="shared" si="153"/>
        <v>0</v>
      </c>
      <c r="T222" s="627">
        <f t="shared" si="154"/>
        <v>0</v>
      </c>
      <c r="U222" s="628">
        <f t="shared" si="155"/>
        <v>0</v>
      </c>
      <c r="V222" s="94"/>
      <c r="X222" s="580" t="str">
        <f t="shared" ref="X222:X282" si="161">IF(W222="X","x",IF(W222="xx","x",IF(W222="xy","x",IF(W222="y","x",IF(OR(P222&gt;0,U222&gt;0),"x","")))))</f>
        <v/>
      </c>
      <c r="Y222" s="580" t="str">
        <f t="shared" si="157"/>
        <v/>
      </c>
      <c r="Z222" s="580" t="str">
        <f t="shared" si="160"/>
        <v/>
      </c>
    </row>
    <row r="223" spans="1:26" ht="13.5" thickBot="1" x14ac:dyDescent="0.25">
      <c r="A223" s="97" t="s">
        <v>231</v>
      </c>
      <c r="B223" s="1124" t="s">
        <v>231</v>
      </c>
      <c r="C223" s="1125"/>
      <c r="D223" s="1126" t="s">
        <v>496</v>
      </c>
      <c r="E223" s="1102"/>
      <c r="F223" s="679"/>
      <c r="G223" s="574"/>
      <c r="H223" s="77"/>
      <c r="I223" s="576"/>
      <c r="J223" s="576"/>
      <c r="K223" s="576"/>
      <c r="L223" s="637" t="s">
        <v>783</v>
      </c>
      <c r="M223" s="638"/>
      <c r="N223" s="639"/>
      <c r="O223" s="639"/>
      <c r="P223" s="982"/>
      <c r="Q223" s="578">
        <f>SUM(P224:P466)</f>
        <v>710786.74</v>
      </c>
      <c r="R223" s="1103"/>
      <c r="S223" s="1104"/>
      <c r="T223" s="1104"/>
      <c r="U223" s="1105"/>
      <c r="V223" s="1106">
        <f>SUM(U224:U466)</f>
        <v>678892.08</v>
      </c>
      <c r="W223" s="579" t="str">
        <f>IF(OR(Q223&gt;0,V223&gt;0),"X","")</f>
        <v>X</v>
      </c>
      <c r="X223" s="580" t="str">
        <f t="shared" si="161"/>
        <v>x</v>
      </c>
      <c r="Y223" s="580" t="str">
        <f t="shared" si="157"/>
        <v>x</v>
      </c>
      <c r="Z223" s="580" t="str">
        <f t="shared" si="160"/>
        <v>x</v>
      </c>
    </row>
    <row r="224" spans="1:26" ht="13.5" hidden="1" thickBot="1" x14ac:dyDescent="0.25">
      <c r="A224" s="1008" t="s">
        <v>1129</v>
      </c>
      <c r="B224" s="1032" t="s">
        <v>1129</v>
      </c>
      <c r="C224" s="1033" t="s">
        <v>523</v>
      </c>
      <c r="D224" s="640" t="s">
        <v>246</v>
      </c>
      <c r="E224" s="641"/>
      <c r="F224" s="659"/>
      <c r="G224" s="642"/>
      <c r="H224" s="912"/>
      <c r="I224" s="643">
        <v>0.5</v>
      </c>
      <c r="J224" s="1002">
        <f t="shared" ref="J224" si="162">IF(ISBLANK(I224),"",SUM(H224:I224))</f>
        <v>0.5</v>
      </c>
      <c r="K224" s="644">
        <f t="shared" ref="K224:K245" si="163">IF(ISBLANK(I224),0,ROUND(J224*(1+$F$10)*(1+$F$11*E224),2))</f>
        <v>0.61</v>
      </c>
      <c r="L224" s="645" t="s">
        <v>18</v>
      </c>
      <c r="M224" s="1034"/>
      <c r="N224" s="1035"/>
      <c r="O224" s="1036">
        <f t="shared" ref="O224:O232" si="164">IF(ISBLANK(M224),0,ROUND(K224*M224,2))</f>
        <v>0</v>
      </c>
      <c r="P224" s="1037">
        <f t="shared" ref="P224:P232" si="165">IF(ISBLANK(N224),0,ROUND(M224*N224,2))</f>
        <v>0</v>
      </c>
      <c r="Q224" s="1038"/>
      <c r="R224" s="92">
        <f t="shared" ref="R224:S230" si="166">M224</f>
        <v>0</v>
      </c>
      <c r="S224" s="92">
        <f t="shared" si="166"/>
        <v>0</v>
      </c>
      <c r="T224" s="93">
        <f t="shared" ref="T224:T231" si="167">IF(ISBLANK(R224),0,ROUND(K224*R224,2))</f>
        <v>0</v>
      </c>
      <c r="U224" s="95">
        <f t="shared" ref="U224:U232" si="168">IF(ISBLANK(R224),0,ROUND(R224*S224,2))</f>
        <v>0</v>
      </c>
      <c r="V224" s="94"/>
      <c r="X224" s="580" t="str">
        <f t="shared" si="161"/>
        <v/>
      </c>
      <c r="Y224" s="580" t="str">
        <f t="shared" si="157"/>
        <v/>
      </c>
      <c r="Z224" s="580" t="str">
        <f t="shared" si="160"/>
        <v/>
      </c>
    </row>
    <row r="225" spans="1:26" ht="13.5" hidden="1" thickBot="1" x14ac:dyDescent="0.25">
      <c r="A225" s="1008">
        <v>560100</v>
      </c>
      <c r="B225" s="1039" t="s">
        <v>787</v>
      </c>
      <c r="C225" s="1040" t="s">
        <v>212</v>
      </c>
      <c r="D225" s="646" t="s">
        <v>1828</v>
      </c>
      <c r="E225" s="647"/>
      <c r="F225" s="991" t="s">
        <v>856</v>
      </c>
      <c r="G225" s="992">
        <v>1.1999999999999999E-3</v>
      </c>
      <c r="H225" s="993"/>
      <c r="I225" s="648">
        <v>0.33</v>
      </c>
      <c r="J225" s="1041">
        <f>I225</f>
        <v>0.33</v>
      </c>
      <c r="K225" s="649">
        <f t="shared" si="163"/>
        <v>0.4</v>
      </c>
      <c r="L225" s="650" t="s">
        <v>18</v>
      </c>
      <c r="M225" s="1042"/>
      <c r="N225" s="92"/>
      <c r="O225" s="1043">
        <f t="shared" si="164"/>
        <v>0</v>
      </c>
      <c r="P225" s="1044">
        <f t="shared" si="165"/>
        <v>0</v>
      </c>
      <c r="Q225" s="1038"/>
      <c r="R225" s="1045">
        <f>M225</f>
        <v>0</v>
      </c>
      <c r="S225" s="1046">
        <f t="shared" si="166"/>
        <v>0</v>
      </c>
      <c r="T225" s="651">
        <f t="shared" si="167"/>
        <v>0</v>
      </c>
      <c r="U225" s="652">
        <f t="shared" si="168"/>
        <v>0</v>
      </c>
      <c r="V225" s="94"/>
      <c r="X225" s="580" t="str">
        <f t="shared" si="161"/>
        <v/>
      </c>
      <c r="Y225" s="580" t="str">
        <f t="shared" si="157"/>
        <v/>
      </c>
      <c r="Z225" s="580" t="str">
        <f t="shared" si="160"/>
        <v/>
      </c>
    </row>
    <row r="226" spans="1:26" ht="13.5" hidden="1" thickBot="1" x14ac:dyDescent="0.25">
      <c r="A226" s="1008">
        <v>589420</v>
      </c>
      <c r="B226" s="1047" t="s">
        <v>998</v>
      </c>
      <c r="C226" s="1048" t="s">
        <v>241</v>
      </c>
      <c r="D226" s="981" t="s">
        <v>832</v>
      </c>
      <c r="E226" s="653"/>
      <c r="F226" s="1049">
        <v>500</v>
      </c>
      <c r="G226" s="1050">
        <v>1</v>
      </c>
      <c r="H226" s="996">
        <f>(0.52*F226+25.75)*G226</f>
        <v>285.75</v>
      </c>
      <c r="I226" s="654">
        <f>LIGANTES!M24</f>
        <v>2934.27</v>
      </c>
      <c r="J226" s="1051">
        <f>IF(ISBLANK(I226),"",I226*(1+$F$9)/(1+$F$10))+H226</f>
        <v>3139.7380256347051</v>
      </c>
      <c r="K226" s="655">
        <f t="shared" si="163"/>
        <v>3821.38</v>
      </c>
      <c r="L226" s="656" t="s">
        <v>20</v>
      </c>
      <c r="M226" s="1052">
        <f>ROUND(M225*G225,2)</f>
        <v>0</v>
      </c>
      <c r="N226" s="1053"/>
      <c r="O226" s="1054">
        <f t="shared" si="164"/>
        <v>0</v>
      </c>
      <c r="P226" s="1055">
        <f t="shared" si="165"/>
        <v>0</v>
      </c>
      <c r="Q226" s="1038"/>
      <c r="R226" s="1056">
        <f>ROUND(R225*G225,2)</f>
        <v>0</v>
      </c>
      <c r="S226" s="1053">
        <f t="shared" si="166"/>
        <v>0</v>
      </c>
      <c r="T226" s="657">
        <f t="shared" ref="T226" si="169">IF(ISBLANK(R226),0,ROUND(K226*R226,2))</f>
        <v>0</v>
      </c>
      <c r="U226" s="658">
        <f t="shared" si="168"/>
        <v>0</v>
      </c>
      <c r="V226" s="94"/>
      <c r="X226" s="580" t="str">
        <f t="shared" ref="X226" si="170">IF(W226="X","x",IF(W226="xx","x",IF(W226="xy","x",IF(W226="y","x",IF(OR(P226&gt;0,U226&gt;0),"x","")))))</f>
        <v/>
      </c>
      <c r="Y226" s="580" t="str">
        <f t="shared" ref="Y226" si="171">IF(W226="X","x",IF(W226="y","x",IF(W226="xx","x",IF(U226&gt;0,"x",""))))</f>
        <v/>
      </c>
      <c r="Z226" s="580" t="str">
        <f t="shared" ref="Z226" si="172">IF(W226="X","x",IF(U226&gt;0,"x",""))</f>
        <v/>
      </c>
    </row>
    <row r="227" spans="1:26" x14ac:dyDescent="0.2">
      <c r="A227" s="1008">
        <v>560100</v>
      </c>
      <c r="B227" s="1127" t="s">
        <v>788</v>
      </c>
      <c r="C227" s="1128" t="s">
        <v>212</v>
      </c>
      <c r="D227" s="1129" t="s">
        <v>819</v>
      </c>
      <c r="E227" s="1130"/>
      <c r="F227" s="991" t="s">
        <v>2233</v>
      </c>
      <c r="G227" s="992">
        <v>1.1000000000000001E-3</v>
      </c>
      <c r="H227" s="993"/>
      <c r="I227" s="648">
        <v>0.33</v>
      </c>
      <c r="J227" s="1041">
        <f t="shared" ref="J227" si="173">IF(ISBLANK(I227),"",SUM(H227:I227))</f>
        <v>0.33</v>
      </c>
      <c r="K227" s="649">
        <f t="shared" si="163"/>
        <v>0.4</v>
      </c>
      <c r="L227" s="650" t="s">
        <v>18</v>
      </c>
      <c r="M227" s="1042">
        <v>9818.7900000000009</v>
      </c>
      <c r="N227" s="92">
        <v>0.51</v>
      </c>
      <c r="O227" s="1043">
        <f t="shared" si="164"/>
        <v>3927.52</v>
      </c>
      <c r="P227" s="1044">
        <f t="shared" si="165"/>
        <v>5007.58</v>
      </c>
      <c r="Q227" s="1038"/>
      <c r="R227" s="1135">
        <f>M227</f>
        <v>9818.7900000000009</v>
      </c>
      <c r="S227" s="1136">
        <f>K227</f>
        <v>0.4</v>
      </c>
      <c r="T227" s="1137">
        <f t="shared" ref="T227:T228" si="174">IF(ISBLANK(R227),0,ROUND(K227*R227,2))</f>
        <v>3927.52</v>
      </c>
      <c r="U227" s="1138">
        <f t="shared" si="168"/>
        <v>3927.52</v>
      </c>
      <c r="V227" s="1114"/>
      <c r="X227" s="580" t="str">
        <f t="shared" si="161"/>
        <v>x</v>
      </c>
      <c r="Y227" s="580" t="str">
        <f t="shared" si="157"/>
        <v>x</v>
      </c>
      <c r="Z227" s="580" t="str">
        <f t="shared" si="160"/>
        <v>x</v>
      </c>
    </row>
    <row r="228" spans="1:26" ht="13.5" thickBot="1" x14ac:dyDescent="0.25">
      <c r="A228" s="1008">
        <v>589190</v>
      </c>
      <c r="B228" s="1131" t="s">
        <v>2042</v>
      </c>
      <c r="C228" s="1132" t="s">
        <v>241</v>
      </c>
      <c r="D228" s="1133" t="s">
        <v>833</v>
      </c>
      <c r="E228" s="1134"/>
      <c r="F228" s="1088">
        <v>94.2</v>
      </c>
      <c r="G228" s="1050">
        <v>1</v>
      </c>
      <c r="H228" s="996">
        <f>(0.52*F228+25.75)*G228</f>
        <v>74.734000000000009</v>
      </c>
      <c r="I228" s="654">
        <f>LIGANTES!M19</f>
        <v>3540.56</v>
      </c>
      <c r="J228" s="1051">
        <f>IF(ISBLANK(I228),"",I228*(1+$F$9)/(1+$F$10))+H228</f>
        <v>3518.4238595020947</v>
      </c>
      <c r="K228" s="655">
        <f t="shared" si="163"/>
        <v>4282.2700000000004</v>
      </c>
      <c r="L228" s="656" t="s">
        <v>20</v>
      </c>
      <c r="M228" s="1052">
        <f>ROUND(M227*G227,2)</f>
        <v>10.8</v>
      </c>
      <c r="N228" s="1053">
        <v>4677.24</v>
      </c>
      <c r="O228" s="1054">
        <f t="shared" si="164"/>
        <v>46248.52</v>
      </c>
      <c r="P228" s="1055">
        <f t="shared" si="165"/>
        <v>50514.19</v>
      </c>
      <c r="Q228" s="1038"/>
      <c r="R228" s="1139">
        <f>ROUND(R227*G227,2)</f>
        <v>10.8</v>
      </c>
      <c r="S228" s="1140">
        <f>K228</f>
        <v>4282.2700000000004</v>
      </c>
      <c r="T228" s="1141">
        <f t="shared" si="174"/>
        <v>46248.52</v>
      </c>
      <c r="U228" s="1142">
        <f t="shared" si="168"/>
        <v>46248.52</v>
      </c>
      <c r="V228" s="1114"/>
      <c r="X228" s="580" t="str">
        <f t="shared" si="161"/>
        <v>x</v>
      </c>
      <c r="Y228" s="580" t="str">
        <f t="shared" si="157"/>
        <v>x</v>
      </c>
      <c r="Z228" s="580" t="str">
        <f t="shared" si="160"/>
        <v>x</v>
      </c>
    </row>
    <row r="229" spans="1:26" ht="13.5" hidden="1" thickBot="1" x14ac:dyDescent="0.25">
      <c r="A229" s="1008">
        <v>560400</v>
      </c>
      <c r="B229" s="1039" t="s">
        <v>995</v>
      </c>
      <c r="C229" s="1040" t="s">
        <v>212</v>
      </c>
      <c r="D229" s="646" t="s">
        <v>820</v>
      </c>
      <c r="E229" s="647"/>
      <c r="F229" s="991" t="s">
        <v>2234</v>
      </c>
      <c r="G229" s="992">
        <v>1.1999999999999999E-3</v>
      </c>
      <c r="H229" s="993"/>
      <c r="I229" s="648">
        <v>0.33</v>
      </c>
      <c r="J229" s="1041">
        <f t="shared" ref="J229:J231" si="175">IF(ISBLANK(I229),"",SUM(H229:I229))</f>
        <v>0.33</v>
      </c>
      <c r="K229" s="649">
        <f t="shared" si="163"/>
        <v>0.4</v>
      </c>
      <c r="L229" s="650" t="s">
        <v>18</v>
      </c>
      <c r="M229" s="1042"/>
      <c r="N229" s="92"/>
      <c r="O229" s="1043">
        <f t="shared" si="164"/>
        <v>0</v>
      </c>
      <c r="P229" s="1044">
        <f t="shared" si="165"/>
        <v>0</v>
      </c>
      <c r="Q229" s="1038"/>
      <c r="R229" s="1045">
        <f>M229</f>
        <v>0</v>
      </c>
      <c r="S229" s="1046">
        <f t="shared" si="166"/>
        <v>0</v>
      </c>
      <c r="T229" s="651">
        <f t="shared" si="167"/>
        <v>0</v>
      </c>
      <c r="U229" s="652">
        <f t="shared" si="168"/>
        <v>0</v>
      </c>
      <c r="V229" s="94"/>
      <c r="X229" s="580" t="str">
        <f t="shared" si="161"/>
        <v/>
      </c>
      <c r="Y229" s="580" t="str">
        <f t="shared" si="157"/>
        <v/>
      </c>
      <c r="Z229" s="580" t="str">
        <f t="shared" si="160"/>
        <v/>
      </c>
    </row>
    <row r="230" spans="1:26" ht="13.5" hidden="1" thickBot="1" x14ac:dyDescent="0.25">
      <c r="A230" s="1008">
        <v>589100</v>
      </c>
      <c r="B230" s="1047" t="s">
        <v>1006</v>
      </c>
      <c r="C230" s="1048" t="s">
        <v>241</v>
      </c>
      <c r="D230" s="981" t="s">
        <v>834</v>
      </c>
      <c r="E230" s="653"/>
      <c r="F230" s="1049">
        <v>500</v>
      </c>
      <c r="G230" s="1050">
        <v>1</v>
      </c>
      <c r="H230" s="996">
        <f>(0.52*F230+25.75)*G230</f>
        <v>285.75</v>
      </c>
      <c r="I230" s="654">
        <f>LIGANTES!M12</f>
        <v>5774.08</v>
      </c>
      <c r="J230" s="1051">
        <f>IF(ISBLANK(I230),"",I230*(1+$F$9)/(1+$F$10))+H230</f>
        <v>5901.8504880453538</v>
      </c>
      <c r="K230" s="655">
        <f t="shared" si="163"/>
        <v>7183.14</v>
      </c>
      <c r="L230" s="656" t="s">
        <v>20</v>
      </c>
      <c r="M230" s="1052">
        <f>ROUND(M229*G229,2)</f>
        <v>0</v>
      </c>
      <c r="N230" s="1053"/>
      <c r="O230" s="1054">
        <f t="shared" si="164"/>
        <v>0</v>
      </c>
      <c r="P230" s="1055">
        <f t="shared" si="165"/>
        <v>0</v>
      </c>
      <c r="Q230" s="1038"/>
      <c r="R230" s="1056">
        <f>ROUND(R229*G229,2)</f>
        <v>0</v>
      </c>
      <c r="S230" s="1053">
        <f t="shared" si="166"/>
        <v>0</v>
      </c>
      <c r="T230" s="657">
        <f t="shared" ref="T230" si="176">IF(ISBLANK(R230),0,ROUND(K230*R230,2))</f>
        <v>0</v>
      </c>
      <c r="U230" s="658">
        <f t="shared" si="168"/>
        <v>0</v>
      </c>
      <c r="V230" s="94"/>
      <c r="X230" s="580" t="str">
        <f t="shared" ref="X230" si="177">IF(W230="X","x",IF(W230="xx","x",IF(W230="xy","x",IF(W230="y","x",IF(OR(P230&gt;0,U230&gt;0),"x","")))))</f>
        <v/>
      </c>
      <c r="Y230" s="580" t="str">
        <f t="shared" ref="Y230" si="178">IF(W230="X","x",IF(W230="y","x",IF(W230="xx","x",IF(U230&gt;0,"x",""))))</f>
        <v/>
      </c>
      <c r="Z230" s="580" t="str">
        <f t="shared" ref="Z230" si="179">IF(W230="X","x",IF(U230&gt;0,"x",""))</f>
        <v/>
      </c>
    </row>
    <row r="231" spans="1:26" x14ac:dyDescent="0.2">
      <c r="A231" s="1008">
        <v>561100</v>
      </c>
      <c r="B231" s="1127" t="s">
        <v>996</v>
      </c>
      <c r="C231" s="1128" t="s">
        <v>212</v>
      </c>
      <c r="D231" s="1129" t="s">
        <v>821</v>
      </c>
      <c r="E231" s="1130"/>
      <c r="F231" s="991" t="s">
        <v>856</v>
      </c>
      <c r="G231" s="992">
        <v>5.0000000000000001E-4</v>
      </c>
      <c r="H231" s="993"/>
      <c r="I231" s="648">
        <v>0.23</v>
      </c>
      <c r="J231" s="1041">
        <f t="shared" si="175"/>
        <v>0.23</v>
      </c>
      <c r="K231" s="649">
        <f t="shared" si="163"/>
        <v>0.28000000000000003</v>
      </c>
      <c r="L231" s="650" t="s">
        <v>18</v>
      </c>
      <c r="M231" s="1042">
        <v>9882.7900000000009</v>
      </c>
      <c r="N231" s="92">
        <v>0.33</v>
      </c>
      <c r="O231" s="1043">
        <f t="shared" si="164"/>
        <v>2767.18</v>
      </c>
      <c r="P231" s="1044">
        <f t="shared" si="165"/>
        <v>3261.32</v>
      </c>
      <c r="Q231" s="1038"/>
      <c r="R231" s="1135">
        <f>M231</f>
        <v>9882.7900000000009</v>
      </c>
      <c r="S231" s="1136">
        <f>K231</f>
        <v>0.28000000000000003</v>
      </c>
      <c r="T231" s="1137">
        <f t="shared" si="167"/>
        <v>2767.18</v>
      </c>
      <c r="U231" s="1138">
        <f t="shared" si="168"/>
        <v>2767.18</v>
      </c>
      <c r="V231" s="1114"/>
      <c r="X231" s="580" t="str">
        <f t="shared" si="161"/>
        <v>x</v>
      </c>
      <c r="Y231" s="580" t="str">
        <f t="shared" si="157"/>
        <v>x</v>
      </c>
      <c r="Z231" s="580" t="str">
        <f t="shared" si="160"/>
        <v>x</v>
      </c>
    </row>
    <row r="232" spans="1:26" ht="13.5" thickBot="1" x14ac:dyDescent="0.25">
      <c r="A232" s="1008">
        <v>589420</v>
      </c>
      <c r="B232" s="1131" t="s">
        <v>999</v>
      </c>
      <c r="C232" s="1132" t="s">
        <v>241</v>
      </c>
      <c r="D232" s="1133" t="s">
        <v>835</v>
      </c>
      <c r="E232" s="1134"/>
      <c r="F232" s="1088">
        <v>94.2</v>
      </c>
      <c r="G232" s="1057">
        <v>1</v>
      </c>
      <c r="H232" s="1000">
        <f>(0.52*F232+25.75)*G232</f>
        <v>74.734000000000009</v>
      </c>
      <c r="I232" s="654">
        <f>LIGANTES!M24</f>
        <v>2934.27</v>
      </c>
      <c r="J232" s="1051">
        <f>IF(ISBLANK(I232),"",I232*(1+$F$9)/(1+$F$10))+H232</f>
        <v>2928.722025634705</v>
      </c>
      <c r="K232" s="655">
        <f t="shared" si="163"/>
        <v>3564.55</v>
      </c>
      <c r="L232" s="656" t="s">
        <v>20</v>
      </c>
      <c r="M232" s="1052">
        <f>ROUND(M231*G231,2)</f>
        <v>4.9400000000000004</v>
      </c>
      <c r="N232" s="1053">
        <v>3927.22</v>
      </c>
      <c r="O232" s="1054">
        <f t="shared" si="164"/>
        <v>17608.88</v>
      </c>
      <c r="P232" s="1055">
        <f t="shared" si="165"/>
        <v>19400.47</v>
      </c>
      <c r="Q232" s="1038"/>
      <c r="R232" s="1139">
        <f>ROUND(R231*G231,2)</f>
        <v>4.9400000000000004</v>
      </c>
      <c r="S232" s="1140">
        <f>K232</f>
        <v>3564.55</v>
      </c>
      <c r="T232" s="1141">
        <f t="shared" ref="T232" si="180">IF(ISBLANK(R232),0,ROUND(K232*R232,2))</f>
        <v>17608.88</v>
      </c>
      <c r="U232" s="1142">
        <f t="shared" si="168"/>
        <v>17608.88</v>
      </c>
      <c r="V232" s="1114"/>
      <c r="X232" s="580" t="str">
        <f t="shared" ref="X232" si="181">IF(W232="X","x",IF(W232="xx","x",IF(W232="xy","x",IF(W232="y","x",IF(OR(P232&gt;0,U232&gt;0),"x","")))))</f>
        <v>x</v>
      </c>
      <c r="Y232" s="580" t="str">
        <f t="shared" ref="Y232" si="182">IF(W232="X","x",IF(W232="y","x",IF(W232="xx","x",IF(U232&gt;0,"x",""))))</f>
        <v>x</v>
      </c>
      <c r="Z232" s="580" t="str">
        <f t="shared" ref="Z232" si="183">IF(W232="X","x",IF(U232&gt;0,"x",""))</f>
        <v>x</v>
      </c>
    </row>
    <row r="233" spans="1:26" ht="13.5" hidden="1" thickBot="1" x14ac:dyDescent="0.25">
      <c r="A233" s="1008">
        <v>521450</v>
      </c>
      <c r="B233" s="1026" t="s">
        <v>1969</v>
      </c>
      <c r="C233" s="1058" t="s">
        <v>212</v>
      </c>
      <c r="D233" s="909" t="s">
        <v>247</v>
      </c>
      <c r="E233" s="917"/>
      <c r="F233" s="1059">
        <v>20</v>
      </c>
      <c r="G233" s="1060">
        <v>0.3</v>
      </c>
      <c r="H233" s="661">
        <f t="shared" ref="H233:H234" si="184">IF(F233&lt;=30,(0.7*F233+1.45)*G233,((0.7*30+1.45)+0.58*(F233-30))*G233)</f>
        <v>4.6349999999999998</v>
      </c>
      <c r="I233" s="923">
        <v>22.76</v>
      </c>
      <c r="J233" s="923">
        <f t="shared" ref="J233" si="185">IF(ISBLANK(I233),"",SUM(H233:I233))</f>
        <v>27.395000000000003</v>
      </c>
      <c r="K233" s="593">
        <f t="shared" si="163"/>
        <v>33.340000000000003</v>
      </c>
      <c r="L233" s="594" t="s">
        <v>18</v>
      </c>
      <c r="M233" s="92"/>
      <c r="N233" s="92"/>
      <c r="O233" s="93">
        <f t="shared" ref="O233" si="186">IF(ISBLANK(M233),0,ROUND(K233*M233,2))</f>
        <v>0</v>
      </c>
      <c r="P233" s="93">
        <f t="shared" ref="P233" si="187">IF(ISBLANK(N233),0,ROUND(M233*N233,2))</f>
        <v>0</v>
      </c>
      <c r="Q233" s="1003"/>
      <c r="R233" s="92">
        <f t="shared" ref="R233" si="188">M233</f>
        <v>0</v>
      </c>
      <c r="S233" s="92">
        <f t="shared" ref="S233" si="189">N233</f>
        <v>0</v>
      </c>
      <c r="T233" s="93">
        <f t="shared" ref="T233" si="190">IF(ISBLANK(R233),0,ROUND(K233*R233,2))</f>
        <v>0</v>
      </c>
      <c r="U233" s="95">
        <f t="shared" ref="U233" si="191">IF(ISBLANK(R233),0,ROUND(R233*S233,2))</f>
        <v>0</v>
      </c>
      <c r="V233" s="94"/>
      <c r="X233" s="580" t="str">
        <f t="shared" si="161"/>
        <v/>
      </c>
      <c r="Y233" s="580" t="str">
        <f t="shared" si="157"/>
        <v/>
      </c>
      <c r="Z233" s="580" t="str">
        <f t="shared" si="160"/>
        <v/>
      </c>
    </row>
    <row r="234" spans="1:26" ht="13.5" hidden="1" thickBot="1" x14ac:dyDescent="0.25">
      <c r="A234" s="1008">
        <v>535200</v>
      </c>
      <c r="B234" s="1010" t="s">
        <v>1966</v>
      </c>
      <c r="C234" s="975" t="s">
        <v>212</v>
      </c>
      <c r="D234" s="988" t="s">
        <v>248</v>
      </c>
      <c r="E234" s="976"/>
      <c r="F234" s="994">
        <v>20</v>
      </c>
      <c r="G234" s="1061">
        <v>7.6999999999999999E-2</v>
      </c>
      <c r="H234" s="661">
        <f t="shared" si="184"/>
        <v>1.1896499999999999</v>
      </c>
      <c r="I234" s="1030">
        <v>9.84</v>
      </c>
      <c r="J234" s="1030">
        <f>IF(ISBLANK(I234),"",SUM(H234:I234))</f>
        <v>11.02965</v>
      </c>
      <c r="K234" s="1062">
        <f t="shared" si="163"/>
        <v>13.42</v>
      </c>
      <c r="L234" s="594" t="s">
        <v>19</v>
      </c>
      <c r="M234" s="92"/>
      <c r="N234" s="92"/>
      <c r="O234" s="93">
        <f t="shared" si="120"/>
        <v>0</v>
      </c>
      <c r="P234" s="93">
        <f t="shared" si="124"/>
        <v>0</v>
      </c>
      <c r="Q234" s="94"/>
      <c r="R234" s="92">
        <f t="shared" ref="R234:R283" si="192">M234</f>
        <v>0</v>
      </c>
      <c r="S234" s="92">
        <f t="shared" ref="S234:S280" si="193">N234</f>
        <v>0</v>
      </c>
      <c r="T234" s="93">
        <f t="shared" si="123"/>
        <v>0</v>
      </c>
      <c r="U234" s="95">
        <f t="shared" ref="U234:U256" si="194">IF(ISBLANK(R234),0,ROUND(R234*S234,2))</f>
        <v>0</v>
      </c>
      <c r="V234" s="94"/>
      <c r="X234" s="580" t="str">
        <f t="shared" si="161"/>
        <v/>
      </c>
      <c r="Y234" s="580" t="str">
        <f t="shared" si="157"/>
        <v/>
      </c>
      <c r="Z234" s="580" t="str">
        <f t="shared" si="160"/>
        <v/>
      </c>
    </row>
    <row r="235" spans="1:26" ht="13.5" hidden="1" thickBot="1" x14ac:dyDescent="0.25">
      <c r="A235" s="1008">
        <v>521450</v>
      </c>
      <c r="B235" s="1010" t="s">
        <v>1970</v>
      </c>
      <c r="C235" s="975" t="s">
        <v>212</v>
      </c>
      <c r="D235" s="988" t="s">
        <v>524</v>
      </c>
      <c r="E235" s="976"/>
      <c r="F235" s="994"/>
      <c r="G235" s="1061"/>
      <c r="H235" s="682"/>
      <c r="I235" s="1030">
        <v>8.5500000000000007</v>
      </c>
      <c r="J235" s="1030">
        <f>IF(ISBLANK(I235),"",SUM(H235:I235))</f>
        <v>8.5500000000000007</v>
      </c>
      <c r="K235" s="1062">
        <f t="shared" si="163"/>
        <v>10.41</v>
      </c>
      <c r="L235" s="594" t="s">
        <v>18</v>
      </c>
      <c r="M235" s="92"/>
      <c r="N235" s="92"/>
      <c r="O235" s="93">
        <f t="shared" si="120"/>
        <v>0</v>
      </c>
      <c r="P235" s="93">
        <f t="shared" si="124"/>
        <v>0</v>
      </c>
      <c r="Q235" s="94"/>
      <c r="R235" s="92">
        <f t="shared" si="192"/>
        <v>0</v>
      </c>
      <c r="S235" s="92">
        <f t="shared" si="193"/>
        <v>0</v>
      </c>
      <c r="T235" s="93">
        <f t="shared" si="123"/>
        <v>0</v>
      </c>
      <c r="U235" s="95">
        <f t="shared" si="194"/>
        <v>0</v>
      </c>
      <c r="V235" s="94"/>
      <c r="X235" s="580" t="str">
        <f t="shared" si="161"/>
        <v/>
      </c>
      <c r="Y235" s="580" t="str">
        <f t="shared" si="157"/>
        <v/>
      </c>
      <c r="Z235" s="580" t="str">
        <f t="shared" si="160"/>
        <v/>
      </c>
    </row>
    <row r="236" spans="1:26" ht="13.5" hidden="1" thickBot="1" x14ac:dyDescent="0.25">
      <c r="A236" s="1008">
        <v>521450</v>
      </c>
      <c r="B236" s="1010" t="s">
        <v>1971</v>
      </c>
      <c r="C236" s="975" t="s">
        <v>212</v>
      </c>
      <c r="D236" s="988" t="s">
        <v>249</v>
      </c>
      <c r="E236" s="976"/>
      <c r="F236" s="994"/>
      <c r="G236" s="1061"/>
      <c r="H236" s="682"/>
      <c r="I236" s="1030">
        <v>11.97</v>
      </c>
      <c r="J236" s="1030">
        <f>IF(ISBLANK(I236),"",SUM(H236:I236))</f>
        <v>11.97</v>
      </c>
      <c r="K236" s="1062">
        <f t="shared" si="163"/>
        <v>14.57</v>
      </c>
      <c r="L236" s="594" t="s">
        <v>18</v>
      </c>
      <c r="M236" s="92"/>
      <c r="N236" s="92"/>
      <c r="O236" s="93">
        <f t="shared" si="120"/>
        <v>0</v>
      </c>
      <c r="P236" s="93">
        <f t="shared" si="124"/>
        <v>0</v>
      </c>
      <c r="Q236" s="94"/>
      <c r="R236" s="92">
        <f t="shared" si="192"/>
        <v>0</v>
      </c>
      <c r="S236" s="92">
        <f t="shared" si="193"/>
        <v>0</v>
      </c>
      <c r="T236" s="93">
        <f t="shared" si="123"/>
        <v>0</v>
      </c>
      <c r="U236" s="95">
        <f t="shared" si="194"/>
        <v>0</v>
      </c>
      <c r="V236" s="94"/>
      <c r="X236" s="580" t="str">
        <f t="shared" si="161"/>
        <v/>
      </c>
      <c r="Y236" s="580" t="str">
        <f t="shared" si="157"/>
        <v/>
      </c>
      <c r="Z236" s="580" t="str">
        <f t="shared" si="160"/>
        <v/>
      </c>
    </row>
    <row r="237" spans="1:26" ht="13.5" hidden="1" thickBot="1" x14ac:dyDescent="0.25">
      <c r="A237" s="1008">
        <v>535000</v>
      </c>
      <c r="B237" s="1010" t="s">
        <v>1977</v>
      </c>
      <c r="C237" s="978" t="s">
        <v>212</v>
      </c>
      <c r="D237" s="595" t="s">
        <v>250</v>
      </c>
      <c r="E237" s="596"/>
      <c r="F237" s="671">
        <v>20</v>
      </c>
      <c r="G237" s="597">
        <v>0.27200000000000002</v>
      </c>
      <c r="H237" s="661">
        <f t="shared" ref="H237:H250" si="195">IF(F237&lt;=30,(0.7*F237+1.45)*G237,((0.7*30+1.45)+0.58*(F237-30))*G237)</f>
        <v>4.2023999999999999</v>
      </c>
      <c r="I237" s="592">
        <v>84.59</v>
      </c>
      <c r="J237" s="592">
        <f>IF(ISBLANK(I237),"",SUM(H237:I237))</f>
        <v>88.792400000000001</v>
      </c>
      <c r="K237" s="593">
        <f t="shared" si="163"/>
        <v>108.07</v>
      </c>
      <c r="L237" s="594" t="s">
        <v>18</v>
      </c>
      <c r="M237" s="92"/>
      <c r="N237" s="92"/>
      <c r="O237" s="93">
        <f t="shared" si="120"/>
        <v>0</v>
      </c>
      <c r="P237" s="93">
        <f t="shared" si="124"/>
        <v>0</v>
      </c>
      <c r="Q237" s="94"/>
      <c r="R237" s="92">
        <f t="shared" si="192"/>
        <v>0</v>
      </c>
      <c r="S237" s="92">
        <f t="shared" si="193"/>
        <v>0</v>
      </c>
      <c r="T237" s="93">
        <f t="shared" si="123"/>
        <v>0</v>
      </c>
      <c r="U237" s="95">
        <f t="shared" si="194"/>
        <v>0</v>
      </c>
      <c r="V237" s="94"/>
      <c r="X237" s="580" t="str">
        <f t="shared" si="161"/>
        <v/>
      </c>
      <c r="Y237" s="580" t="str">
        <f t="shared" si="157"/>
        <v/>
      </c>
      <c r="Z237" s="580" t="str">
        <f t="shared" si="160"/>
        <v/>
      </c>
    </row>
    <row r="238" spans="1:26" ht="13.5" hidden="1" thickBot="1" x14ac:dyDescent="0.25">
      <c r="A238" s="1008">
        <v>863000</v>
      </c>
      <c r="B238" s="1010" t="s">
        <v>1979</v>
      </c>
      <c r="C238" s="978" t="s">
        <v>212</v>
      </c>
      <c r="D238" s="595" t="s">
        <v>251</v>
      </c>
      <c r="E238" s="596"/>
      <c r="F238" s="671">
        <v>20</v>
      </c>
      <c r="G238" s="597">
        <f>2*0.04</f>
        <v>0.08</v>
      </c>
      <c r="H238" s="661">
        <f t="shared" si="195"/>
        <v>1.236</v>
      </c>
      <c r="I238" s="592">
        <v>40.720000000000006</v>
      </c>
      <c r="J238" s="592">
        <f>IF(ISBLANK(I238),"",SUM(H238:I238))</f>
        <v>41.956000000000003</v>
      </c>
      <c r="K238" s="593">
        <f t="shared" si="163"/>
        <v>51.06</v>
      </c>
      <c r="L238" s="594" t="s">
        <v>18</v>
      </c>
      <c r="M238" s="92"/>
      <c r="N238" s="92"/>
      <c r="O238" s="93">
        <f t="shared" si="120"/>
        <v>0</v>
      </c>
      <c r="P238" s="93">
        <f t="shared" si="124"/>
        <v>0</v>
      </c>
      <c r="Q238" s="94"/>
      <c r="R238" s="92">
        <f t="shared" si="192"/>
        <v>0</v>
      </c>
      <c r="S238" s="92">
        <f t="shared" si="193"/>
        <v>0</v>
      </c>
      <c r="T238" s="93">
        <f t="shared" si="123"/>
        <v>0</v>
      </c>
      <c r="U238" s="95">
        <f t="shared" si="194"/>
        <v>0</v>
      </c>
      <c r="V238" s="94"/>
      <c r="X238" s="580" t="str">
        <f t="shared" si="161"/>
        <v/>
      </c>
      <c r="Y238" s="580" t="str">
        <f t="shared" si="157"/>
        <v/>
      </c>
      <c r="Z238" s="580" t="str">
        <f t="shared" si="160"/>
        <v/>
      </c>
    </row>
    <row r="239" spans="1:26" ht="13.5" hidden="1" thickBot="1" x14ac:dyDescent="0.25">
      <c r="A239" s="1008">
        <v>863000</v>
      </c>
      <c r="B239" s="1010" t="s">
        <v>1980</v>
      </c>
      <c r="C239" s="978" t="s">
        <v>212</v>
      </c>
      <c r="D239" s="595" t="s">
        <v>252</v>
      </c>
      <c r="E239" s="596"/>
      <c r="F239" s="671">
        <v>20</v>
      </c>
      <c r="G239" s="597">
        <f>2*0.05</f>
        <v>0.1</v>
      </c>
      <c r="H239" s="661">
        <f t="shared" si="195"/>
        <v>1.5449999999999999</v>
      </c>
      <c r="I239" s="592">
        <v>45.81</v>
      </c>
      <c r="J239" s="592">
        <f t="shared" ref="J239:J249" si="196">IF(ISBLANK(I239),"",SUM(H239:I239))</f>
        <v>47.355000000000004</v>
      </c>
      <c r="K239" s="593">
        <f t="shared" si="163"/>
        <v>57.64</v>
      </c>
      <c r="L239" s="594" t="s">
        <v>18</v>
      </c>
      <c r="M239" s="92"/>
      <c r="N239" s="92"/>
      <c r="O239" s="93">
        <f t="shared" si="120"/>
        <v>0</v>
      </c>
      <c r="P239" s="93">
        <f t="shared" si="124"/>
        <v>0</v>
      </c>
      <c r="Q239" s="94"/>
      <c r="R239" s="92">
        <f t="shared" si="192"/>
        <v>0</v>
      </c>
      <c r="S239" s="92">
        <f t="shared" si="193"/>
        <v>0</v>
      </c>
      <c r="T239" s="93">
        <f t="shared" si="123"/>
        <v>0</v>
      </c>
      <c r="U239" s="95">
        <f t="shared" si="194"/>
        <v>0</v>
      </c>
      <c r="V239" s="94"/>
      <c r="X239" s="580" t="str">
        <f t="shared" si="161"/>
        <v/>
      </c>
      <c r="Y239" s="580" t="str">
        <f t="shared" si="157"/>
        <v/>
      </c>
      <c r="Z239" s="580" t="str">
        <f t="shared" si="160"/>
        <v/>
      </c>
    </row>
    <row r="240" spans="1:26" ht="13.5" hidden="1" thickBot="1" x14ac:dyDescent="0.25">
      <c r="A240" s="1008">
        <v>534906</v>
      </c>
      <c r="B240" s="1010" t="s">
        <v>1981</v>
      </c>
      <c r="C240" s="978" t="s">
        <v>212</v>
      </c>
      <c r="D240" s="595" t="s">
        <v>253</v>
      </c>
      <c r="E240" s="596"/>
      <c r="F240" s="671">
        <v>20</v>
      </c>
      <c r="G240" s="597">
        <f>2*0.06</f>
        <v>0.12</v>
      </c>
      <c r="H240" s="661">
        <f t="shared" si="195"/>
        <v>1.8539999999999999</v>
      </c>
      <c r="I240" s="592">
        <v>50.900000000000006</v>
      </c>
      <c r="J240" s="592">
        <f t="shared" si="196"/>
        <v>52.754000000000005</v>
      </c>
      <c r="K240" s="593">
        <f t="shared" si="163"/>
        <v>64.209999999999994</v>
      </c>
      <c r="L240" s="594" t="s">
        <v>18</v>
      </c>
      <c r="M240" s="92"/>
      <c r="N240" s="92"/>
      <c r="O240" s="93">
        <f t="shared" si="120"/>
        <v>0</v>
      </c>
      <c r="P240" s="93">
        <f t="shared" si="124"/>
        <v>0</v>
      </c>
      <c r="Q240" s="94"/>
      <c r="R240" s="92">
        <f t="shared" si="192"/>
        <v>0</v>
      </c>
      <c r="S240" s="92">
        <f t="shared" si="193"/>
        <v>0</v>
      </c>
      <c r="T240" s="93">
        <f t="shared" si="123"/>
        <v>0</v>
      </c>
      <c r="U240" s="95">
        <f t="shared" si="194"/>
        <v>0</v>
      </c>
      <c r="V240" s="94"/>
      <c r="X240" s="580" t="str">
        <f t="shared" si="161"/>
        <v/>
      </c>
      <c r="Y240" s="580" t="str">
        <f t="shared" si="157"/>
        <v/>
      </c>
      <c r="Z240" s="580" t="str">
        <f t="shared" si="160"/>
        <v/>
      </c>
    </row>
    <row r="241" spans="1:29" ht="13.5" hidden="1" thickBot="1" x14ac:dyDescent="0.25">
      <c r="A241" s="1008">
        <v>534906</v>
      </c>
      <c r="B241" s="1010" t="s">
        <v>1982</v>
      </c>
      <c r="C241" s="978" t="s">
        <v>212</v>
      </c>
      <c r="D241" s="595" t="s">
        <v>254</v>
      </c>
      <c r="E241" s="596"/>
      <c r="F241" s="671">
        <v>20</v>
      </c>
      <c r="G241" s="597">
        <f>2*0.07</f>
        <v>0.14000000000000001</v>
      </c>
      <c r="H241" s="661">
        <f t="shared" si="195"/>
        <v>2.1630000000000003</v>
      </c>
      <c r="I241" s="592">
        <v>53.36</v>
      </c>
      <c r="J241" s="592">
        <f t="shared" si="196"/>
        <v>55.522999999999996</v>
      </c>
      <c r="K241" s="593">
        <f t="shared" si="163"/>
        <v>67.58</v>
      </c>
      <c r="L241" s="594" t="s">
        <v>18</v>
      </c>
      <c r="M241" s="92"/>
      <c r="N241" s="92"/>
      <c r="O241" s="93">
        <f t="shared" si="120"/>
        <v>0</v>
      </c>
      <c r="P241" s="93">
        <f t="shared" si="124"/>
        <v>0</v>
      </c>
      <c r="Q241" s="94"/>
      <c r="R241" s="92">
        <f t="shared" si="192"/>
        <v>0</v>
      </c>
      <c r="S241" s="92">
        <f t="shared" si="193"/>
        <v>0</v>
      </c>
      <c r="T241" s="93">
        <f t="shared" si="123"/>
        <v>0</v>
      </c>
      <c r="U241" s="95">
        <f t="shared" si="194"/>
        <v>0</v>
      </c>
      <c r="V241" s="94"/>
      <c r="X241" s="580" t="str">
        <f t="shared" si="161"/>
        <v/>
      </c>
      <c r="Y241" s="580" t="str">
        <f t="shared" si="157"/>
        <v/>
      </c>
      <c r="Z241" s="580" t="str">
        <f t="shared" si="160"/>
        <v/>
      </c>
    </row>
    <row r="242" spans="1:29" ht="13.5" hidden="1" thickBot="1" x14ac:dyDescent="0.25">
      <c r="A242" s="1008">
        <v>534906</v>
      </c>
      <c r="B242" s="1010" t="s">
        <v>169</v>
      </c>
      <c r="C242" s="978" t="s">
        <v>212</v>
      </c>
      <c r="D242" s="595" t="s">
        <v>255</v>
      </c>
      <c r="E242" s="596"/>
      <c r="F242" s="671">
        <v>20</v>
      </c>
      <c r="G242" s="597">
        <f>2*0.08</f>
        <v>0.16</v>
      </c>
      <c r="H242" s="661">
        <f t="shared" si="195"/>
        <v>2.472</v>
      </c>
      <c r="I242" s="592">
        <v>55.81</v>
      </c>
      <c r="J242" s="592">
        <f t="shared" si="196"/>
        <v>58.282000000000004</v>
      </c>
      <c r="K242" s="593">
        <f t="shared" si="163"/>
        <v>70.94</v>
      </c>
      <c r="L242" s="594" t="s">
        <v>18</v>
      </c>
      <c r="M242" s="92"/>
      <c r="N242" s="92"/>
      <c r="O242" s="93">
        <f t="shared" si="120"/>
        <v>0</v>
      </c>
      <c r="P242" s="93">
        <f t="shared" si="124"/>
        <v>0</v>
      </c>
      <c r="Q242" s="94"/>
      <c r="R242" s="92">
        <f t="shared" si="192"/>
        <v>0</v>
      </c>
      <c r="S242" s="92">
        <f t="shared" si="193"/>
        <v>0</v>
      </c>
      <c r="T242" s="93">
        <f t="shared" si="123"/>
        <v>0</v>
      </c>
      <c r="U242" s="95">
        <f t="shared" si="194"/>
        <v>0</v>
      </c>
      <c r="V242" s="94"/>
      <c r="X242" s="580" t="str">
        <f t="shared" si="161"/>
        <v/>
      </c>
      <c r="Y242" s="580" t="str">
        <f t="shared" si="157"/>
        <v/>
      </c>
      <c r="Z242" s="580" t="str">
        <f t="shared" si="160"/>
        <v/>
      </c>
    </row>
    <row r="243" spans="1:29" ht="13.5" hidden="1" thickBot="1" x14ac:dyDescent="0.25">
      <c r="A243" s="1008">
        <v>534906</v>
      </c>
      <c r="B243" s="1010" t="s">
        <v>235</v>
      </c>
      <c r="C243" s="978" t="s">
        <v>212</v>
      </c>
      <c r="D243" s="595" t="s">
        <v>256</v>
      </c>
      <c r="E243" s="596"/>
      <c r="F243" s="671">
        <v>20</v>
      </c>
      <c r="G243" s="597">
        <f>2*0.1</f>
        <v>0.2</v>
      </c>
      <c r="H243" s="661">
        <f t="shared" si="195"/>
        <v>3.09</v>
      </c>
      <c r="I243" s="592">
        <v>63.283183908045977</v>
      </c>
      <c r="J243" s="592">
        <f t="shared" si="196"/>
        <v>66.373183908045974</v>
      </c>
      <c r="K243" s="593">
        <f t="shared" si="163"/>
        <v>80.78</v>
      </c>
      <c r="L243" s="594" t="s">
        <v>18</v>
      </c>
      <c r="M243" s="92"/>
      <c r="N243" s="92"/>
      <c r="O243" s="93">
        <f t="shared" si="120"/>
        <v>0</v>
      </c>
      <c r="P243" s="93">
        <f t="shared" si="124"/>
        <v>0</v>
      </c>
      <c r="Q243" s="94"/>
      <c r="R243" s="92">
        <f t="shared" si="192"/>
        <v>0</v>
      </c>
      <c r="S243" s="92">
        <f t="shared" si="193"/>
        <v>0</v>
      </c>
      <c r="T243" s="93">
        <f t="shared" si="123"/>
        <v>0</v>
      </c>
      <c r="U243" s="95">
        <f t="shared" si="194"/>
        <v>0</v>
      </c>
      <c r="V243" s="94"/>
      <c r="X243" s="580" t="str">
        <f t="shared" si="161"/>
        <v/>
      </c>
      <c r="Y243" s="580" t="str">
        <f t="shared" si="157"/>
        <v/>
      </c>
      <c r="Z243" s="580" t="str">
        <f t="shared" si="160"/>
        <v/>
      </c>
    </row>
    <row r="244" spans="1:29" ht="13.5" hidden="1" thickBot="1" x14ac:dyDescent="0.25">
      <c r="A244" s="1008">
        <v>534906</v>
      </c>
      <c r="B244" s="1010" t="s">
        <v>236</v>
      </c>
      <c r="C244" s="978" t="s">
        <v>212</v>
      </c>
      <c r="D244" s="595" t="s">
        <v>1098</v>
      </c>
      <c r="E244" s="596"/>
      <c r="F244" s="671">
        <v>20</v>
      </c>
      <c r="G244" s="597">
        <v>0.14000000000000001</v>
      </c>
      <c r="H244" s="661">
        <f t="shared" si="195"/>
        <v>2.1630000000000003</v>
      </c>
      <c r="I244" s="592">
        <v>50.900000000000006</v>
      </c>
      <c r="J244" s="592">
        <f t="shared" si="196"/>
        <v>53.063000000000002</v>
      </c>
      <c r="K244" s="593">
        <f t="shared" si="163"/>
        <v>64.58</v>
      </c>
      <c r="L244" s="594" t="s">
        <v>18</v>
      </c>
      <c r="M244" s="92"/>
      <c r="N244" s="92"/>
      <c r="O244" s="93">
        <f t="shared" si="120"/>
        <v>0</v>
      </c>
      <c r="P244" s="93">
        <f t="shared" si="124"/>
        <v>0</v>
      </c>
      <c r="Q244" s="94"/>
      <c r="R244" s="92">
        <f t="shared" si="192"/>
        <v>0</v>
      </c>
      <c r="S244" s="92">
        <f t="shared" si="193"/>
        <v>0</v>
      </c>
      <c r="T244" s="93">
        <f t="shared" si="123"/>
        <v>0</v>
      </c>
      <c r="U244" s="95">
        <f t="shared" si="194"/>
        <v>0</v>
      </c>
      <c r="V244" s="94"/>
      <c r="X244" s="580" t="str">
        <f t="shared" si="161"/>
        <v/>
      </c>
      <c r="Y244" s="580" t="str">
        <f t="shared" si="157"/>
        <v/>
      </c>
      <c r="Z244" s="580" t="str">
        <f t="shared" si="160"/>
        <v/>
      </c>
      <c r="AC244" s="63"/>
    </row>
    <row r="245" spans="1:29" ht="13.5" hidden="1" thickBot="1" x14ac:dyDescent="0.25">
      <c r="A245" s="1008">
        <v>534906</v>
      </c>
      <c r="B245" s="1010" t="s">
        <v>237</v>
      </c>
      <c r="C245" s="978" t="s">
        <v>212</v>
      </c>
      <c r="D245" s="595" t="s">
        <v>1099</v>
      </c>
      <c r="E245" s="596"/>
      <c r="F245" s="671">
        <v>20</v>
      </c>
      <c r="G245" s="597">
        <v>0.14000000000000001</v>
      </c>
      <c r="H245" s="661">
        <f t="shared" si="195"/>
        <v>2.1630000000000003</v>
      </c>
      <c r="I245" s="592">
        <v>55.99</v>
      </c>
      <c r="J245" s="592">
        <f t="shared" si="196"/>
        <v>58.153000000000006</v>
      </c>
      <c r="K245" s="593">
        <f t="shared" si="163"/>
        <v>70.78</v>
      </c>
      <c r="L245" s="594" t="s">
        <v>18</v>
      </c>
      <c r="M245" s="92"/>
      <c r="N245" s="92"/>
      <c r="O245" s="93">
        <f t="shared" si="120"/>
        <v>0</v>
      </c>
      <c r="P245" s="93">
        <f t="shared" si="124"/>
        <v>0</v>
      </c>
      <c r="Q245" s="94"/>
      <c r="R245" s="92">
        <f t="shared" si="192"/>
        <v>0</v>
      </c>
      <c r="S245" s="92">
        <f t="shared" si="193"/>
        <v>0</v>
      </c>
      <c r="T245" s="93">
        <f t="shared" si="123"/>
        <v>0</v>
      </c>
      <c r="U245" s="95">
        <f t="shared" si="194"/>
        <v>0</v>
      </c>
      <c r="V245" s="94"/>
      <c r="X245" s="580" t="str">
        <f t="shared" si="161"/>
        <v/>
      </c>
      <c r="Y245" s="580" t="str">
        <f t="shared" si="157"/>
        <v/>
      </c>
      <c r="Z245" s="580" t="str">
        <f t="shared" si="160"/>
        <v/>
      </c>
    </row>
    <row r="246" spans="1:29" ht="13.5" hidden="1" thickBot="1" x14ac:dyDescent="0.25">
      <c r="A246" s="1008">
        <v>534908</v>
      </c>
      <c r="B246" s="1010" t="s">
        <v>166</v>
      </c>
      <c r="C246" s="978" t="s">
        <v>212</v>
      </c>
      <c r="D246" s="595" t="s">
        <v>1100</v>
      </c>
      <c r="E246" s="596"/>
      <c r="F246" s="671">
        <v>20</v>
      </c>
      <c r="G246" s="597">
        <v>0.18</v>
      </c>
      <c r="H246" s="661">
        <f t="shared" si="195"/>
        <v>2.7809999999999997</v>
      </c>
      <c r="I246" s="592">
        <v>55.81</v>
      </c>
      <c r="J246" s="592">
        <f t="shared" si="196"/>
        <v>58.591000000000001</v>
      </c>
      <c r="K246" s="593">
        <f>IF(ISBLANK(I246),0,ROUNDDOWN(J246*(1+$F$10)*(1+$F$11*E246),2))</f>
        <v>71.31</v>
      </c>
      <c r="L246" s="594" t="s">
        <v>18</v>
      </c>
      <c r="M246" s="92"/>
      <c r="N246" s="92"/>
      <c r="O246" s="93">
        <f t="shared" si="120"/>
        <v>0</v>
      </c>
      <c r="P246" s="93">
        <f t="shared" si="124"/>
        <v>0</v>
      </c>
      <c r="Q246" s="94"/>
      <c r="R246" s="92">
        <f t="shared" si="192"/>
        <v>0</v>
      </c>
      <c r="S246" s="92">
        <f t="shared" si="193"/>
        <v>0</v>
      </c>
      <c r="T246" s="93">
        <f t="shared" si="123"/>
        <v>0</v>
      </c>
      <c r="U246" s="95">
        <f t="shared" si="194"/>
        <v>0</v>
      </c>
      <c r="V246" s="94"/>
      <c r="X246" s="580" t="str">
        <f t="shared" si="161"/>
        <v/>
      </c>
      <c r="Y246" s="580" t="str">
        <f t="shared" si="157"/>
        <v/>
      </c>
      <c r="Z246" s="580" t="str">
        <f t="shared" si="160"/>
        <v/>
      </c>
      <c r="AC246" s="63"/>
    </row>
    <row r="247" spans="1:29" ht="13.5" hidden="1" thickBot="1" x14ac:dyDescent="0.25">
      <c r="A247" s="1008">
        <v>534908</v>
      </c>
      <c r="B247" s="1010" t="s">
        <v>167</v>
      </c>
      <c r="C247" s="978" t="s">
        <v>212</v>
      </c>
      <c r="D247" s="595" t="s">
        <v>1101</v>
      </c>
      <c r="E247" s="596"/>
      <c r="F247" s="671">
        <v>20</v>
      </c>
      <c r="G247" s="597">
        <v>0.18</v>
      </c>
      <c r="H247" s="661">
        <f t="shared" si="195"/>
        <v>2.7809999999999997</v>
      </c>
      <c r="I247" s="592">
        <v>61.39</v>
      </c>
      <c r="J247" s="592">
        <f t="shared" si="196"/>
        <v>64.171000000000006</v>
      </c>
      <c r="K247" s="593">
        <f t="shared" ref="K247:K278" si="197">IF(ISBLANK(I247),0,ROUND(J247*(1+$F$10)*(1+$F$11*E247),2))</f>
        <v>78.099999999999994</v>
      </c>
      <c r="L247" s="594" t="s">
        <v>18</v>
      </c>
      <c r="M247" s="92"/>
      <c r="N247" s="92"/>
      <c r="O247" s="93">
        <f t="shared" si="120"/>
        <v>0</v>
      </c>
      <c r="P247" s="93">
        <f t="shared" si="124"/>
        <v>0</v>
      </c>
      <c r="Q247" s="94"/>
      <c r="R247" s="92">
        <f t="shared" si="192"/>
        <v>0</v>
      </c>
      <c r="S247" s="92">
        <f t="shared" si="193"/>
        <v>0</v>
      </c>
      <c r="T247" s="93">
        <f t="shared" si="123"/>
        <v>0</v>
      </c>
      <c r="U247" s="95">
        <f t="shared" si="194"/>
        <v>0</v>
      </c>
      <c r="V247" s="94"/>
      <c r="X247" s="580" t="str">
        <f t="shared" si="161"/>
        <v/>
      </c>
      <c r="Y247" s="580" t="str">
        <f t="shared" si="157"/>
        <v/>
      </c>
      <c r="Z247" s="580" t="str">
        <f t="shared" si="160"/>
        <v/>
      </c>
    </row>
    <row r="248" spans="1:29" ht="13.5" hidden="1" thickBot="1" x14ac:dyDescent="0.25">
      <c r="A248" s="1008">
        <v>534908</v>
      </c>
      <c r="B248" s="1010" t="s">
        <v>168</v>
      </c>
      <c r="C248" s="978" t="s">
        <v>212</v>
      </c>
      <c r="D248" s="595" t="s">
        <v>1102</v>
      </c>
      <c r="E248" s="596"/>
      <c r="F248" s="671">
        <v>20</v>
      </c>
      <c r="G248" s="597">
        <v>0.22</v>
      </c>
      <c r="H248" s="661">
        <f t="shared" si="195"/>
        <v>3.399</v>
      </c>
      <c r="I248" s="592">
        <v>63.283183908045977</v>
      </c>
      <c r="J248" s="592">
        <f t="shared" si="196"/>
        <v>66.682183908045971</v>
      </c>
      <c r="K248" s="593">
        <f t="shared" si="197"/>
        <v>81.16</v>
      </c>
      <c r="L248" s="594" t="s">
        <v>18</v>
      </c>
      <c r="M248" s="92"/>
      <c r="N248" s="92"/>
      <c r="O248" s="93">
        <f t="shared" si="120"/>
        <v>0</v>
      </c>
      <c r="P248" s="93">
        <f t="shared" si="124"/>
        <v>0</v>
      </c>
      <c r="Q248" s="94"/>
      <c r="R248" s="92">
        <f t="shared" si="192"/>
        <v>0</v>
      </c>
      <c r="S248" s="92">
        <f t="shared" si="193"/>
        <v>0</v>
      </c>
      <c r="T248" s="93">
        <f t="shared" si="123"/>
        <v>0</v>
      </c>
      <c r="U248" s="95">
        <f t="shared" si="194"/>
        <v>0</v>
      </c>
      <c r="V248" s="94"/>
      <c r="X248" s="580" t="str">
        <f t="shared" si="161"/>
        <v/>
      </c>
      <c r="Y248" s="580" t="str">
        <f t="shared" si="157"/>
        <v/>
      </c>
      <c r="Z248" s="580" t="str">
        <f t="shared" si="160"/>
        <v/>
      </c>
      <c r="AC248" s="63"/>
    </row>
    <row r="249" spans="1:29" ht="13.5" hidden="1" thickBot="1" x14ac:dyDescent="0.25">
      <c r="A249" s="1008">
        <v>534908</v>
      </c>
      <c r="B249" s="1010" t="s">
        <v>238</v>
      </c>
      <c r="C249" s="978" t="s">
        <v>212</v>
      </c>
      <c r="D249" s="595" t="s">
        <v>1103</v>
      </c>
      <c r="E249" s="596"/>
      <c r="F249" s="671">
        <v>20</v>
      </c>
      <c r="G249" s="597">
        <v>0.22</v>
      </c>
      <c r="H249" s="661">
        <f t="shared" si="195"/>
        <v>3.399</v>
      </c>
      <c r="I249" s="592">
        <v>69.61</v>
      </c>
      <c r="J249" s="592">
        <f t="shared" si="196"/>
        <v>73.009</v>
      </c>
      <c r="K249" s="593">
        <f t="shared" si="197"/>
        <v>88.86</v>
      </c>
      <c r="L249" s="594" t="s">
        <v>18</v>
      </c>
      <c r="M249" s="92"/>
      <c r="N249" s="92"/>
      <c r="O249" s="93">
        <f t="shared" si="120"/>
        <v>0</v>
      </c>
      <c r="P249" s="93">
        <f t="shared" si="124"/>
        <v>0</v>
      </c>
      <c r="Q249" s="94"/>
      <c r="R249" s="92">
        <f t="shared" si="192"/>
        <v>0</v>
      </c>
      <c r="S249" s="92">
        <f t="shared" si="193"/>
        <v>0</v>
      </c>
      <c r="T249" s="93">
        <f t="shared" si="123"/>
        <v>0</v>
      </c>
      <c r="U249" s="95">
        <f t="shared" si="194"/>
        <v>0</v>
      </c>
      <c r="V249" s="94"/>
      <c r="X249" s="580" t="str">
        <f t="shared" si="161"/>
        <v/>
      </c>
      <c r="Y249" s="580" t="str">
        <f t="shared" si="157"/>
        <v/>
      </c>
      <c r="Z249" s="580" t="str">
        <f t="shared" si="160"/>
        <v/>
      </c>
    </row>
    <row r="250" spans="1:29" ht="13.5" hidden="1" thickBot="1" x14ac:dyDescent="0.25">
      <c r="A250" s="1008">
        <v>101090</v>
      </c>
      <c r="B250" s="1063" t="s">
        <v>1983</v>
      </c>
      <c r="C250" s="978" t="s">
        <v>883</v>
      </c>
      <c r="D250" s="640" t="s">
        <v>1824</v>
      </c>
      <c r="E250" s="641"/>
      <c r="F250" s="659">
        <v>20</v>
      </c>
      <c r="G250" s="660">
        <v>0.3</v>
      </c>
      <c r="H250" s="661">
        <f t="shared" si="195"/>
        <v>4.6349999999999998</v>
      </c>
      <c r="I250" s="643">
        <v>120.01</v>
      </c>
      <c r="J250" s="643">
        <f>IF(ISBLANK(I250),"",SUM(H250:I250))</f>
        <v>124.64500000000001</v>
      </c>
      <c r="K250" s="644">
        <f t="shared" si="197"/>
        <v>151.71</v>
      </c>
      <c r="L250" s="645" t="s">
        <v>18</v>
      </c>
      <c r="M250" s="983"/>
      <c r="N250" s="984"/>
      <c r="O250" s="627">
        <f t="shared" si="120"/>
        <v>0</v>
      </c>
      <c r="P250" s="627">
        <f t="shared" si="124"/>
        <v>0</v>
      </c>
      <c r="Q250" s="94"/>
      <c r="R250" s="662">
        <f t="shared" si="192"/>
        <v>0</v>
      </c>
      <c r="S250" s="662">
        <f t="shared" si="193"/>
        <v>0</v>
      </c>
      <c r="T250" s="627">
        <f t="shared" si="123"/>
        <v>0</v>
      </c>
      <c r="U250" s="628">
        <f t="shared" si="194"/>
        <v>0</v>
      </c>
      <c r="V250" s="94"/>
      <c r="X250" s="580" t="str">
        <f t="shared" si="161"/>
        <v/>
      </c>
      <c r="Y250" s="580" t="str">
        <f t="shared" si="157"/>
        <v/>
      </c>
      <c r="Z250" s="580" t="str">
        <f t="shared" si="160"/>
        <v/>
      </c>
    </row>
    <row r="251" spans="1:29" ht="13.5" hidden="1" thickBot="1" x14ac:dyDescent="0.25">
      <c r="A251" s="1008">
        <v>562100</v>
      </c>
      <c r="B251" s="1064" t="s">
        <v>1995</v>
      </c>
      <c r="C251" s="1065" t="s">
        <v>212</v>
      </c>
      <c r="D251" s="646" t="s">
        <v>823</v>
      </c>
      <c r="E251" s="647"/>
      <c r="F251" s="991" t="s">
        <v>824</v>
      </c>
      <c r="G251" s="992">
        <v>1.5E-3</v>
      </c>
      <c r="H251" s="993">
        <f>SUM(H252:H254)</f>
        <v>0.332403</v>
      </c>
      <c r="I251" s="648">
        <v>2.0500000000000003</v>
      </c>
      <c r="J251" s="1041">
        <f t="shared" ref="J251:J349" si="198">IF(ISBLANK(I251),"",SUM(H251:I251))</f>
        <v>2.382403</v>
      </c>
      <c r="K251" s="649">
        <f t="shared" si="197"/>
        <v>2.9</v>
      </c>
      <c r="L251" s="650" t="s">
        <v>18</v>
      </c>
      <c r="M251" s="1045"/>
      <c r="N251" s="1046"/>
      <c r="O251" s="1066">
        <f t="shared" si="120"/>
        <v>0</v>
      </c>
      <c r="P251" s="1067">
        <f t="shared" si="124"/>
        <v>0</v>
      </c>
      <c r="Q251" s="1038"/>
      <c r="R251" s="1045">
        <f t="shared" si="192"/>
        <v>0</v>
      </c>
      <c r="S251" s="1046">
        <f t="shared" si="193"/>
        <v>0</v>
      </c>
      <c r="T251" s="651">
        <f t="shared" si="123"/>
        <v>0</v>
      </c>
      <c r="U251" s="652">
        <f t="shared" si="194"/>
        <v>0</v>
      </c>
      <c r="V251" s="94"/>
      <c r="X251" s="580" t="str">
        <f t="shared" si="161"/>
        <v/>
      </c>
      <c r="Y251" s="580" t="str">
        <f t="shared" si="157"/>
        <v/>
      </c>
      <c r="Z251" s="580" t="str">
        <f t="shared" si="160"/>
        <v/>
      </c>
    </row>
    <row r="252" spans="1:29" ht="13.5" hidden="1" thickBot="1" x14ac:dyDescent="0.25">
      <c r="A252" s="97" t="s">
        <v>165</v>
      </c>
      <c r="B252" s="1031" t="s">
        <v>165</v>
      </c>
      <c r="C252" s="978"/>
      <c r="D252" s="663" t="s">
        <v>257</v>
      </c>
      <c r="E252" s="596"/>
      <c r="F252" s="994">
        <v>180</v>
      </c>
      <c r="G252" s="995" t="s">
        <v>84</v>
      </c>
      <c r="H252" s="996">
        <f t="shared" ref="H252:H254" si="199">IF(F252&lt;=30,(0.7*F252+1.45)*G252,((0.7*30+1.45)+0.58*(F252-30))*G252)</f>
        <v>0.27362500000000001</v>
      </c>
      <c r="I252" s="592"/>
      <c r="J252" s="1030"/>
      <c r="K252" s="593">
        <f t="shared" si="197"/>
        <v>0</v>
      </c>
      <c r="L252" s="594" t="s">
        <v>783</v>
      </c>
      <c r="M252" s="1068"/>
      <c r="N252" s="1069"/>
      <c r="O252" s="1070">
        <f t="shared" si="120"/>
        <v>0</v>
      </c>
      <c r="P252" s="1071">
        <f t="shared" si="124"/>
        <v>0</v>
      </c>
      <c r="Q252" s="1038"/>
      <c r="R252" s="1068"/>
      <c r="S252" s="1069"/>
      <c r="T252" s="93">
        <f t="shared" si="123"/>
        <v>0</v>
      </c>
      <c r="U252" s="95">
        <f t="shared" si="194"/>
        <v>0</v>
      </c>
      <c r="V252" s="94"/>
      <c r="W252" s="579" t="str">
        <f>IF(U251&gt;0,"xx",IF(P251&gt;0,"xy",""))</f>
        <v/>
      </c>
      <c r="X252" s="580" t="str">
        <f t="shared" si="161"/>
        <v/>
      </c>
      <c r="Y252" s="580" t="str">
        <f t="shared" si="157"/>
        <v/>
      </c>
      <c r="Z252" s="580" t="str">
        <f t="shared" si="160"/>
        <v/>
      </c>
    </row>
    <row r="253" spans="1:29" ht="13.5" hidden="1" thickBot="1" x14ac:dyDescent="0.25">
      <c r="A253" s="97" t="s">
        <v>165</v>
      </c>
      <c r="B253" s="1031" t="s">
        <v>165</v>
      </c>
      <c r="C253" s="978"/>
      <c r="D253" s="663" t="s">
        <v>258</v>
      </c>
      <c r="E253" s="596"/>
      <c r="F253" s="994">
        <v>500</v>
      </c>
      <c r="G253" s="995" t="s">
        <v>85</v>
      </c>
      <c r="H253" s="979">
        <f>IF(F253&lt;=30,(0.51*F253+4.28)*G253,((0.51*30+4.28)+0.42*(F253-30))*G253)</f>
        <v>2.1698000000000002E-2</v>
      </c>
      <c r="I253" s="592"/>
      <c r="J253" s="1030"/>
      <c r="K253" s="593">
        <f t="shared" si="197"/>
        <v>0</v>
      </c>
      <c r="L253" s="594" t="s">
        <v>783</v>
      </c>
      <c r="M253" s="1068"/>
      <c r="N253" s="1069"/>
      <c r="O253" s="1070">
        <f t="shared" si="120"/>
        <v>0</v>
      </c>
      <c r="P253" s="1071">
        <f t="shared" si="124"/>
        <v>0</v>
      </c>
      <c r="Q253" s="1038"/>
      <c r="R253" s="1068"/>
      <c r="S253" s="1069"/>
      <c r="T253" s="93">
        <f t="shared" si="123"/>
        <v>0</v>
      </c>
      <c r="U253" s="95">
        <f t="shared" si="194"/>
        <v>0</v>
      </c>
      <c r="V253" s="94"/>
      <c r="W253" s="579" t="str">
        <f>IF(U251&gt;0,"xx",IF(P251&gt;0,"xy",""))</f>
        <v/>
      </c>
      <c r="X253" s="580" t="str">
        <f t="shared" si="161"/>
        <v/>
      </c>
      <c r="Y253" s="580" t="str">
        <f t="shared" si="157"/>
        <v/>
      </c>
      <c r="Z253" s="580" t="str">
        <f t="shared" si="160"/>
        <v/>
      </c>
    </row>
    <row r="254" spans="1:29" ht="13.5" hidden="1" thickBot="1" x14ac:dyDescent="0.25">
      <c r="A254" s="97" t="s">
        <v>165</v>
      </c>
      <c r="B254" s="1031" t="s">
        <v>165</v>
      </c>
      <c r="C254" s="978"/>
      <c r="D254" s="663" t="s">
        <v>259</v>
      </c>
      <c r="E254" s="596"/>
      <c r="F254" s="994">
        <v>20</v>
      </c>
      <c r="G254" s="997" t="s">
        <v>86</v>
      </c>
      <c r="H254" s="996">
        <f t="shared" si="199"/>
        <v>3.7079999999999995E-2</v>
      </c>
      <c r="I254" s="592"/>
      <c r="J254" s="1030"/>
      <c r="K254" s="593">
        <f t="shared" si="197"/>
        <v>0</v>
      </c>
      <c r="L254" s="594" t="s">
        <v>783</v>
      </c>
      <c r="M254" s="1068"/>
      <c r="N254" s="1069"/>
      <c r="O254" s="1070">
        <f t="shared" si="120"/>
        <v>0</v>
      </c>
      <c r="P254" s="1071">
        <f t="shared" si="124"/>
        <v>0</v>
      </c>
      <c r="Q254" s="1038"/>
      <c r="R254" s="1068"/>
      <c r="S254" s="1069"/>
      <c r="T254" s="93">
        <f t="shared" ref="T254" si="200">IF(ISBLANK(R254),0,ROUND(K254*R254,2))</f>
        <v>0</v>
      </c>
      <c r="U254" s="95">
        <f t="shared" ref="U254" si="201">IF(ISBLANK(R254),0,ROUND(R254*S254,2))</f>
        <v>0</v>
      </c>
      <c r="V254" s="94"/>
      <c r="W254" s="579" t="str">
        <f>IF(U251&gt;0,"xx",IF(P251&gt;0,"xy",""))</f>
        <v/>
      </c>
      <c r="X254" s="580" t="str">
        <f t="shared" ref="X254" si="202">IF(W254="X","x",IF(W254="xx","x",IF(W254="xy","x",IF(W254="y","x",IF(OR(P254&gt;0,U254&gt;0),"x","")))))</f>
        <v/>
      </c>
      <c r="Y254" s="580" t="str">
        <f t="shared" ref="Y254" si="203">IF(W254="X","x",IF(W254="y","x",IF(W254="xx","x",IF(U254&gt;0,"x",""))))</f>
        <v/>
      </c>
      <c r="Z254" s="580" t="str">
        <f t="shared" ref="Z254" si="204">IF(W254="X","x",IF(U254&gt;0,"x",""))</f>
        <v/>
      </c>
    </row>
    <row r="255" spans="1:29" ht="13.5" hidden="1" thickBot="1" x14ac:dyDescent="0.25">
      <c r="A255" s="1008">
        <v>589170</v>
      </c>
      <c r="B255" s="1004" t="s">
        <v>2031</v>
      </c>
      <c r="C255" s="1048" t="s">
        <v>241</v>
      </c>
      <c r="D255" s="664" t="s">
        <v>822</v>
      </c>
      <c r="E255" s="653"/>
      <c r="F255" s="998">
        <v>500</v>
      </c>
      <c r="G255" s="999">
        <v>1</v>
      </c>
      <c r="H255" s="1000">
        <f>(0.52*F255+25.75)*G255</f>
        <v>285.75</v>
      </c>
      <c r="I255" s="654">
        <f>LIGANTES!M21</f>
        <v>3857.97</v>
      </c>
      <c r="J255" s="1051">
        <f>IF(ISBLANK(I255),"",I255*(1+$F$9)/(1+$F$10))+H255</f>
        <v>4038.1654843480396</v>
      </c>
      <c r="K255" s="655">
        <f t="shared" si="197"/>
        <v>4914.8500000000004</v>
      </c>
      <c r="L255" s="656" t="s">
        <v>20</v>
      </c>
      <c r="M255" s="1052">
        <f>ROUND(M251*G251,2)</f>
        <v>0</v>
      </c>
      <c r="N255" s="1072"/>
      <c r="O255" s="1054">
        <f t="shared" si="120"/>
        <v>0</v>
      </c>
      <c r="P255" s="1055">
        <f t="shared" si="124"/>
        <v>0</v>
      </c>
      <c r="Q255" s="1038"/>
      <c r="R255" s="1056">
        <f>ROUND(R251*G251,2)</f>
        <v>0</v>
      </c>
      <c r="S255" s="1073">
        <f t="shared" si="193"/>
        <v>0</v>
      </c>
      <c r="T255" s="657">
        <f t="shared" si="123"/>
        <v>0</v>
      </c>
      <c r="U255" s="658">
        <f t="shared" si="194"/>
        <v>0</v>
      </c>
      <c r="V255" s="94"/>
      <c r="W255" s="579" t="str">
        <f>IF(U251&gt;0,"xx",IF(P251&gt;0,"xy",""))</f>
        <v/>
      </c>
      <c r="X255" s="580" t="str">
        <f t="shared" si="161"/>
        <v/>
      </c>
      <c r="Y255" s="580" t="str">
        <f t="shared" si="157"/>
        <v/>
      </c>
      <c r="Z255" s="580" t="str">
        <f t="shared" si="160"/>
        <v/>
      </c>
    </row>
    <row r="256" spans="1:29" ht="13.5" hidden="1" thickBot="1" x14ac:dyDescent="0.25">
      <c r="A256" s="1008">
        <v>562100</v>
      </c>
      <c r="B256" s="1064" t="s">
        <v>1996</v>
      </c>
      <c r="C256" s="1065" t="s">
        <v>212</v>
      </c>
      <c r="D256" s="646" t="s">
        <v>829</v>
      </c>
      <c r="E256" s="647"/>
      <c r="F256" s="991" t="s">
        <v>824</v>
      </c>
      <c r="G256" s="992">
        <v>1.8E-3</v>
      </c>
      <c r="H256" s="993">
        <f>SUM(H257:H259)</f>
        <v>0.49638599999999999</v>
      </c>
      <c r="I256" s="648">
        <v>2.0500000000000003</v>
      </c>
      <c r="J256" s="1041">
        <f t="shared" si="198"/>
        <v>2.546386</v>
      </c>
      <c r="K256" s="649">
        <f t="shared" si="197"/>
        <v>3.1</v>
      </c>
      <c r="L256" s="650" t="s">
        <v>18</v>
      </c>
      <c r="M256" s="1045"/>
      <c r="N256" s="1046"/>
      <c r="O256" s="1066">
        <f t="shared" si="120"/>
        <v>0</v>
      </c>
      <c r="P256" s="1067">
        <f t="shared" si="124"/>
        <v>0</v>
      </c>
      <c r="Q256" s="1038"/>
      <c r="R256" s="1045">
        <f t="shared" si="192"/>
        <v>0</v>
      </c>
      <c r="S256" s="1046">
        <f t="shared" si="193"/>
        <v>0</v>
      </c>
      <c r="T256" s="651">
        <f t="shared" si="123"/>
        <v>0</v>
      </c>
      <c r="U256" s="652">
        <f t="shared" si="194"/>
        <v>0</v>
      </c>
      <c r="V256" s="94"/>
      <c r="X256" s="580" t="str">
        <f t="shared" si="161"/>
        <v/>
      </c>
      <c r="Y256" s="580" t="str">
        <f t="shared" si="157"/>
        <v/>
      </c>
      <c r="Z256" s="580" t="str">
        <f t="shared" si="160"/>
        <v/>
      </c>
    </row>
    <row r="257" spans="1:26" ht="13.5" hidden="1" thickBot="1" x14ac:dyDescent="0.25">
      <c r="A257" s="97" t="s">
        <v>165</v>
      </c>
      <c r="B257" s="1031" t="s">
        <v>165</v>
      </c>
      <c r="C257" s="978"/>
      <c r="D257" s="663" t="s">
        <v>257</v>
      </c>
      <c r="E257" s="596"/>
      <c r="F257" s="994">
        <v>180</v>
      </c>
      <c r="G257" s="995" t="s">
        <v>87</v>
      </c>
      <c r="H257" s="996">
        <f t="shared" ref="H257:H259" si="205">IF(F257&lt;=30,(0.7*F257+1.45)*G257,((0.7*30+1.45)+0.58*(F257-30))*G257)</f>
        <v>0.41591</v>
      </c>
      <c r="I257" s="592"/>
      <c r="J257" s="1030"/>
      <c r="K257" s="593">
        <f t="shared" si="197"/>
        <v>0</v>
      </c>
      <c r="L257" s="594" t="s">
        <v>783</v>
      </c>
      <c r="M257" s="1068"/>
      <c r="N257" s="1069"/>
      <c r="O257" s="1070">
        <f t="shared" si="120"/>
        <v>0</v>
      </c>
      <c r="P257" s="1071">
        <f t="shared" si="124"/>
        <v>0</v>
      </c>
      <c r="Q257" s="1038"/>
      <c r="R257" s="1068"/>
      <c r="S257" s="1069"/>
      <c r="T257" s="93">
        <f t="shared" si="123"/>
        <v>0</v>
      </c>
      <c r="U257" s="95">
        <f t="shared" ref="U257:U288" si="206">IF(ISBLANK(R257),0,ROUND(R257*S257,2))</f>
        <v>0</v>
      </c>
      <c r="V257" s="94"/>
      <c r="W257" s="579" t="str">
        <f>IF(U256&gt;0,"xx",IF(P256&gt;0,"xy",""))</f>
        <v/>
      </c>
      <c r="X257" s="580" t="str">
        <f t="shared" si="161"/>
        <v/>
      </c>
      <c r="Y257" s="580" t="str">
        <f t="shared" si="157"/>
        <v/>
      </c>
      <c r="Z257" s="580" t="str">
        <f t="shared" si="160"/>
        <v/>
      </c>
    </row>
    <row r="258" spans="1:26" ht="13.5" hidden="1" thickBot="1" x14ac:dyDescent="0.25">
      <c r="A258" s="97" t="s">
        <v>165</v>
      </c>
      <c r="B258" s="1031" t="s">
        <v>165</v>
      </c>
      <c r="C258" s="978"/>
      <c r="D258" s="663" t="s">
        <v>258</v>
      </c>
      <c r="E258" s="596"/>
      <c r="F258" s="994">
        <v>500</v>
      </c>
      <c r="G258" s="995" t="s">
        <v>88</v>
      </c>
      <c r="H258" s="979">
        <f>IF(F258&lt;=30,(0.51*F258+4.28)*G258,((0.51*30+4.28)+0.42*(F258-30))*G258)</f>
        <v>4.3396000000000004E-2</v>
      </c>
      <c r="I258" s="592"/>
      <c r="J258" s="1030"/>
      <c r="K258" s="593">
        <f t="shared" si="197"/>
        <v>0</v>
      </c>
      <c r="L258" s="594" t="s">
        <v>783</v>
      </c>
      <c r="M258" s="1068"/>
      <c r="N258" s="1069"/>
      <c r="O258" s="1070">
        <f t="shared" si="120"/>
        <v>0</v>
      </c>
      <c r="P258" s="1071">
        <f t="shared" si="124"/>
        <v>0</v>
      </c>
      <c r="Q258" s="1038"/>
      <c r="R258" s="1068"/>
      <c r="S258" s="1069"/>
      <c r="T258" s="93">
        <f t="shared" si="123"/>
        <v>0</v>
      </c>
      <c r="U258" s="95">
        <f t="shared" si="206"/>
        <v>0</v>
      </c>
      <c r="V258" s="94"/>
      <c r="W258" s="579" t="str">
        <f>IF(U256&gt;0,"xx",IF(P256&gt;0,"xy",""))</f>
        <v/>
      </c>
      <c r="X258" s="580" t="str">
        <f t="shared" si="161"/>
        <v/>
      </c>
      <c r="Y258" s="580" t="str">
        <f t="shared" si="157"/>
        <v/>
      </c>
      <c r="Z258" s="580" t="str">
        <f t="shared" si="160"/>
        <v/>
      </c>
    </row>
    <row r="259" spans="1:26" ht="13.5" hidden="1" thickBot="1" x14ac:dyDescent="0.25">
      <c r="A259" s="97" t="s">
        <v>165</v>
      </c>
      <c r="B259" s="1031" t="s">
        <v>165</v>
      </c>
      <c r="C259" s="978"/>
      <c r="D259" s="631" t="s">
        <v>259</v>
      </c>
      <c r="E259" s="596"/>
      <c r="F259" s="994">
        <v>20</v>
      </c>
      <c r="G259" s="997" t="s">
        <v>86</v>
      </c>
      <c r="H259" s="996">
        <f t="shared" si="205"/>
        <v>3.7079999999999995E-2</v>
      </c>
      <c r="I259" s="592"/>
      <c r="J259" s="1030"/>
      <c r="K259" s="593">
        <f t="shared" si="197"/>
        <v>0</v>
      </c>
      <c r="L259" s="594" t="s">
        <v>783</v>
      </c>
      <c r="M259" s="1068"/>
      <c r="N259" s="1069"/>
      <c r="O259" s="1070">
        <f t="shared" si="120"/>
        <v>0</v>
      </c>
      <c r="P259" s="1071">
        <f t="shared" si="124"/>
        <v>0</v>
      </c>
      <c r="Q259" s="1038"/>
      <c r="R259" s="1068"/>
      <c r="S259" s="1069"/>
      <c r="T259" s="93">
        <f t="shared" ref="T259" si="207">IF(ISBLANK(R259),0,ROUND(K259*R259,2))</f>
        <v>0</v>
      </c>
      <c r="U259" s="95">
        <f t="shared" ref="U259" si="208">IF(ISBLANK(R259),0,ROUND(R259*S259,2))</f>
        <v>0</v>
      </c>
      <c r="V259" s="94"/>
      <c r="W259" s="579" t="str">
        <f>IF(U256&gt;0,"xx",IF(P256&gt;0,"xy",""))</f>
        <v/>
      </c>
      <c r="X259" s="580" t="str">
        <f t="shared" ref="X259" si="209">IF(W259="X","x",IF(W259="xx","x",IF(W259="xy","x",IF(W259="y","x",IF(OR(P259&gt;0,U259&gt;0),"x","")))))</f>
        <v/>
      </c>
      <c r="Y259" s="580" t="str">
        <f t="shared" ref="Y259" si="210">IF(W259="X","x",IF(W259="y","x",IF(W259="xx","x",IF(U259&gt;0,"x",""))))</f>
        <v/>
      </c>
      <c r="Z259" s="580" t="str">
        <f t="shared" ref="Z259" si="211">IF(W259="X","x",IF(U259&gt;0,"x",""))</f>
        <v/>
      </c>
    </row>
    <row r="260" spans="1:26" ht="13.5" hidden="1" thickBot="1" x14ac:dyDescent="0.25">
      <c r="A260" s="1008">
        <v>589170</v>
      </c>
      <c r="B260" s="1009" t="s">
        <v>2032</v>
      </c>
      <c r="C260" s="1048" t="s">
        <v>241</v>
      </c>
      <c r="D260" s="665" t="s">
        <v>825</v>
      </c>
      <c r="E260" s="666"/>
      <c r="F260" s="998">
        <v>500</v>
      </c>
      <c r="G260" s="999">
        <v>1</v>
      </c>
      <c r="H260" s="1000">
        <f>(0.52*F260+25.75)*G260</f>
        <v>285.75</v>
      </c>
      <c r="I260" s="584">
        <f>LIGANTES!M21</f>
        <v>3857.97</v>
      </c>
      <c r="J260" s="1051">
        <f>IF(ISBLANK(I260),"",I260*(1+$F$9)/(1+$F$10))+H260</f>
        <v>4038.1654843480396</v>
      </c>
      <c r="K260" s="585">
        <f t="shared" si="197"/>
        <v>4914.8500000000004</v>
      </c>
      <c r="L260" s="656" t="s">
        <v>20</v>
      </c>
      <c r="M260" s="1052">
        <f>ROUND(M256*G256,2)</f>
        <v>0</v>
      </c>
      <c r="N260" s="1072"/>
      <c r="O260" s="1054">
        <f t="shared" si="120"/>
        <v>0</v>
      </c>
      <c r="P260" s="1055">
        <f t="shared" si="124"/>
        <v>0</v>
      </c>
      <c r="Q260" s="1038"/>
      <c r="R260" s="1056">
        <f>ROUND(R256*G256,2)</f>
        <v>0</v>
      </c>
      <c r="S260" s="1073">
        <f t="shared" si="193"/>
        <v>0</v>
      </c>
      <c r="T260" s="657">
        <f t="shared" si="123"/>
        <v>0</v>
      </c>
      <c r="U260" s="658">
        <f t="shared" si="206"/>
        <v>0</v>
      </c>
      <c r="V260" s="94"/>
      <c r="W260" s="579" t="str">
        <f>IF(U256&gt;0,"xx",IF(P256&gt;0,"xy",""))</f>
        <v/>
      </c>
      <c r="X260" s="580" t="str">
        <f t="shared" si="161"/>
        <v/>
      </c>
      <c r="Y260" s="580" t="str">
        <f t="shared" si="157"/>
        <v/>
      </c>
      <c r="Z260" s="580" t="str">
        <f t="shared" si="160"/>
        <v/>
      </c>
    </row>
    <row r="261" spans="1:26" ht="13.5" hidden="1" thickBot="1" x14ac:dyDescent="0.25">
      <c r="A261" s="1008">
        <v>562200</v>
      </c>
      <c r="B261" s="1064" t="s">
        <v>1997</v>
      </c>
      <c r="C261" s="1065" t="s">
        <v>212</v>
      </c>
      <c r="D261" s="646" t="s">
        <v>830</v>
      </c>
      <c r="E261" s="647"/>
      <c r="F261" s="991" t="s">
        <v>824</v>
      </c>
      <c r="G261" s="992">
        <v>2E-3</v>
      </c>
      <c r="H261" s="993">
        <f>SUM(H262:H264)</f>
        <v>0.78842100000000004</v>
      </c>
      <c r="I261" s="648">
        <v>2.7700000000000005</v>
      </c>
      <c r="J261" s="1041">
        <f t="shared" si="198"/>
        <v>3.5584210000000005</v>
      </c>
      <c r="K261" s="649">
        <f t="shared" si="197"/>
        <v>4.33</v>
      </c>
      <c r="L261" s="650" t="s">
        <v>18</v>
      </c>
      <c r="M261" s="1045"/>
      <c r="N261" s="1046"/>
      <c r="O261" s="1066">
        <f t="shared" si="120"/>
        <v>0</v>
      </c>
      <c r="P261" s="1067">
        <f t="shared" si="124"/>
        <v>0</v>
      </c>
      <c r="Q261" s="1038"/>
      <c r="R261" s="1045">
        <f t="shared" si="192"/>
        <v>0</v>
      </c>
      <c r="S261" s="1046">
        <f t="shared" si="193"/>
        <v>0</v>
      </c>
      <c r="T261" s="651">
        <f t="shared" si="123"/>
        <v>0</v>
      </c>
      <c r="U261" s="652">
        <f t="shared" si="206"/>
        <v>0</v>
      </c>
      <c r="V261" s="94"/>
      <c r="X261" s="580" t="str">
        <f t="shared" si="161"/>
        <v/>
      </c>
      <c r="Y261" s="580" t="str">
        <f t="shared" si="157"/>
        <v/>
      </c>
      <c r="Z261" s="580" t="str">
        <f t="shared" si="160"/>
        <v/>
      </c>
    </row>
    <row r="262" spans="1:26" ht="13.5" hidden="1" thickBot="1" x14ac:dyDescent="0.25">
      <c r="A262" s="97" t="s">
        <v>165</v>
      </c>
      <c r="B262" s="1031" t="s">
        <v>165</v>
      </c>
      <c r="C262" s="978"/>
      <c r="D262" s="663" t="s">
        <v>257</v>
      </c>
      <c r="E262" s="596"/>
      <c r="F262" s="994">
        <v>180</v>
      </c>
      <c r="G262" s="995" t="s">
        <v>89</v>
      </c>
      <c r="H262" s="996">
        <f t="shared" ref="H262:H264" si="212">IF(F262&lt;=30,(0.7*F262+1.45)*G262,((0.7*30+1.45)+0.58*(F262-30))*G262)</f>
        <v>0.67859000000000003</v>
      </c>
      <c r="I262" s="592"/>
      <c r="J262" s="1030"/>
      <c r="K262" s="593">
        <f t="shared" si="197"/>
        <v>0</v>
      </c>
      <c r="L262" s="594"/>
      <c r="M262" s="1068"/>
      <c r="N262" s="1069"/>
      <c r="O262" s="1070">
        <f t="shared" ref="O262:O325" si="213">IF(ISBLANK(M262),0,ROUND(K262*M262,2))</f>
        <v>0</v>
      </c>
      <c r="P262" s="1071">
        <f t="shared" si="124"/>
        <v>0</v>
      </c>
      <c r="Q262" s="1038"/>
      <c r="R262" s="1068"/>
      <c r="S262" s="1069"/>
      <c r="T262" s="93">
        <f t="shared" ref="T262:T390" si="214">IF(ISBLANK(R262),0,ROUND(K262*R262,2))</f>
        <v>0</v>
      </c>
      <c r="U262" s="95">
        <f t="shared" si="206"/>
        <v>0</v>
      </c>
      <c r="V262" s="94"/>
      <c r="W262" s="579" t="str">
        <f>IF(U261&gt;0,"xx",IF(P261&gt;0,"xy",""))</f>
        <v/>
      </c>
      <c r="X262" s="580" t="str">
        <f t="shared" si="161"/>
        <v/>
      </c>
      <c r="Y262" s="580" t="str">
        <f t="shared" si="157"/>
        <v/>
      </c>
      <c r="Z262" s="580" t="str">
        <f t="shared" si="160"/>
        <v/>
      </c>
    </row>
    <row r="263" spans="1:26" ht="13.5" hidden="1" thickBot="1" x14ac:dyDescent="0.25">
      <c r="A263" s="97" t="s">
        <v>165</v>
      </c>
      <c r="B263" s="1031" t="s">
        <v>165</v>
      </c>
      <c r="C263" s="978"/>
      <c r="D263" s="663" t="s">
        <v>258</v>
      </c>
      <c r="E263" s="596"/>
      <c r="F263" s="994">
        <v>500</v>
      </c>
      <c r="G263" s="995" t="s">
        <v>88</v>
      </c>
      <c r="H263" s="979">
        <f>IF(F263&lt;=30,(0.51*F263+4.28)*G263,((0.51*30+4.28)+0.42*(F263-30))*G263)</f>
        <v>4.3396000000000004E-2</v>
      </c>
      <c r="I263" s="592"/>
      <c r="J263" s="1030"/>
      <c r="K263" s="593">
        <f t="shared" si="197"/>
        <v>0</v>
      </c>
      <c r="L263" s="594" t="s">
        <v>783</v>
      </c>
      <c r="M263" s="1068"/>
      <c r="N263" s="1069"/>
      <c r="O263" s="1070">
        <f t="shared" si="213"/>
        <v>0</v>
      </c>
      <c r="P263" s="1071"/>
      <c r="Q263" s="1038"/>
      <c r="R263" s="1068"/>
      <c r="S263" s="1069"/>
      <c r="T263" s="93">
        <f t="shared" si="214"/>
        <v>0</v>
      </c>
      <c r="U263" s="95">
        <f t="shared" si="206"/>
        <v>0</v>
      </c>
      <c r="V263" s="94"/>
      <c r="W263" s="579" t="str">
        <f>IF(U261&gt;0,"xx",IF(P261&gt;0,"xy",""))</f>
        <v/>
      </c>
      <c r="X263" s="580" t="str">
        <f t="shared" si="161"/>
        <v/>
      </c>
      <c r="Y263" s="580" t="str">
        <f t="shared" si="157"/>
        <v/>
      </c>
      <c r="Z263" s="580" t="str">
        <f t="shared" si="160"/>
        <v/>
      </c>
    </row>
    <row r="264" spans="1:26" ht="13.5" hidden="1" thickBot="1" x14ac:dyDescent="0.25">
      <c r="A264" s="97" t="s">
        <v>165</v>
      </c>
      <c r="B264" s="1031" t="s">
        <v>165</v>
      </c>
      <c r="C264" s="978"/>
      <c r="D264" s="631" t="s">
        <v>259</v>
      </c>
      <c r="E264" s="596"/>
      <c r="F264" s="994">
        <v>20</v>
      </c>
      <c r="G264" s="997" t="s">
        <v>90</v>
      </c>
      <c r="H264" s="996">
        <f t="shared" si="212"/>
        <v>6.6434999999999994E-2</v>
      </c>
      <c r="I264" s="592"/>
      <c r="J264" s="1030"/>
      <c r="K264" s="593">
        <f t="shared" si="197"/>
        <v>0</v>
      </c>
      <c r="L264" s="594" t="s">
        <v>783</v>
      </c>
      <c r="M264" s="1068"/>
      <c r="N264" s="1069"/>
      <c r="O264" s="1070">
        <f t="shared" si="213"/>
        <v>0</v>
      </c>
      <c r="P264" s="1071">
        <f t="shared" ref="P264:P327" si="215">IF(ISBLANK(N264),0,ROUND(M264*N264,2))</f>
        <v>0</v>
      </c>
      <c r="Q264" s="1038"/>
      <c r="R264" s="1068"/>
      <c r="S264" s="1069"/>
      <c r="T264" s="93">
        <f t="shared" ref="T264" si="216">IF(ISBLANK(R264),0,ROUND(K264*R264,2))</f>
        <v>0</v>
      </c>
      <c r="U264" s="95">
        <f t="shared" ref="U264" si="217">IF(ISBLANK(R264),0,ROUND(R264*S264,2))</f>
        <v>0</v>
      </c>
      <c r="V264" s="94"/>
      <c r="W264" s="579" t="str">
        <f>IF(U261&gt;0,"xx",IF(P261&gt;0,"xy",""))</f>
        <v/>
      </c>
      <c r="X264" s="580" t="str">
        <f t="shared" ref="X264" si="218">IF(W264="X","x",IF(W264="xx","x",IF(W264="xy","x",IF(W264="y","x",IF(OR(P264&gt;0,U264&gt;0),"x","")))))</f>
        <v/>
      </c>
      <c r="Y264" s="580" t="str">
        <f t="shared" ref="Y264" si="219">IF(W264="X","x",IF(W264="y","x",IF(W264="xx","x",IF(U264&gt;0,"x",""))))</f>
        <v/>
      </c>
      <c r="Z264" s="580" t="str">
        <f t="shared" ref="Z264" si="220">IF(W264="X","x",IF(U264&gt;0,"x",""))</f>
        <v/>
      </c>
    </row>
    <row r="265" spans="1:26" ht="13.5" hidden="1" thickBot="1" x14ac:dyDescent="0.25">
      <c r="A265" s="1008">
        <v>589170</v>
      </c>
      <c r="B265" s="1009" t="s">
        <v>2033</v>
      </c>
      <c r="C265" s="1048" t="s">
        <v>241</v>
      </c>
      <c r="D265" s="665" t="s">
        <v>826</v>
      </c>
      <c r="E265" s="666"/>
      <c r="F265" s="998">
        <v>500</v>
      </c>
      <c r="G265" s="999">
        <v>1</v>
      </c>
      <c r="H265" s="1000">
        <f>(0.52*F265+25.75)*G265</f>
        <v>285.75</v>
      </c>
      <c r="I265" s="584">
        <f>LIGANTES!M21</f>
        <v>3857.97</v>
      </c>
      <c r="J265" s="1051">
        <f>IF(ISBLANK(I265),"",I265*(1+$F$9)/(1+$F$10))+H265</f>
        <v>4038.1654843480396</v>
      </c>
      <c r="K265" s="585">
        <f t="shared" si="197"/>
        <v>4914.8500000000004</v>
      </c>
      <c r="L265" s="656" t="s">
        <v>20</v>
      </c>
      <c r="M265" s="1052">
        <f>ROUND(M261*G261,2)</f>
        <v>0</v>
      </c>
      <c r="N265" s="1072"/>
      <c r="O265" s="1054">
        <f t="shared" si="213"/>
        <v>0</v>
      </c>
      <c r="P265" s="1055">
        <f t="shared" si="215"/>
        <v>0</v>
      </c>
      <c r="Q265" s="1038"/>
      <c r="R265" s="1056">
        <f>ROUND(R261*G261,2)</f>
        <v>0</v>
      </c>
      <c r="S265" s="1073">
        <f t="shared" si="193"/>
        <v>0</v>
      </c>
      <c r="T265" s="657">
        <f t="shared" si="214"/>
        <v>0</v>
      </c>
      <c r="U265" s="658">
        <f t="shared" si="206"/>
        <v>0</v>
      </c>
      <c r="V265" s="94"/>
      <c r="W265" s="579" t="str">
        <f>IF(U261&gt;0,"xx",IF(P261&gt;0,"xy",""))</f>
        <v/>
      </c>
      <c r="X265" s="580" t="str">
        <f t="shared" si="161"/>
        <v/>
      </c>
      <c r="Y265" s="580" t="str">
        <f t="shared" si="157"/>
        <v/>
      </c>
      <c r="Z265" s="580" t="str">
        <f t="shared" si="160"/>
        <v/>
      </c>
    </row>
    <row r="266" spans="1:26" ht="13.5" hidden="1" thickBot="1" x14ac:dyDescent="0.25">
      <c r="A266" s="1008">
        <v>562200</v>
      </c>
      <c r="B266" s="1064" t="s">
        <v>1998</v>
      </c>
      <c r="C266" s="1065" t="s">
        <v>212</v>
      </c>
      <c r="D266" s="646" t="s">
        <v>828</v>
      </c>
      <c r="E266" s="647"/>
      <c r="F266" s="991" t="s">
        <v>824</v>
      </c>
      <c r="G266" s="992">
        <v>2.5999999999999999E-3</v>
      </c>
      <c r="H266" s="993">
        <f>SUM(H267:H269)</f>
        <v>1.5159370000000001</v>
      </c>
      <c r="I266" s="648">
        <v>2.7700000000000005</v>
      </c>
      <c r="J266" s="1041">
        <f t="shared" si="198"/>
        <v>4.2859370000000006</v>
      </c>
      <c r="K266" s="649">
        <f t="shared" si="197"/>
        <v>5.22</v>
      </c>
      <c r="L266" s="650" t="s">
        <v>18</v>
      </c>
      <c r="M266" s="1045"/>
      <c r="N266" s="1046"/>
      <c r="O266" s="1066">
        <f t="shared" si="213"/>
        <v>0</v>
      </c>
      <c r="P266" s="1067">
        <f t="shared" si="215"/>
        <v>0</v>
      </c>
      <c r="Q266" s="1038"/>
      <c r="R266" s="1045">
        <f t="shared" si="192"/>
        <v>0</v>
      </c>
      <c r="S266" s="1046">
        <f t="shared" si="193"/>
        <v>0</v>
      </c>
      <c r="T266" s="651">
        <f t="shared" si="214"/>
        <v>0</v>
      </c>
      <c r="U266" s="652">
        <f t="shared" si="206"/>
        <v>0</v>
      </c>
      <c r="V266" s="94"/>
      <c r="X266" s="580" t="str">
        <f t="shared" si="161"/>
        <v/>
      </c>
      <c r="Y266" s="580" t="str">
        <f t="shared" ref="Y266:Y390" si="221">IF(W266="X","x",IF(W266="y","x",IF(W266="xx","x",IF(U266&gt;0,"x",""))))</f>
        <v/>
      </c>
      <c r="Z266" s="580" t="str">
        <f t="shared" si="160"/>
        <v/>
      </c>
    </row>
    <row r="267" spans="1:26" ht="13.5" hidden="1" thickBot="1" x14ac:dyDescent="0.25">
      <c r="A267" s="97" t="s">
        <v>165</v>
      </c>
      <c r="B267" s="1031" t="s">
        <v>165</v>
      </c>
      <c r="C267" s="978"/>
      <c r="D267" s="663" t="s">
        <v>257</v>
      </c>
      <c r="E267" s="596"/>
      <c r="F267" s="994">
        <v>180</v>
      </c>
      <c r="G267" s="995" t="s">
        <v>91</v>
      </c>
      <c r="H267" s="996">
        <f t="shared" ref="H267:H269" si="222">IF(F267&lt;=30,(0.7*F267+1.45)*G267,((0.7*30+1.45)+0.58*(F267-30))*G267)</f>
        <v>1.3024550000000001</v>
      </c>
      <c r="I267" s="592"/>
      <c r="J267" s="1030"/>
      <c r="K267" s="593">
        <f t="shared" si="197"/>
        <v>0</v>
      </c>
      <c r="L267" s="594" t="s">
        <v>783</v>
      </c>
      <c r="M267" s="1068"/>
      <c r="N267" s="1069"/>
      <c r="O267" s="1070">
        <f t="shared" si="213"/>
        <v>0</v>
      </c>
      <c r="P267" s="1071">
        <f t="shared" si="215"/>
        <v>0</v>
      </c>
      <c r="Q267" s="1038"/>
      <c r="R267" s="1068"/>
      <c r="S267" s="1069"/>
      <c r="T267" s="93">
        <f t="shared" si="214"/>
        <v>0</v>
      </c>
      <c r="U267" s="95">
        <f t="shared" si="206"/>
        <v>0</v>
      </c>
      <c r="V267" s="94"/>
      <c r="W267" s="579" t="str">
        <f>IF(U266&gt;0,"xx",IF(P266&gt;0,"xy",""))</f>
        <v/>
      </c>
      <c r="X267" s="580" t="str">
        <f t="shared" si="161"/>
        <v/>
      </c>
      <c r="Y267" s="580" t="str">
        <f t="shared" si="221"/>
        <v/>
      </c>
      <c r="Z267" s="580" t="str">
        <f t="shared" si="160"/>
        <v/>
      </c>
    </row>
    <row r="268" spans="1:26" ht="13.5" hidden="1" thickBot="1" x14ac:dyDescent="0.25">
      <c r="A268" s="97" t="s">
        <v>165</v>
      </c>
      <c r="B268" s="1031" t="s">
        <v>165</v>
      </c>
      <c r="C268" s="978"/>
      <c r="D268" s="663" t="s">
        <v>258</v>
      </c>
      <c r="E268" s="596"/>
      <c r="F268" s="994">
        <v>500</v>
      </c>
      <c r="G268" s="995" t="s">
        <v>92</v>
      </c>
      <c r="H268" s="979">
        <f>IF(F268&lt;=30,(0.51*F268+4.28)*G268,((0.51*30+4.28)+0.42*(F268-30))*G268)</f>
        <v>8.6792000000000008E-2</v>
      </c>
      <c r="I268" s="592"/>
      <c r="J268" s="1030"/>
      <c r="K268" s="593">
        <f t="shared" si="197"/>
        <v>0</v>
      </c>
      <c r="L268" s="594" t="s">
        <v>783</v>
      </c>
      <c r="M268" s="1068"/>
      <c r="N268" s="1069"/>
      <c r="O268" s="1070">
        <f t="shared" si="213"/>
        <v>0</v>
      </c>
      <c r="P268" s="1071">
        <f t="shared" si="215"/>
        <v>0</v>
      </c>
      <c r="Q268" s="1038"/>
      <c r="R268" s="1068"/>
      <c r="S268" s="1069"/>
      <c r="T268" s="93">
        <f t="shared" si="214"/>
        <v>0</v>
      </c>
      <c r="U268" s="95">
        <f t="shared" si="206"/>
        <v>0</v>
      </c>
      <c r="V268" s="94"/>
      <c r="W268" s="579" t="str">
        <f>IF(U266&gt;0,"xx",IF(P266&gt;0,"xy",""))</f>
        <v/>
      </c>
      <c r="X268" s="580" t="str">
        <f t="shared" si="161"/>
        <v/>
      </c>
      <c r="Y268" s="580" t="str">
        <f t="shared" si="221"/>
        <v/>
      </c>
      <c r="Z268" s="580" t="str">
        <f t="shared" si="160"/>
        <v/>
      </c>
    </row>
    <row r="269" spans="1:26" ht="13.5" hidden="1" thickBot="1" x14ac:dyDescent="0.25">
      <c r="A269" s="97" t="s">
        <v>165</v>
      </c>
      <c r="B269" s="1031" t="s">
        <v>165</v>
      </c>
      <c r="C269" s="978"/>
      <c r="D269" s="631" t="s">
        <v>259</v>
      </c>
      <c r="E269" s="596"/>
      <c r="F269" s="994">
        <v>20</v>
      </c>
      <c r="G269" s="997" t="s">
        <v>93</v>
      </c>
      <c r="H269" s="996">
        <f t="shared" si="222"/>
        <v>0.12669</v>
      </c>
      <c r="I269" s="592"/>
      <c r="J269" s="1030"/>
      <c r="K269" s="593">
        <f t="shared" si="197"/>
        <v>0</v>
      </c>
      <c r="L269" s="594" t="s">
        <v>783</v>
      </c>
      <c r="M269" s="1068"/>
      <c r="N269" s="1069"/>
      <c r="O269" s="1070">
        <f t="shared" si="213"/>
        <v>0</v>
      </c>
      <c r="P269" s="1071">
        <f t="shared" si="215"/>
        <v>0</v>
      </c>
      <c r="Q269" s="1038"/>
      <c r="R269" s="1068"/>
      <c r="S269" s="1069"/>
      <c r="T269" s="93">
        <f t="shared" ref="T269" si="223">IF(ISBLANK(R269),0,ROUND(K269*R269,2))</f>
        <v>0</v>
      </c>
      <c r="U269" s="95">
        <f t="shared" ref="U269" si="224">IF(ISBLANK(R269),0,ROUND(R269*S269,2))</f>
        <v>0</v>
      </c>
      <c r="V269" s="94"/>
      <c r="W269" s="579" t="str">
        <f>IF(U266&gt;0,"xx",IF(P266&gt;0,"xy",""))</f>
        <v/>
      </c>
      <c r="X269" s="580" t="str">
        <f t="shared" ref="X269" si="225">IF(W269="X","x",IF(W269="xx","x",IF(W269="xy","x",IF(W269="y","x",IF(OR(P269&gt;0,U269&gt;0),"x","")))))</f>
        <v/>
      </c>
      <c r="Y269" s="580" t="str">
        <f t="shared" ref="Y269" si="226">IF(W269="X","x",IF(W269="y","x",IF(W269="xx","x",IF(U269&gt;0,"x",""))))</f>
        <v/>
      </c>
      <c r="Z269" s="580" t="str">
        <f t="shared" ref="Z269" si="227">IF(W269="X","x",IF(U269&gt;0,"x",""))</f>
        <v/>
      </c>
    </row>
    <row r="270" spans="1:26" ht="13.5" hidden="1" thickBot="1" x14ac:dyDescent="0.25">
      <c r="A270" s="1008">
        <v>589170</v>
      </c>
      <c r="B270" s="1074" t="s">
        <v>2034</v>
      </c>
      <c r="C270" s="1048" t="s">
        <v>241</v>
      </c>
      <c r="D270" s="667" t="s">
        <v>827</v>
      </c>
      <c r="E270" s="668"/>
      <c r="F270" s="998">
        <v>500</v>
      </c>
      <c r="G270" s="999">
        <v>1</v>
      </c>
      <c r="H270" s="1000">
        <f>(0.52*F270+25.75)*G270</f>
        <v>285.75</v>
      </c>
      <c r="I270" s="913">
        <f>LIGANTES!M21</f>
        <v>3857.97</v>
      </c>
      <c r="J270" s="1051">
        <f>IF(ISBLANK(I270),"",I270*(1+$F$9)/(1+$F$10))+H270</f>
        <v>4038.1654843480396</v>
      </c>
      <c r="K270" s="669">
        <f t="shared" si="197"/>
        <v>4914.8500000000004</v>
      </c>
      <c r="L270" s="656" t="s">
        <v>20</v>
      </c>
      <c r="M270" s="1052">
        <f>ROUND(M266*G266,2)</f>
        <v>0</v>
      </c>
      <c r="N270" s="1072"/>
      <c r="O270" s="1054">
        <f t="shared" si="213"/>
        <v>0</v>
      </c>
      <c r="P270" s="1055">
        <f t="shared" si="215"/>
        <v>0</v>
      </c>
      <c r="Q270" s="1038"/>
      <c r="R270" s="1056">
        <f>ROUND(R266*G266,2)</f>
        <v>0</v>
      </c>
      <c r="S270" s="1072">
        <f t="shared" si="193"/>
        <v>0</v>
      </c>
      <c r="T270" s="657">
        <f t="shared" si="214"/>
        <v>0</v>
      </c>
      <c r="U270" s="658">
        <f t="shared" si="206"/>
        <v>0</v>
      </c>
      <c r="V270" s="94"/>
      <c r="W270" s="579" t="str">
        <f>IF(U266&gt;0,"xx",IF(P266&gt;0,"xy",""))</f>
        <v/>
      </c>
      <c r="X270" s="580" t="str">
        <f t="shared" si="161"/>
        <v/>
      </c>
      <c r="Y270" s="580" t="str">
        <f t="shared" si="221"/>
        <v/>
      </c>
      <c r="Z270" s="580" t="str">
        <f t="shared" si="160"/>
        <v/>
      </c>
    </row>
    <row r="271" spans="1:26" ht="13.5" hidden="1" thickBot="1" x14ac:dyDescent="0.25">
      <c r="A271" s="1008">
        <v>587000</v>
      </c>
      <c r="B271" s="1064">
        <v>587000</v>
      </c>
      <c r="C271" s="1065" t="s">
        <v>212</v>
      </c>
      <c r="D271" s="646" t="s">
        <v>260</v>
      </c>
      <c r="E271" s="647"/>
      <c r="F271" s="991" t="s">
        <v>850</v>
      </c>
      <c r="G271" s="992">
        <v>1.5E-3</v>
      </c>
      <c r="H271" s="993">
        <f>SUM(H272:H272)</f>
        <v>0.23174999999999998</v>
      </c>
      <c r="I271" s="648">
        <v>3.13</v>
      </c>
      <c r="J271" s="1041">
        <f t="shared" si="198"/>
        <v>3.3617499999999998</v>
      </c>
      <c r="K271" s="649">
        <f t="shared" si="197"/>
        <v>4.09</v>
      </c>
      <c r="L271" s="650" t="s">
        <v>18</v>
      </c>
      <c r="M271" s="1045"/>
      <c r="N271" s="1046"/>
      <c r="O271" s="1066">
        <f t="shared" si="213"/>
        <v>0</v>
      </c>
      <c r="P271" s="1067">
        <f t="shared" si="215"/>
        <v>0</v>
      </c>
      <c r="Q271" s="1038"/>
      <c r="R271" s="1045">
        <f>M271</f>
        <v>0</v>
      </c>
      <c r="S271" s="1046">
        <f t="shared" si="193"/>
        <v>0</v>
      </c>
      <c r="T271" s="651">
        <f t="shared" si="214"/>
        <v>0</v>
      </c>
      <c r="U271" s="652">
        <f t="shared" si="206"/>
        <v>0</v>
      </c>
      <c r="V271" s="94"/>
      <c r="X271" s="580" t="str">
        <f t="shared" si="161"/>
        <v/>
      </c>
      <c r="Y271" s="580" t="str">
        <f t="shared" si="221"/>
        <v/>
      </c>
      <c r="Z271" s="580" t="str">
        <f t="shared" si="160"/>
        <v/>
      </c>
    </row>
    <row r="272" spans="1:26" ht="13.5" hidden="1" thickBot="1" x14ac:dyDescent="0.25">
      <c r="A272" s="97" t="s">
        <v>165</v>
      </c>
      <c r="B272" s="1031" t="s">
        <v>165</v>
      </c>
      <c r="C272" s="978"/>
      <c r="D272" s="631" t="s">
        <v>261</v>
      </c>
      <c r="E272" s="596"/>
      <c r="F272" s="977">
        <v>20</v>
      </c>
      <c r="G272" s="1061">
        <v>1.4999999999999999E-2</v>
      </c>
      <c r="H272" s="996">
        <f t="shared" ref="H272" si="228">IF(F272&lt;=30,(0.7*F272+1.45)*G272,((0.7*30+1.45)+0.58*(F272-30))*G272)</f>
        <v>0.23174999999999998</v>
      </c>
      <c r="I272" s="592"/>
      <c r="J272" s="1030"/>
      <c r="K272" s="593">
        <f t="shared" si="197"/>
        <v>0</v>
      </c>
      <c r="L272" s="594" t="s">
        <v>783</v>
      </c>
      <c r="M272" s="1068"/>
      <c r="N272" s="1069"/>
      <c r="O272" s="1070">
        <f t="shared" si="213"/>
        <v>0</v>
      </c>
      <c r="P272" s="1071">
        <f t="shared" si="215"/>
        <v>0</v>
      </c>
      <c r="Q272" s="1038"/>
      <c r="R272" s="1068"/>
      <c r="S272" s="1069"/>
      <c r="T272" s="93">
        <f t="shared" ref="T272" si="229">IF(ISBLANK(R272),0,ROUND(K272*R272,2))</f>
        <v>0</v>
      </c>
      <c r="U272" s="95">
        <f t="shared" ref="U272" si="230">IF(ISBLANK(R272),0,ROUND(R272*S272,2))</f>
        <v>0</v>
      </c>
      <c r="V272" s="94"/>
      <c r="W272" s="579" t="str">
        <f>IF(U271&gt;0,"xx",IF(P271&gt;0,"xy",""))</f>
        <v/>
      </c>
      <c r="X272" s="580" t="str">
        <f t="shared" ref="X272" si="231">IF(W272="X","x",IF(W272="xx","x",IF(W272="xy","x",IF(W272="y","x",IF(OR(P272&gt;0,U272&gt;0),"x","")))))</f>
        <v/>
      </c>
      <c r="Y272" s="580" t="str">
        <f t="shared" ref="Y272" si="232">IF(W272="X","x",IF(W272="y","x",IF(W272="xx","x",IF(U272&gt;0,"x",""))))</f>
        <v/>
      </c>
      <c r="Z272" s="580" t="str">
        <f t="shared" ref="Z272" si="233">IF(W272="X","x",IF(U272&gt;0,"x",""))</f>
        <v/>
      </c>
    </row>
    <row r="273" spans="1:26" ht="13.5" hidden="1" thickBot="1" x14ac:dyDescent="0.25">
      <c r="A273" s="1008">
        <v>589520</v>
      </c>
      <c r="B273" s="1004" t="s">
        <v>2022</v>
      </c>
      <c r="C273" s="1048" t="s">
        <v>241</v>
      </c>
      <c r="D273" s="914" t="s">
        <v>831</v>
      </c>
      <c r="E273" s="653"/>
      <c r="F273" s="998">
        <v>500</v>
      </c>
      <c r="G273" s="999">
        <v>1</v>
      </c>
      <c r="H273" s="1000">
        <f>(0.52*F273+25.75)*G273</f>
        <v>285.75</v>
      </c>
      <c r="I273" s="654">
        <f>LIGANTES!$M$26</f>
        <v>3314.7</v>
      </c>
      <c r="J273" s="1051">
        <f>IF(ISBLANK(I273),"",I273*(1+$F$9)/(1+$F$10))+H273</f>
        <v>3509.7594158245001</v>
      </c>
      <c r="K273" s="655">
        <f t="shared" si="197"/>
        <v>4271.7299999999996</v>
      </c>
      <c r="L273" s="656" t="s">
        <v>20</v>
      </c>
      <c r="M273" s="1052">
        <f>ROUND(M271*G271,2)</f>
        <v>0</v>
      </c>
      <c r="N273" s="1075"/>
      <c r="O273" s="1054">
        <f t="shared" si="213"/>
        <v>0</v>
      </c>
      <c r="P273" s="1055">
        <f t="shared" si="215"/>
        <v>0</v>
      </c>
      <c r="Q273" s="1038"/>
      <c r="R273" s="1056">
        <f>ROUND(R271*G271,2)</f>
        <v>0</v>
      </c>
      <c r="S273" s="1076">
        <f t="shared" si="193"/>
        <v>0</v>
      </c>
      <c r="T273" s="657">
        <f t="shared" si="214"/>
        <v>0</v>
      </c>
      <c r="U273" s="658">
        <f t="shared" si="206"/>
        <v>0</v>
      </c>
      <c r="V273" s="94"/>
      <c r="W273" s="579" t="str">
        <f>IF(U271&gt;0,"xx",IF(P271&gt;0,"xy",""))</f>
        <v/>
      </c>
      <c r="X273" s="580" t="str">
        <f t="shared" si="161"/>
        <v/>
      </c>
      <c r="Y273" s="580" t="str">
        <f t="shared" si="221"/>
        <v/>
      </c>
      <c r="Z273" s="580" t="str">
        <f t="shared" si="160"/>
        <v/>
      </c>
    </row>
    <row r="274" spans="1:26" ht="13.5" hidden="1" thickBot="1" x14ac:dyDescent="0.25">
      <c r="A274" s="1008">
        <v>583100</v>
      </c>
      <c r="B274" s="1064" t="s">
        <v>2102</v>
      </c>
      <c r="C274" s="1065" t="s">
        <v>212</v>
      </c>
      <c r="D274" s="926" t="s">
        <v>262</v>
      </c>
      <c r="E274" s="647"/>
      <c r="F274" s="991" t="s">
        <v>850</v>
      </c>
      <c r="G274" s="992">
        <v>3.0999999999999999E-3</v>
      </c>
      <c r="H274" s="993">
        <f>SUM(H275:H275)</f>
        <v>0.406335</v>
      </c>
      <c r="I274" s="648">
        <v>4.78</v>
      </c>
      <c r="J274" s="1041">
        <f t="shared" si="198"/>
        <v>5.1863350000000006</v>
      </c>
      <c r="K274" s="649">
        <f t="shared" si="197"/>
        <v>6.31</v>
      </c>
      <c r="L274" s="650" t="s">
        <v>18</v>
      </c>
      <c r="M274" s="1045"/>
      <c r="N274" s="1046"/>
      <c r="O274" s="1066">
        <f t="shared" si="213"/>
        <v>0</v>
      </c>
      <c r="P274" s="1067">
        <f t="shared" si="215"/>
        <v>0</v>
      </c>
      <c r="Q274" s="1038"/>
      <c r="R274" s="1045">
        <f t="shared" si="192"/>
        <v>0</v>
      </c>
      <c r="S274" s="1046">
        <f t="shared" si="193"/>
        <v>0</v>
      </c>
      <c r="T274" s="651">
        <f t="shared" si="214"/>
        <v>0</v>
      </c>
      <c r="U274" s="652">
        <f t="shared" si="206"/>
        <v>0</v>
      </c>
      <c r="V274" s="94"/>
      <c r="X274" s="580" t="str">
        <f t="shared" ref="X274:X276" si="234">IF(W274="X","x",IF(W274="xx","x",IF(W274="xy","x",IF(W274="y","x",IF(OR(P274&gt;0,U274&gt;0),"x","")))))</f>
        <v/>
      </c>
      <c r="Y274" s="580" t="str">
        <f t="shared" ref="Y274:Y276" si="235">IF(W274="X","x",IF(W274="y","x",IF(W274="xx","x",IF(U274&gt;0,"x",""))))</f>
        <v/>
      </c>
      <c r="Z274" s="580" t="str">
        <f t="shared" ref="Z274:Z276" si="236">IF(W274="X","x",IF(U274&gt;0,"x",""))</f>
        <v/>
      </c>
    </row>
    <row r="275" spans="1:26" ht="13.5" hidden="1" thickBot="1" x14ac:dyDescent="0.25">
      <c r="A275" s="97" t="s">
        <v>165</v>
      </c>
      <c r="B275" s="1031" t="s">
        <v>165</v>
      </c>
      <c r="C275" s="978"/>
      <c r="D275" s="631" t="s">
        <v>261</v>
      </c>
      <c r="E275" s="596"/>
      <c r="F275" s="977">
        <v>20</v>
      </c>
      <c r="G275" s="997">
        <v>2.63E-2</v>
      </c>
      <c r="H275" s="996">
        <f t="shared" ref="H275" si="237">IF(F275&lt;=30,(0.7*F275+1.45)*G275,((0.7*30+1.45)+0.58*(F275-30))*G275)</f>
        <v>0.406335</v>
      </c>
      <c r="I275" s="592"/>
      <c r="J275" s="1030"/>
      <c r="K275" s="593">
        <f t="shared" si="197"/>
        <v>0</v>
      </c>
      <c r="L275" s="594" t="s">
        <v>783</v>
      </c>
      <c r="M275" s="1068"/>
      <c r="N275" s="1069"/>
      <c r="O275" s="1070">
        <f t="shared" si="213"/>
        <v>0</v>
      </c>
      <c r="P275" s="1071">
        <f t="shared" si="215"/>
        <v>0</v>
      </c>
      <c r="Q275" s="1038"/>
      <c r="R275" s="1068"/>
      <c r="S275" s="1069"/>
      <c r="T275" s="93">
        <f t="shared" ref="T275" si="238">IF(ISBLANK(R275),0,ROUND(K275*R275,2))</f>
        <v>0</v>
      </c>
      <c r="U275" s="95">
        <f t="shared" ref="U275" si="239">IF(ISBLANK(R275),0,ROUND(R275*S275,2))</f>
        <v>0</v>
      </c>
      <c r="V275" s="94"/>
      <c r="W275" s="579" t="str">
        <f>IF(U274&gt;0,"xx",IF(P274&gt;0,"xy",""))</f>
        <v/>
      </c>
      <c r="X275" s="580" t="str">
        <f t="shared" si="234"/>
        <v/>
      </c>
      <c r="Y275" s="580" t="str">
        <f t="shared" si="235"/>
        <v/>
      </c>
      <c r="Z275" s="580" t="str">
        <f t="shared" si="236"/>
        <v/>
      </c>
    </row>
    <row r="276" spans="1:26" ht="13.5" hidden="1" thickBot="1" x14ac:dyDescent="0.25">
      <c r="A276" s="1008">
        <v>589520</v>
      </c>
      <c r="B276" s="1004" t="s">
        <v>2023</v>
      </c>
      <c r="C276" s="1048" t="s">
        <v>241</v>
      </c>
      <c r="D276" s="914" t="s">
        <v>836</v>
      </c>
      <c r="E276" s="653"/>
      <c r="F276" s="998">
        <v>500</v>
      </c>
      <c r="G276" s="999">
        <v>1</v>
      </c>
      <c r="H276" s="1000">
        <f>(0.52*F276+25.75)*G276</f>
        <v>285.75</v>
      </c>
      <c r="I276" s="654">
        <f>LIGANTES!$M$26</f>
        <v>3314.7</v>
      </c>
      <c r="J276" s="1051">
        <f>IF(ISBLANK(I276),"",I276*(1+$F$9)/(1+$F$10))+H276</f>
        <v>3509.7594158245001</v>
      </c>
      <c r="K276" s="655">
        <f t="shared" si="197"/>
        <v>4271.7299999999996</v>
      </c>
      <c r="L276" s="656" t="s">
        <v>20</v>
      </c>
      <c r="M276" s="1052">
        <f>ROUND(M274*G274,2)</f>
        <v>0</v>
      </c>
      <c r="N276" s="1075"/>
      <c r="O276" s="1054">
        <f t="shared" si="213"/>
        <v>0</v>
      </c>
      <c r="P276" s="1055">
        <f t="shared" si="215"/>
        <v>0</v>
      </c>
      <c r="Q276" s="1038"/>
      <c r="R276" s="1056">
        <f>ROUND(R274*G274,2)</f>
        <v>0</v>
      </c>
      <c r="S276" s="1076">
        <f t="shared" si="193"/>
        <v>0</v>
      </c>
      <c r="T276" s="657">
        <f t="shared" si="214"/>
        <v>0</v>
      </c>
      <c r="U276" s="658">
        <f t="shared" si="206"/>
        <v>0</v>
      </c>
      <c r="V276" s="94"/>
      <c r="W276" s="579" t="str">
        <f>IF(U274&gt;0,"xx",IF(P274&gt;0,"xy",""))</f>
        <v/>
      </c>
      <c r="X276" s="580" t="str">
        <f t="shared" si="234"/>
        <v/>
      </c>
      <c r="Y276" s="580" t="str">
        <f t="shared" si="235"/>
        <v/>
      </c>
      <c r="Z276" s="580" t="str">
        <f t="shared" si="236"/>
        <v/>
      </c>
    </row>
    <row r="277" spans="1:26" ht="13.5" hidden="1" thickBot="1" x14ac:dyDescent="0.25">
      <c r="A277" s="1008">
        <v>583100</v>
      </c>
      <c r="B277" s="1064" t="s">
        <v>2103</v>
      </c>
      <c r="C277" s="1065" t="s">
        <v>212</v>
      </c>
      <c r="D277" s="926" t="s">
        <v>263</v>
      </c>
      <c r="E277" s="647"/>
      <c r="F277" s="991" t="s">
        <v>850</v>
      </c>
      <c r="G277" s="992">
        <v>3.3999999999999998E-3</v>
      </c>
      <c r="H277" s="993">
        <f>SUM(H278:H278)</f>
        <v>0.47122499999999995</v>
      </c>
      <c r="I277" s="648">
        <v>4.78</v>
      </c>
      <c r="J277" s="1041">
        <f t="shared" si="198"/>
        <v>5.2512249999999998</v>
      </c>
      <c r="K277" s="649">
        <f t="shared" si="197"/>
        <v>6.39</v>
      </c>
      <c r="L277" s="650" t="s">
        <v>18</v>
      </c>
      <c r="M277" s="1045"/>
      <c r="N277" s="1046"/>
      <c r="O277" s="1066">
        <f t="shared" si="213"/>
        <v>0</v>
      </c>
      <c r="P277" s="1067">
        <f t="shared" si="215"/>
        <v>0</v>
      </c>
      <c r="Q277" s="1038"/>
      <c r="R277" s="1045">
        <f t="shared" si="192"/>
        <v>0</v>
      </c>
      <c r="S277" s="1046">
        <f t="shared" si="193"/>
        <v>0</v>
      </c>
      <c r="T277" s="651">
        <f t="shared" si="214"/>
        <v>0</v>
      </c>
      <c r="U277" s="652">
        <f t="shared" si="206"/>
        <v>0</v>
      </c>
      <c r="V277" s="94"/>
      <c r="X277" s="580" t="str">
        <f t="shared" si="161"/>
        <v/>
      </c>
      <c r="Y277" s="580" t="str">
        <f t="shared" si="221"/>
        <v/>
      </c>
      <c r="Z277" s="580" t="str">
        <f t="shared" ref="Z277:Z432" si="240">IF(W277="X","x",IF(U277&gt;0,"x",""))</f>
        <v/>
      </c>
    </row>
    <row r="278" spans="1:26" ht="13.5" hidden="1" thickBot="1" x14ac:dyDescent="0.25">
      <c r="A278" s="97" t="s">
        <v>165</v>
      </c>
      <c r="B278" s="1031" t="s">
        <v>165</v>
      </c>
      <c r="C278" s="978"/>
      <c r="D278" s="927" t="s">
        <v>261</v>
      </c>
      <c r="E278" s="596"/>
      <c r="F278" s="977">
        <v>20</v>
      </c>
      <c r="G278" s="997">
        <v>3.0499999999999999E-2</v>
      </c>
      <c r="H278" s="996">
        <f t="shared" ref="H278" si="241">IF(F278&lt;=30,(0.7*F278+1.45)*G278,((0.7*30+1.45)+0.58*(F278-30))*G278)</f>
        <v>0.47122499999999995</v>
      </c>
      <c r="I278" s="592"/>
      <c r="J278" s="1030"/>
      <c r="K278" s="593">
        <f t="shared" si="197"/>
        <v>0</v>
      </c>
      <c r="L278" s="594" t="s">
        <v>783</v>
      </c>
      <c r="M278" s="1068"/>
      <c r="N278" s="1069"/>
      <c r="O278" s="1070">
        <f t="shared" si="213"/>
        <v>0</v>
      </c>
      <c r="P278" s="1071">
        <f t="shared" si="215"/>
        <v>0</v>
      </c>
      <c r="Q278" s="1038"/>
      <c r="R278" s="1068"/>
      <c r="S278" s="1069"/>
      <c r="T278" s="93">
        <f t="shared" ref="T278" si="242">IF(ISBLANK(R278),0,ROUND(K278*R278,2))</f>
        <v>0</v>
      </c>
      <c r="U278" s="95">
        <f t="shared" ref="U278" si="243">IF(ISBLANK(R278),0,ROUND(R278*S278,2))</f>
        <v>0</v>
      </c>
      <c r="V278" s="94"/>
      <c r="W278" s="579" t="str">
        <f>IF(U277&gt;0,"xx",IF(P277&gt;0,"xy",""))</f>
        <v/>
      </c>
      <c r="X278" s="580" t="str">
        <f t="shared" ref="X278" si="244">IF(W278="X","x",IF(W278="xx","x",IF(W278="xy","x",IF(W278="y","x",IF(OR(P278&gt;0,U278&gt;0),"x","")))))</f>
        <v/>
      </c>
      <c r="Y278" s="580" t="str">
        <f t="shared" ref="Y278" si="245">IF(W278="X","x",IF(W278="y","x",IF(W278="xx","x",IF(U278&gt;0,"x",""))))</f>
        <v/>
      </c>
      <c r="Z278" s="580" t="str">
        <f t="shared" ref="Z278" si="246">IF(W278="X","x",IF(U278&gt;0,"x",""))</f>
        <v/>
      </c>
    </row>
    <row r="279" spans="1:26" ht="13.5" hidden="1" thickBot="1" x14ac:dyDescent="0.25">
      <c r="A279" s="1008">
        <v>589520</v>
      </c>
      <c r="B279" s="1004" t="s">
        <v>2024</v>
      </c>
      <c r="C279" s="1048" t="s">
        <v>241</v>
      </c>
      <c r="D279" s="914" t="s">
        <v>2035</v>
      </c>
      <c r="E279" s="653"/>
      <c r="F279" s="998">
        <v>500</v>
      </c>
      <c r="G279" s="999">
        <v>1</v>
      </c>
      <c r="H279" s="1000">
        <f>(0.52*F279+25.75)*G279</f>
        <v>285.75</v>
      </c>
      <c r="I279" s="654">
        <f>LIGANTES!$M$26</f>
        <v>3314.7</v>
      </c>
      <c r="J279" s="1051">
        <f>IF(ISBLANK(I279),"",I279*(1+$F$9)/(1+$F$10))+H279</f>
        <v>3509.7594158245001</v>
      </c>
      <c r="K279" s="655">
        <f t="shared" ref="K279:K310" si="247">IF(ISBLANK(I279),0,ROUND(J279*(1+$F$10)*(1+$F$11*E279),2))</f>
        <v>4271.7299999999996</v>
      </c>
      <c r="L279" s="656" t="s">
        <v>20</v>
      </c>
      <c r="M279" s="1052">
        <f>ROUND(M277*G277,2)</f>
        <v>0</v>
      </c>
      <c r="N279" s="1075"/>
      <c r="O279" s="1054">
        <f t="shared" si="213"/>
        <v>0</v>
      </c>
      <c r="P279" s="1055">
        <f t="shared" si="215"/>
        <v>0</v>
      </c>
      <c r="Q279" s="1038"/>
      <c r="R279" s="1056">
        <f>ROUND(R277*G277,2)</f>
        <v>0</v>
      </c>
      <c r="S279" s="1076">
        <f t="shared" si="193"/>
        <v>0</v>
      </c>
      <c r="T279" s="657">
        <f t="shared" si="214"/>
        <v>0</v>
      </c>
      <c r="U279" s="658">
        <f t="shared" si="206"/>
        <v>0</v>
      </c>
      <c r="V279" s="94"/>
      <c r="W279" s="579" t="str">
        <f>IF(U277&gt;0,"xx",IF(P277&gt;0,"xy",""))</f>
        <v/>
      </c>
      <c r="X279" s="580" t="str">
        <f t="shared" si="161"/>
        <v/>
      </c>
      <c r="Y279" s="580" t="str">
        <f t="shared" si="221"/>
        <v/>
      </c>
      <c r="Z279" s="580" t="str">
        <f t="shared" si="240"/>
        <v/>
      </c>
    </row>
    <row r="280" spans="1:26" ht="13.5" hidden="1" thickBot="1" x14ac:dyDescent="0.25">
      <c r="A280" s="1008">
        <v>583100</v>
      </c>
      <c r="B280" s="1064" t="s">
        <v>2104</v>
      </c>
      <c r="C280" s="1065" t="s">
        <v>212</v>
      </c>
      <c r="D280" s="926" t="s">
        <v>264</v>
      </c>
      <c r="E280" s="647"/>
      <c r="F280" s="991" t="s">
        <v>850</v>
      </c>
      <c r="G280" s="992">
        <v>3.8E-3</v>
      </c>
      <c r="H280" s="993">
        <f>SUM(H281:H281)</f>
        <v>0.56855999999999995</v>
      </c>
      <c r="I280" s="648">
        <v>4.78</v>
      </c>
      <c r="J280" s="1041">
        <f t="shared" si="198"/>
        <v>5.34856</v>
      </c>
      <c r="K280" s="649">
        <f t="shared" si="247"/>
        <v>6.51</v>
      </c>
      <c r="L280" s="650" t="s">
        <v>18</v>
      </c>
      <c r="M280" s="1045"/>
      <c r="N280" s="1046"/>
      <c r="O280" s="1066">
        <f t="shared" si="213"/>
        <v>0</v>
      </c>
      <c r="P280" s="1067">
        <f t="shared" si="215"/>
        <v>0</v>
      </c>
      <c r="Q280" s="1038"/>
      <c r="R280" s="1045">
        <f t="shared" si="192"/>
        <v>0</v>
      </c>
      <c r="S280" s="1046">
        <f t="shared" si="193"/>
        <v>0</v>
      </c>
      <c r="T280" s="651">
        <f t="shared" si="214"/>
        <v>0</v>
      </c>
      <c r="U280" s="652">
        <f t="shared" si="206"/>
        <v>0</v>
      </c>
      <c r="V280" s="94"/>
      <c r="X280" s="580" t="str">
        <f t="shared" si="161"/>
        <v/>
      </c>
      <c r="Y280" s="580" t="str">
        <f t="shared" si="221"/>
        <v/>
      </c>
      <c r="Z280" s="580" t="str">
        <f t="shared" si="240"/>
        <v/>
      </c>
    </row>
    <row r="281" spans="1:26" ht="13.5" hidden="1" thickBot="1" x14ac:dyDescent="0.25">
      <c r="A281" s="97" t="s">
        <v>165</v>
      </c>
      <c r="B281" s="1031" t="s">
        <v>165</v>
      </c>
      <c r="C281" s="978"/>
      <c r="D281" s="927" t="s">
        <v>261</v>
      </c>
      <c r="E281" s="596"/>
      <c r="F281" s="977">
        <v>20</v>
      </c>
      <c r="G281" s="997">
        <v>3.6799999999999999E-2</v>
      </c>
      <c r="H281" s="996">
        <f t="shared" ref="H281" si="248">IF(F281&lt;=30,(0.7*F281+1.45)*G281,((0.7*30+1.45)+0.58*(F281-30))*G281)</f>
        <v>0.56855999999999995</v>
      </c>
      <c r="I281" s="592"/>
      <c r="J281" s="1030"/>
      <c r="K281" s="593">
        <f t="shared" si="247"/>
        <v>0</v>
      </c>
      <c r="L281" s="594" t="s">
        <v>783</v>
      </c>
      <c r="M281" s="1068"/>
      <c r="N281" s="1069"/>
      <c r="O281" s="1070">
        <f t="shared" si="213"/>
        <v>0</v>
      </c>
      <c r="P281" s="1071">
        <f t="shared" si="215"/>
        <v>0</v>
      </c>
      <c r="Q281" s="1038"/>
      <c r="R281" s="1068"/>
      <c r="S281" s="1069"/>
      <c r="T281" s="93">
        <f t="shared" ref="T281" si="249">IF(ISBLANK(R281),0,ROUND(K281*R281,2))</f>
        <v>0</v>
      </c>
      <c r="U281" s="95">
        <f t="shared" ref="U281" si="250">IF(ISBLANK(R281),0,ROUND(R281*S281,2))</f>
        <v>0</v>
      </c>
      <c r="V281" s="94"/>
      <c r="W281" s="579" t="str">
        <f>IF(U280&gt;0,"xx",IF(P280&gt;0,"xy",""))</f>
        <v/>
      </c>
      <c r="X281" s="580" t="str">
        <f t="shared" si="161"/>
        <v/>
      </c>
      <c r="Y281" s="580" t="str">
        <f t="shared" ref="Y281" si="251">IF(W281="X","x",IF(W281="y","x",IF(W281="xx","x",IF(U281&gt;0,"x",""))))</f>
        <v/>
      </c>
      <c r="Z281" s="580" t="str">
        <f t="shared" ref="Z281" si="252">IF(W281="X","x",IF(U281&gt;0,"x",""))</f>
        <v/>
      </c>
    </row>
    <row r="282" spans="1:26" ht="13.5" hidden="1" thickBot="1" x14ac:dyDescent="0.25">
      <c r="A282" s="1008">
        <v>589520</v>
      </c>
      <c r="B282" s="1004" t="s">
        <v>2025</v>
      </c>
      <c r="C282" s="1048" t="s">
        <v>241</v>
      </c>
      <c r="D282" s="914" t="s">
        <v>838</v>
      </c>
      <c r="E282" s="653"/>
      <c r="F282" s="998">
        <v>500</v>
      </c>
      <c r="G282" s="999">
        <v>1</v>
      </c>
      <c r="H282" s="1000">
        <f>(0.52*F282+25.75)*G282</f>
        <v>285.75</v>
      </c>
      <c r="I282" s="654">
        <f>LIGANTES!$M$26</f>
        <v>3314.7</v>
      </c>
      <c r="J282" s="1051">
        <f>IF(ISBLANK(I282),"",I282*(1+$F$9)/(1+$F$10))+H282</f>
        <v>3509.7594158245001</v>
      </c>
      <c r="K282" s="655">
        <f t="shared" si="247"/>
        <v>4271.7299999999996</v>
      </c>
      <c r="L282" s="656" t="s">
        <v>20</v>
      </c>
      <c r="M282" s="1052">
        <f>ROUND(M280*G280,2)</f>
        <v>0</v>
      </c>
      <c r="N282" s="1075"/>
      <c r="O282" s="1054">
        <f t="shared" si="213"/>
        <v>0</v>
      </c>
      <c r="P282" s="1055">
        <f t="shared" si="215"/>
        <v>0</v>
      </c>
      <c r="Q282" s="1038"/>
      <c r="R282" s="1056">
        <f>ROUND(R280*G280,2)</f>
        <v>0</v>
      </c>
      <c r="S282" s="1076">
        <f t="shared" ref="S282:S343" si="253">N282</f>
        <v>0</v>
      </c>
      <c r="T282" s="657">
        <f t="shared" si="214"/>
        <v>0</v>
      </c>
      <c r="U282" s="658">
        <f t="shared" si="206"/>
        <v>0</v>
      </c>
      <c r="V282" s="94"/>
      <c r="W282" s="579" t="str">
        <f>IF(U280&gt;0,"xx",IF(P280&gt;0,"xy",""))</f>
        <v/>
      </c>
      <c r="X282" s="580" t="str">
        <f t="shared" si="161"/>
        <v/>
      </c>
      <c r="Y282" s="580" t="str">
        <f t="shared" si="221"/>
        <v/>
      </c>
      <c r="Z282" s="580" t="str">
        <f t="shared" si="240"/>
        <v/>
      </c>
    </row>
    <row r="283" spans="1:26" ht="13.5" hidden="1" thickBot="1" x14ac:dyDescent="0.25">
      <c r="A283" s="1008">
        <v>584200</v>
      </c>
      <c r="B283" s="1064" t="s">
        <v>2105</v>
      </c>
      <c r="C283" s="1065" t="s">
        <v>212</v>
      </c>
      <c r="D283" s="926" t="s">
        <v>265</v>
      </c>
      <c r="E283" s="647"/>
      <c r="F283" s="991" t="s">
        <v>850</v>
      </c>
      <c r="G283" s="992">
        <v>3.3E-3</v>
      </c>
      <c r="H283" s="993">
        <f>SUM(H284:H284)</f>
        <v>0.43878</v>
      </c>
      <c r="I283" s="648">
        <v>5.94</v>
      </c>
      <c r="J283" s="1041">
        <f t="shared" si="198"/>
        <v>6.3787800000000008</v>
      </c>
      <c r="K283" s="649">
        <f t="shared" si="247"/>
        <v>7.76</v>
      </c>
      <c r="L283" s="650" t="s">
        <v>18</v>
      </c>
      <c r="M283" s="1045"/>
      <c r="N283" s="1046"/>
      <c r="O283" s="1066">
        <f t="shared" si="213"/>
        <v>0</v>
      </c>
      <c r="P283" s="1067">
        <f t="shared" si="215"/>
        <v>0</v>
      </c>
      <c r="Q283" s="1038"/>
      <c r="R283" s="1045">
        <f t="shared" si="192"/>
        <v>0</v>
      </c>
      <c r="S283" s="1046">
        <f t="shared" si="253"/>
        <v>0</v>
      </c>
      <c r="T283" s="651">
        <f t="shared" si="214"/>
        <v>0</v>
      </c>
      <c r="U283" s="652">
        <f t="shared" si="206"/>
        <v>0</v>
      </c>
      <c r="V283" s="94"/>
      <c r="X283" s="580" t="str">
        <f t="shared" ref="X283:X438" si="254">IF(W283="X","x",IF(W283="xx","x",IF(W283="xy","x",IF(W283="y","x",IF(OR(P283&gt;0,U283&gt;0),"x","")))))</f>
        <v/>
      </c>
      <c r="Y283" s="580" t="str">
        <f t="shared" si="221"/>
        <v/>
      </c>
      <c r="Z283" s="580" t="str">
        <f t="shared" si="240"/>
        <v/>
      </c>
    </row>
    <row r="284" spans="1:26" ht="13.5" hidden="1" thickBot="1" x14ac:dyDescent="0.25">
      <c r="A284" s="97" t="s">
        <v>165</v>
      </c>
      <c r="B284" s="1031" t="s">
        <v>165</v>
      </c>
      <c r="C284" s="978"/>
      <c r="D284" s="927" t="s">
        <v>261</v>
      </c>
      <c r="E284" s="596"/>
      <c r="F284" s="977">
        <v>20</v>
      </c>
      <c r="G284" s="997">
        <v>2.8400000000000002E-2</v>
      </c>
      <c r="H284" s="996">
        <f t="shared" ref="H284" si="255">IF(F284&lt;=30,(0.7*F284+1.45)*G284,((0.7*30+1.45)+0.58*(F284-30))*G284)</f>
        <v>0.43878</v>
      </c>
      <c r="I284" s="592"/>
      <c r="J284" s="1030"/>
      <c r="K284" s="593">
        <f t="shared" si="247"/>
        <v>0</v>
      </c>
      <c r="L284" s="594" t="s">
        <v>783</v>
      </c>
      <c r="M284" s="1068"/>
      <c r="N284" s="1069"/>
      <c r="O284" s="1070">
        <f t="shared" si="213"/>
        <v>0</v>
      </c>
      <c r="P284" s="1071">
        <f t="shared" si="215"/>
        <v>0</v>
      </c>
      <c r="Q284" s="1038"/>
      <c r="R284" s="1068"/>
      <c r="S284" s="1069"/>
      <c r="T284" s="93">
        <f t="shared" ref="T284" si="256">IF(ISBLANK(R284),0,ROUND(K284*R284,2))</f>
        <v>0</v>
      </c>
      <c r="U284" s="95">
        <f t="shared" ref="U284" si="257">IF(ISBLANK(R284),0,ROUND(R284*S284,2))</f>
        <v>0</v>
      </c>
      <c r="V284" s="94"/>
      <c r="W284" s="579" t="str">
        <f>IF(U283&gt;0,"xx",IF(P283&gt;0,"xy",""))</f>
        <v/>
      </c>
      <c r="X284" s="580" t="str">
        <f t="shared" ref="X284" si="258">IF(W284="X","x",IF(W284="xx","x",IF(W284="xy","x",IF(W284="y","x",IF(OR(P284&gt;0,U284&gt;0),"x","")))))</f>
        <v/>
      </c>
      <c r="Y284" s="580" t="str">
        <f t="shared" ref="Y284" si="259">IF(W284="X","x",IF(W284="y","x",IF(W284="xx","x",IF(U284&gt;0,"x",""))))</f>
        <v/>
      </c>
      <c r="Z284" s="580" t="str">
        <f t="shared" ref="Z284" si="260">IF(W284="X","x",IF(U284&gt;0,"x",""))</f>
        <v/>
      </c>
    </row>
    <row r="285" spans="1:26" ht="13.5" hidden="1" thickBot="1" x14ac:dyDescent="0.25">
      <c r="A285" s="1008">
        <v>589520</v>
      </c>
      <c r="B285" s="1004" t="s">
        <v>2026</v>
      </c>
      <c r="C285" s="1048" t="s">
        <v>241</v>
      </c>
      <c r="D285" s="914" t="s">
        <v>837</v>
      </c>
      <c r="E285" s="653"/>
      <c r="F285" s="998">
        <v>500</v>
      </c>
      <c r="G285" s="999">
        <v>1</v>
      </c>
      <c r="H285" s="1000">
        <f>(0.52*F285+25.75)*G285</f>
        <v>285.75</v>
      </c>
      <c r="I285" s="654">
        <f>LIGANTES!$M$26</f>
        <v>3314.7</v>
      </c>
      <c r="J285" s="1051">
        <f>IF(ISBLANK(I285),"",I285*(1+$F$9)/(1+$F$10))+H285</f>
        <v>3509.7594158245001</v>
      </c>
      <c r="K285" s="655">
        <f t="shared" si="247"/>
        <v>4271.7299999999996</v>
      </c>
      <c r="L285" s="656" t="s">
        <v>20</v>
      </c>
      <c r="M285" s="1052">
        <f>ROUND(M283*G283,2)</f>
        <v>0</v>
      </c>
      <c r="N285" s="1075"/>
      <c r="O285" s="1054">
        <f t="shared" si="213"/>
        <v>0</v>
      </c>
      <c r="P285" s="1055">
        <f t="shared" si="215"/>
        <v>0</v>
      </c>
      <c r="Q285" s="1038"/>
      <c r="R285" s="1056">
        <f>ROUND(R283*G283,2)</f>
        <v>0</v>
      </c>
      <c r="S285" s="1076">
        <f t="shared" si="253"/>
        <v>0</v>
      </c>
      <c r="T285" s="657">
        <f t="shared" si="214"/>
        <v>0</v>
      </c>
      <c r="U285" s="658">
        <f t="shared" si="206"/>
        <v>0</v>
      </c>
      <c r="V285" s="94"/>
      <c r="W285" s="579" t="str">
        <f>IF(U283&gt;0,"xx",IF(P283&gt;0,"xy",""))</f>
        <v/>
      </c>
      <c r="X285" s="580" t="str">
        <f t="shared" si="254"/>
        <v/>
      </c>
      <c r="Y285" s="580" t="str">
        <f t="shared" si="221"/>
        <v/>
      </c>
      <c r="Z285" s="580" t="str">
        <f t="shared" si="240"/>
        <v/>
      </c>
    </row>
    <row r="286" spans="1:26" ht="13.5" hidden="1" thickBot="1" x14ac:dyDescent="0.25">
      <c r="A286" s="1008">
        <v>584200</v>
      </c>
      <c r="B286" s="1064" t="s">
        <v>2106</v>
      </c>
      <c r="C286" s="1065" t="s">
        <v>212</v>
      </c>
      <c r="D286" s="926" t="s">
        <v>266</v>
      </c>
      <c r="E286" s="647"/>
      <c r="F286" s="991" t="s">
        <v>850</v>
      </c>
      <c r="G286" s="992">
        <v>3.8E-3</v>
      </c>
      <c r="H286" s="993">
        <f>SUM(H287:H287)</f>
        <v>0.53611500000000001</v>
      </c>
      <c r="I286" s="648">
        <v>5.94</v>
      </c>
      <c r="J286" s="1041">
        <f t="shared" si="198"/>
        <v>6.4761150000000001</v>
      </c>
      <c r="K286" s="649">
        <f t="shared" si="247"/>
        <v>7.88</v>
      </c>
      <c r="L286" s="650" t="s">
        <v>18</v>
      </c>
      <c r="M286" s="1045"/>
      <c r="N286" s="1046"/>
      <c r="O286" s="1066">
        <f t="shared" si="213"/>
        <v>0</v>
      </c>
      <c r="P286" s="1067">
        <f t="shared" si="215"/>
        <v>0</v>
      </c>
      <c r="Q286" s="1038"/>
      <c r="R286" s="1045">
        <f t="shared" ref="R286:R355" si="261">M286</f>
        <v>0</v>
      </c>
      <c r="S286" s="1046">
        <f t="shared" si="253"/>
        <v>0</v>
      </c>
      <c r="T286" s="651">
        <f t="shared" si="214"/>
        <v>0</v>
      </c>
      <c r="U286" s="652">
        <f t="shared" si="206"/>
        <v>0</v>
      </c>
      <c r="V286" s="94"/>
      <c r="X286" s="580" t="str">
        <f t="shared" si="254"/>
        <v/>
      </c>
      <c r="Y286" s="580" t="str">
        <f t="shared" si="221"/>
        <v/>
      </c>
      <c r="Z286" s="580" t="str">
        <f t="shared" si="240"/>
        <v/>
      </c>
    </row>
    <row r="287" spans="1:26" ht="13.5" hidden="1" thickBot="1" x14ac:dyDescent="0.25">
      <c r="A287" s="97" t="s">
        <v>165</v>
      </c>
      <c r="B287" s="1031" t="s">
        <v>165</v>
      </c>
      <c r="C287" s="978"/>
      <c r="D287" s="927" t="s">
        <v>261</v>
      </c>
      <c r="E287" s="596"/>
      <c r="F287" s="977">
        <v>20</v>
      </c>
      <c r="G287" s="997">
        <v>3.4700000000000002E-2</v>
      </c>
      <c r="H287" s="996">
        <f t="shared" ref="H287" si="262">IF(F287&lt;=30,(0.7*F287+1.45)*G287,((0.7*30+1.45)+0.58*(F287-30))*G287)</f>
        <v>0.53611500000000001</v>
      </c>
      <c r="I287" s="592"/>
      <c r="J287" s="1030"/>
      <c r="K287" s="593">
        <f t="shared" si="247"/>
        <v>0</v>
      </c>
      <c r="L287" s="594" t="s">
        <v>783</v>
      </c>
      <c r="M287" s="1068"/>
      <c r="N287" s="1069"/>
      <c r="O287" s="1070">
        <f t="shared" si="213"/>
        <v>0</v>
      </c>
      <c r="P287" s="1071">
        <f t="shared" si="215"/>
        <v>0</v>
      </c>
      <c r="Q287" s="1038"/>
      <c r="R287" s="1068"/>
      <c r="S287" s="1069"/>
      <c r="T287" s="93">
        <f t="shared" ref="T287" si="263">IF(ISBLANK(R287),0,ROUND(K287*R287,2))</f>
        <v>0</v>
      </c>
      <c r="U287" s="95">
        <f t="shared" ref="U287" si="264">IF(ISBLANK(R287),0,ROUND(R287*S287,2))</f>
        <v>0</v>
      </c>
      <c r="V287" s="94"/>
      <c r="W287" s="579" t="str">
        <f>IF(U286&gt;0,"xx",IF(P286&gt;0,"xy",""))</f>
        <v/>
      </c>
      <c r="X287" s="580" t="str">
        <f t="shared" ref="X287" si="265">IF(W287="X","x",IF(W287="xx","x",IF(W287="xy","x",IF(W287="y","x",IF(OR(P287&gt;0,U287&gt;0),"x","")))))</f>
        <v/>
      </c>
      <c r="Y287" s="580" t="str">
        <f t="shared" ref="Y287" si="266">IF(W287="X","x",IF(W287="y","x",IF(W287="xx","x",IF(U287&gt;0,"x",""))))</f>
        <v/>
      </c>
      <c r="Z287" s="580" t="str">
        <f t="shared" ref="Z287" si="267">IF(W287="X","x",IF(U287&gt;0,"x",""))</f>
        <v/>
      </c>
    </row>
    <row r="288" spans="1:26" ht="13.5" hidden="1" thickBot="1" x14ac:dyDescent="0.25">
      <c r="A288" s="1008">
        <v>589520</v>
      </c>
      <c r="B288" s="1004" t="s">
        <v>2027</v>
      </c>
      <c r="C288" s="1048" t="s">
        <v>241</v>
      </c>
      <c r="D288" s="914" t="s">
        <v>839</v>
      </c>
      <c r="E288" s="653"/>
      <c r="F288" s="998">
        <v>500</v>
      </c>
      <c r="G288" s="999">
        <v>1</v>
      </c>
      <c r="H288" s="1000">
        <f>(0.52*F288+25.75)*G288</f>
        <v>285.75</v>
      </c>
      <c r="I288" s="654">
        <f>LIGANTES!$M$26</f>
        <v>3314.7</v>
      </c>
      <c r="J288" s="1051">
        <f>IF(ISBLANK(I288),"",I288*(1+$F$9)/(1+$F$10))+H288</f>
        <v>3509.7594158245001</v>
      </c>
      <c r="K288" s="655">
        <f t="shared" si="247"/>
        <v>4271.7299999999996</v>
      </c>
      <c r="L288" s="656" t="s">
        <v>20</v>
      </c>
      <c r="M288" s="1052">
        <f>ROUND(M286*G286,2)</f>
        <v>0</v>
      </c>
      <c r="N288" s="1075"/>
      <c r="O288" s="1054">
        <f t="shared" si="213"/>
        <v>0</v>
      </c>
      <c r="P288" s="1055">
        <f t="shared" si="215"/>
        <v>0</v>
      </c>
      <c r="Q288" s="1038"/>
      <c r="R288" s="1056">
        <f>ROUND(R286*G286,2)</f>
        <v>0</v>
      </c>
      <c r="S288" s="1076">
        <f t="shared" si="253"/>
        <v>0</v>
      </c>
      <c r="T288" s="657">
        <f t="shared" si="214"/>
        <v>0</v>
      </c>
      <c r="U288" s="658">
        <f t="shared" si="206"/>
        <v>0</v>
      </c>
      <c r="V288" s="94"/>
      <c r="W288" s="579" t="str">
        <f>IF(U286&gt;0,"xx",IF(P286&gt;0,"xy",""))</f>
        <v/>
      </c>
      <c r="X288" s="580" t="str">
        <f t="shared" si="254"/>
        <v/>
      </c>
      <c r="Y288" s="580" t="str">
        <f t="shared" si="221"/>
        <v/>
      </c>
      <c r="Z288" s="580" t="str">
        <f t="shared" si="240"/>
        <v/>
      </c>
    </row>
    <row r="289" spans="1:26" ht="13.5" hidden="1" thickBot="1" x14ac:dyDescent="0.25">
      <c r="A289" s="1008">
        <v>584200</v>
      </c>
      <c r="B289" s="1064" t="s">
        <v>2107</v>
      </c>
      <c r="C289" s="1065" t="s">
        <v>212</v>
      </c>
      <c r="D289" s="926" t="s">
        <v>267</v>
      </c>
      <c r="E289" s="647"/>
      <c r="F289" s="991" t="s">
        <v>850</v>
      </c>
      <c r="G289" s="992">
        <v>4.0000000000000001E-3</v>
      </c>
      <c r="H289" s="993">
        <f>SUM(H290:H290)</f>
        <v>0.74159999999999993</v>
      </c>
      <c r="I289" s="648">
        <v>5.94</v>
      </c>
      <c r="J289" s="1041">
        <f t="shared" si="198"/>
        <v>6.6816000000000004</v>
      </c>
      <c r="K289" s="649">
        <f t="shared" si="247"/>
        <v>8.1300000000000008</v>
      </c>
      <c r="L289" s="650" t="s">
        <v>18</v>
      </c>
      <c r="M289" s="1045"/>
      <c r="N289" s="1046"/>
      <c r="O289" s="1066">
        <f t="shared" si="213"/>
        <v>0</v>
      </c>
      <c r="P289" s="1067">
        <f t="shared" si="215"/>
        <v>0</v>
      </c>
      <c r="Q289" s="1038"/>
      <c r="R289" s="1045">
        <f t="shared" si="261"/>
        <v>0</v>
      </c>
      <c r="S289" s="1046">
        <f t="shared" si="253"/>
        <v>0</v>
      </c>
      <c r="T289" s="651">
        <f t="shared" si="214"/>
        <v>0</v>
      </c>
      <c r="U289" s="652">
        <f t="shared" ref="U289:U378" si="268">IF(ISBLANK(R289),0,ROUND(R289*S289,2))</f>
        <v>0</v>
      </c>
      <c r="V289" s="94"/>
      <c r="X289" s="580" t="str">
        <f t="shared" si="254"/>
        <v/>
      </c>
      <c r="Y289" s="580" t="str">
        <f t="shared" si="221"/>
        <v/>
      </c>
      <c r="Z289" s="580" t="str">
        <f t="shared" si="240"/>
        <v/>
      </c>
    </row>
    <row r="290" spans="1:26" ht="13.5" hidden="1" thickBot="1" x14ac:dyDescent="0.25">
      <c r="A290" s="97" t="s">
        <v>165</v>
      </c>
      <c r="B290" s="1031" t="s">
        <v>165</v>
      </c>
      <c r="C290" s="978"/>
      <c r="D290" s="927" t="s">
        <v>261</v>
      </c>
      <c r="E290" s="596"/>
      <c r="F290" s="977">
        <v>20</v>
      </c>
      <c r="G290" s="997">
        <v>4.8000000000000001E-2</v>
      </c>
      <c r="H290" s="996">
        <f t="shared" ref="H290" si="269">IF(F290&lt;=30,(0.7*F290+1.45)*G290,((0.7*30+1.45)+0.58*(F290-30))*G290)</f>
        <v>0.74159999999999993</v>
      </c>
      <c r="I290" s="592"/>
      <c r="J290" s="1030"/>
      <c r="K290" s="593">
        <f t="shared" si="247"/>
        <v>0</v>
      </c>
      <c r="L290" s="594" t="s">
        <v>783</v>
      </c>
      <c r="M290" s="1068"/>
      <c r="N290" s="1069"/>
      <c r="O290" s="1070">
        <f t="shared" si="213"/>
        <v>0</v>
      </c>
      <c r="P290" s="1071">
        <f t="shared" si="215"/>
        <v>0</v>
      </c>
      <c r="Q290" s="1038"/>
      <c r="R290" s="1068"/>
      <c r="S290" s="1069"/>
      <c r="T290" s="93">
        <f t="shared" ref="T290" si="270">IF(ISBLANK(R290),0,ROUND(K290*R290,2))</f>
        <v>0</v>
      </c>
      <c r="U290" s="95">
        <f t="shared" ref="U290" si="271">IF(ISBLANK(R290),0,ROUND(R290*S290,2))</f>
        <v>0</v>
      </c>
      <c r="V290" s="94"/>
      <c r="W290" s="579" t="str">
        <f>IF(U289&gt;0,"xx",IF(P289&gt;0,"xy",""))</f>
        <v/>
      </c>
      <c r="X290" s="580" t="str">
        <f t="shared" ref="X290" si="272">IF(W290="X","x",IF(W290="xx","x",IF(W290="xy","x",IF(W290="y","x",IF(OR(P290&gt;0,U290&gt;0),"x","")))))</f>
        <v/>
      </c>
      <c r="Y290" s="580" t="str">
        <f t="shared" ref="Y290" si="273">IF(W290="X","x",IF(W290="y","x",IF(W290="xx","x",IF(U290&gt;0,"x",""))))</f>
        <v/>
      </c>
      <c r="Z290" s="580" t="str">
        <f t="shared" ref="Z290" si="274">IF(W290="X","x",IF(U290&gt;0,"x",""))</f>
        <v/>
      </c>
    </row>
    <row r="291" spans="1:26" ht="13.5" hidden="1" thickBot="1" x14ac:dyDescent="0.25">
      <c r="A291" s="1008">
        <v>589520</v>
      </c>
      <c r="B291" s="1004" t="s">
        <v>2028</v>
      </c>
      <c r="C291" s="1048" t="s">
        <v>241</v>
      </c>
      <c r="D291" s="914" t="s">
        <v>840</v>
      </c>
      <c r="E291" s="653"/>
      <c r="F291" s="998">
        <v>500</v>
      </c>
      <c r="G291" s="999">
        <v>1</v>
      </c>
      <c r="H291" s="1000">
        <f>(0.52*F291+25.75)*G291</f>
        <v>285.75</v>
      </c>
      <c r="I291" s="654">
        <f>LIGANTES!$M$26</f>
        <v>3314.7</v>
      </c>
      <c r="J291" s="1051">
        <f>IF(ISBLANK(I291),"",I291*(1+$F$9)/(1+$F$10))+H291</f>
        <v>3509.7594158245001</v>
      </c>
      <c r="K291" s="655">
        <f t="shared" si="247"/>
        <v>4271.7299999999996</v>
      </c>
      <c r="L291" s="656" t="s">
        <v>20</v>
      </c>
      <c r="M291" s="1052">
        <f>ROUND(M289*G289,2)</f>
        <v>0</v>
      </c>
      <c r="N291" s="1075"/>
      <c r="O291" s="1054">
        <f t="shared" si="213"/>
        <v>0</v>
      </c>
      <c r="P291" s="1055">
        <f t="shared" si="215"/>
        <v>0</v>
      </c>
      <c r="Q291" s="1038"/>
      <c r="R291" s="1056">
        <f>ROUND(R289*G289,2)</f>
        <v>0</v>
      </c>
      <c r="S291" s="1076">
        <f t="shared" si="253"/>
        <v>0</v>
      </c>
      <c r="T291" s="657">
        <f t="shared" si="214"/>
        <v>0</v>
      </c>
      <c r="U291" s="658">
        <f t="shared" si="268"/>
        <v>0</v>
      </c>
      <c r="V291" s="94"/>
      <c r="W291" s="579" t="str">
        <f>IF(U289&gt;0,"xx",IF(P289&gt;0,"xy",""))</f>
        <v/>
      </c>
      <c r="X291" s="580" t="str">
        <f t="shared" si="254"/>
        <v/>
      </c>
      <c r="Y291" s="580" t="str">
        <f t="shared" si="221"/>
        <v/>
      </c>
      <c r="Z291" s="580" t="str">
        <f t="shared" si="240"/>
        <v/>
      </c>
    </row>
    <row r="292" spans="1:26" ht="13.5" hidden="1" thickBot="1" x14ac:dyDescent="0.25">
      <c r="A292" s="1008">
        <v>564000</v>
      </c>
      <c r="B292" s="1064">
        <v>564000</v>
      </c>
      <c r="C292" s="1065" t="s">
        <v>212</v>
      </c>
      <c r="D292" s="926" t="s">
        <v>268</v>
      </c>
      <c r="E292" s="647"/>
      <c r="F292" s="991" t="s">
        <v>850</v>
      </c>
      <c r="G292" s="992">
        <v>0.125</v>
      </c>
      <c r="H292" s="993">
        <f>SUM(H293:H293)</f>
        <v>33.99</v>
      </c>
      <c r="I292" s="648">
        <v>94.55</v>
      </c>
      <c r="J292" s="1041">
        <f t="shared" si="198"/>
        <v>128.54</v>
      </c>
      <c r="K292" s="649">
        <f t="shared" si="247"/>
        <v>156.44999999999999</v>
      </c>
      <c r="L292" s="650" t="s">
        <v>16</v>
      </c>
      <c r="M292" s="1045"/>
      <c r="N292" s="1046"/>
      <c r="O292" s="1066">
        <f t="shared" si="213"/>
        <v>0</v>
      </c>
      <c r="P292" s="1067">
        <f t="shared" si="215"/>
        <v>0</v>
      </c>
      <c r="Q292" s="1038"/>
      <c r="R292" s="1045">
        <f t="shared" si="261"/>
        <v>0</v>
      </c>
      <c r="S292" s="1046">
        <f t="shared" si="253"/>
        <v>0</v>
      </c>
      <c r="T292" s="651">
        <f t="shared" si="214"/>
        <v>0</v>
      </c>
      <c r="U292" s="652">
        <f t="shared" si="268"/>
        <v>0</v>
      </c>
      <c r="V292" s="94"/>
      <c r="X292" s="580" t="str">
        <f t="shared" si="254"/>
        <v/>
      </c>
      <c r="Y292" s="580" t="str">
        <f t="shared" si="221"/>
        <v/>
      </c>
      <c r="Z292" s="580" t="str">
        <f t="shared" si="240"/>
        <v/>
      </c>
    </row>
    <row r="293" spans="1:26" ht="13.5" hidden="1" thickBot="1" x14ac:dyDescent="0.25">
      <c r="A293" s="97" t="s">
        <v>165</v>
      </c>
      <c r="B293" s="1031" t="s">
        <v>165</v>
      </c>
      <c r="C293" s="978"/>
      <c r="D293" s="927" t="s">
        <v>261</v>
      </c>
      <c r="E293" s="596"/>
      <c r="F293" s="977">
        <v>20</v>
      </c>
      <c r="G293" s="997">
        <v>2.2000000000000002</v>
      </c>
      <c r="H293" s="996">
        <f t="shared" ref="H293" si="275">IF(F293&lt;=30,(0.7*F293+1.45)*G293,((0.7*30+1.45)+0.58*(F293-30))*G293)</f>
        <v>33.99</v>
      </c>
      <c r="I293" s="592"/>
      <c r="J293" s="1030"/>
      <c r="K293" s="593">
        <f t="shared" si="247"/>
        <v>0</v>
      </c>
      <c r="L293" s="594" t="s">
        <v>783</v>
      </c>
      <c r="M293" s="1068"/>
      <c r="N293" s="1069"/>
      <c r="O293" s="1070">
        <f t="shared" si="213"/>
        <v>0</v>
      </c>
      <c r="P293" s="1071">
        <f t="shared" si="215"/>
        <v>0</v>
      </c>
      <c r="Q293" s="1038"/>
      <c r="R293" s="1068"/>
      <c r="S293" s="1069"/>
      <c r="T293" s="93">
        <f t="shared" ref="T293" si="276">IF(ISBLANK(R293),0,ROUND(K293*R293,2))</f>
        <v>0</v>
      </c>
      <c r="U293" s="95">
        <f t="shared" ref="U293" si="277">IF(ISBLANK(R293),0,ROUND(R293*S293,2))</f>
        <v>0</v>
      </c>
      <c r="V293" s="94"/>
      <c r="W293" s="579" t="str">
        <f>IF(U292&gt;0,"xx",IF(P292&gt;0,"xy",""))</f>
        <v/>
      </c>
      <c r="X293" s="580" t="str">
        <f t="shared" ref="X293" si="278">IF(W293="X","x",IF(W293="xx","x",IF(W293="xy","x",IF(W293="y","x",IF(OR(P293&gt;0,U293&gt;0),"x","")))))</f>
        <v/>
      </c>
      <c r="Y293" s="580" t="str">
        <f t="shared" ref="Y293" si="279">IF(W293="X","x",IF(W293="y","x",IF(W293="xx","x",IF(U293&gt;0,"x",""))))</f>
        <v/>
      </c>
      <c r="Z293" s="580" t="str">
        <f t="shared" ref="Z293" si="280">IF(W293="X","x",IF(U293&gt;0,"x",""))</f>
        <v/>
      </c>
    </row>
    <row r="294" spans="1:26" ht="13.5" hidden="1" thickBot="1" x14ac:dyDescent="0.25">
      <c r="A294" s="1008">
        <v>589520</v>
      </c>
      <c r="B294" s="1004" t="s">
        <v>2029</v>
      </c>
      <c r="C294" s="1048" t="s">
        <v>241</v>
      </c>
      <c r="D294" s="914" t="s">
        <v>841</v>
      </c>
      <c r="E294" s="653"/>
      <c r="F294" s="998">
        <v>500</v>
      </c>
      <c r="G294" s="999">
        <v>1</v>
      </c>
      <c r="H294" s="1000">
        <f>(0.52*F294+25.75)*G294</f>
        <v>285.75</v>
      </c>
      <c r="I294" s="654">
        <f>LIGANTES!$M$26</f>
        <v>3314.7</v>
      </c>
      <c r="J294" s="1051">
        <f>IF(ISBLANK(I294),"",I294*(1+$F$9)/(1+$F$10))+H294</f>
        <v>3509.7594158245001</v>
      </c>
      <c r="K294" s="655">
        <f t="shared" si="247"/>
        <v>4271.7299999999996</v>
      </c>
      <c r="L294" s="656" t="s">
        <v>20</v>
      </c>
      <c r="M294" s="1052">
        <f>ROUND(M292*G292,2)</f>
        <v>0</v>
      </c>
      <c r="N294" s="1075"/>
      <c r="O294" s="1054">
        <f t="shared" si="213"/>
        <v>0</v>
      </c>
      <c r="P294" s="1055">
        <f t="shared" si="215"/>
        <v>0</v>
      </c>
      <c r="Q294" s="1038"/>
      <c r="R294" s="1056">
        <f>ROUND(R292*G292,2)</f>
        <v>0</v>
      </c>
      <c r="S294" s="1076">
        <f t="shared" si="253"/>
        <v>0</v>
      </c>
      <c r="T294" s="657">
        <f t="shared" si="214"/>
        <v>0</v>
      </c>
      <c r="U294" s="658">
        <f t="shared" si="268"/>
        <v>0</v>
      </c>
      <c r="V294" s="94"/>
      <c r="W294" s="579" t="str">
        <f>IF(U292&gt;0,"xx",IF(P292&gt;0,"xy",""))</f>
        <v/>
      </c>
      <c r="X294" s="580" t="str">
        <f t="shared" si="254"/>
        <v/>
      </c>
      <c r="Y294" s="580" t="str">
        <f t="shared" si="221"/>
        <v/>
      </c>
      <c r="Z294" s="580" t="str">
        <f t="shared" si="240"/>
        <v/>
      </c>
    </row>
    <row r="295" spans="1:26" ht="13.5" hidden="1" thickBot="1" x14ac:dyDescent="0.25">
      <c r="A295" s="1008">
        <v>564300</v>
      </c>
      <c r="B295" s="1064">
        <v>564300</v>
      </c>
      <c r="C295" s="1065" t="s">
        <v>212</v>
      </c>
      <c r="D295" s="929" t="s">
        <v>269</v>
      </c>
      <c r="E295" s="647"/>
      <c r="F295" s="991" t="s">
        <v>851</v>
      </c>
      <c r="G295" s="992">
        <v>0.1</v>
      </c>
      <c r="H295" s="993">
        <f>SUM(H296:H296)</f>
        <v>33.99</v>
      </c>
      <c r="I295" s="648">
        <v>100.41</v>
      </c>
      <c r="J295" s="1041">
        <f t="shared" si="198"/>
        <v>134.4</v>
      </c>
      <c r="K295" s="649">
        <f t="shared" si="247"/>
        <v>163.58000000000001</v>
      </c>
      <c r="L295" s="650" t="s">
        <v>16</v>
      </c>
      <c r="M295" s="1045"/>
      <c r="N295" s="1046"/>
      <c r="O295" s="1066">
        <f t="shared" si="213"/>
        <v>0</v>
      </c>
      <c r="P295" s="1067">
        <f t="shared" si="215"/>
        <v>0</v>
      </c>
      <c r="Q295" s="1038"/>
      <c r="R295" s="1045">
        <f t="shared" si="261"/>
        <v>0</v>
      </c>
      <c r="S295" s="1046">
        <f t="shared" si="253"/>
        <v>0</v>
      </c>
      <c r="T295" s="651">
        <f t="shared" si="214"/>
        <v>0</v>
      </c>
      <c r="U295" s="652">
        <f t="shared" si="268"/>
        <v>0</v>
      </c>
      <c r="V295" s="94"/>
      <c r="X295" s="580" t="str">
        <f t="shared" si="254"/>
        <v/>
      </c>
      <c r="Y295" s="580" t="str">
        <f t="shared" si="221"/>
        <v/>
      </c>
      <c r="Z295" s="580" t="str">
        <f t="shared" si="240"/>
        <v/>
      </c>
    </row>
    <row r="296" spans="1:26" ht="13.5" hidden="1" thickBot="1" x14ac:dyDescent="0.25">
      <c r="A296" s="97" t="s">
        <v>165</v>
      </c>
      <c r="B296" s="1031" t="s">
        <v>165</v>
      </c>
      <c r="C296" s="978"/>
      <c r="D296" s="928" t="s">
        <v>261</v>
      </c>
      <c r="E296" s="596"/>
      <c r="F296" s="977">
        <v>20</v>
      </c>
      <c r="G296" s="997">
        <v>2.2000000000000002</v>
      </c>
      <c r="H296" s="996">
        <f t="shared" ref="H296" si="281">IF(F296&lt;=30,(0.7*F296+1.45)*G296,((0.7*30+1.45)+0.58*(F296-30))*G296)</f>
        <v>33.99</v>
      </c>
      <c r="I296" s="592"/>
      <c r="J296" s="1030"/>
      <c r="K296" s="593">
        <f t="shared" si="247"/>
        <v>0</v>
      </c>
      <c r="L296" s="594" t="s">
        <v>783</v>
      </c>
      <c r="M296" s="1068"/>
      <c r="N296" s="1069"/>
      <c r="O296" s="1070">
        <f t="shared" si="213"/>
        <v>0</v>
      </c>
      <c r="P296" s="1071">
        <f t="shared" si="215"/>
        <v>0</v>
      </c>
      <c r="Q296" s="1038"/>
      <c r="R296" s="1068"/>
      <c r="S296" s="1069"/>
      <c r="T296" s="93">
        <f t="shared" ref="T296" si="282">IF(ISBLANK(R296),0,ROUND(K296*R296,2))</f>
        <v>0</v>
      </c>
      <c r="U296" s="95">
        <f t="shared" ref="U296" si="283">IF(ISBLANK(R296),0,ROUND(R296*S296,2))</f>
        <v>0</v>
      </c>
      <c r="V296" s="94"/>
      <c r="W296" s="579" t="str">
        <f>IF(U295&gt;0,"xx",IF(P295&gt;0,"xy",""))</f>
        <v/>
      </c>
      <c r="X296" s="580" t="str">
        <f t="shared" ref="X296" si="284">IF(W296="X","x",IF(W296="xx","x",IF(W296="xy","x",IF(W296="y","x",IF(OR(P296&gt;0,U296&gt;0),"x","")))))</f>
        <v/>
      </c>
      <c r="Y296" s="580" t="str">
        <f t="shared" ref="Y296" si="285">IF(W296="X","x",IF(W296="y","x",IF(W296="xx","x",IF(U296&gt;0,"x",""))))</f>
        <v/>
      </c>
      <c r="Z296" s="580" t="str">
        <f t="shared" ref="Z296" si="286">IF(W296="X","x",IF(U296&gt;0,"x",""))</f>
        <v/>
      </c>
    </row>
    <row r="297" spans="1:26" ht="13.5" hidden="1" thickBot="1" x14ac:dyDescent="0.25">
      <c r="A297" s="1008">
        <v>589000</v>
      </c>
      <c r="B297" s="1004" t="s">
        <v>2075</v>
      </c>
      <c r="C297" s="1048" t="s">
        <v>241</v>
      </c>
      <c r="D297" s="914" t="s">
        <v>842</v>
      </c>
      <c r="E297" s="653"/>
      <c r="F297" s="998">
        <v>500</v>
      </c>
      <c r="G297" s="999">
        <v>1</v>
      </c>
      <c r="H297" s="1000">
        <f>(0.58*F297+28.61)*G297</f>
        <v>318.61</v>
      </c>
      <c r="I297" s="654">
        <f>LIGANTES!$M$15</f>
        <v>4434.49</v>
      </c>
      <c r="J297" s="1051">
        <f>IF(ISBLANK(I297),"",I297*(1+$F$9)/(1+$F$10))+H297</f>
        <v>4631.771828937638</v>
      </c>
      <c r="K297" s="655">
        <f t="shared" si="247"/>
        <v>5637.33</v>
      </c>
      <c r="L297" s="656" t="s">
        <v>20</v>
      </c>
      <c r="M297" s="1052">
        <f>ROUND(M295*G295,2)</f>
        <v>0</v>
      </c>
      <c r="N297" s="1075"/>
      <c r="O297" s="1054">
        <f t="shared" si="213"/>
        <v>0</v>
      </c>
      <c r="P297" s="1055">
        <f t="shared" si="215"/>
        <v>0</v>
      </c>
      <c r="Q297" s="1038"/>
      <c r="R297" s="1056">
        <f>ROUND(R295*G295,2)</f>
        <v>0</v>
      </c>
      <c r="S297" s="1076">
        <f t="shared" si="253"/>
        <v>0</v>
      </c>
      <c r="T297" s="657">
        <f t="shared" si="214"/>
        <v>0</v>
      </c>
      <c r="U297" s="658">
        <f t="shared" si="268"/>
        <v>0</v>
      </c>
      <c r="V297" s="94"/>
      <c r="W297" s="579" t="str">
        <f>IF(U295&gt;0,"xx",IF(P295&gt;0,"xy",""))</f>
        <v/>
      </c>
      <c r="X297" s="580" t="str">
        <f t="shared" si="254"/>
        <v/>
      </c>
      <c r="Y297" s="580" t="str">
        <f t="shared" si="221"/>
        <v/>
      </c>
      <c r="Z297" s="580" t="str">
        <f t="shared" si="240"/>
        <v/>
      </c>
    </row>
    <row r="298" spans="1:26" ht="13.5" hidden="1" thickBot="1" x14ac:dyDescent="0.25">
      <c r="A298" s="1008">
        <v>563100</v>
      </c>
      <c r="B298" s="1064" t="s">
        <v>2108</v>
      </c>
      <c r="C298" s="1065" t="s">
        <v>212</v>
      </c>
      <c r="D298" s="926" t="s">
        <v>270</v>
      </c>
      <c r="E298" s="647"/>
      <c r="F298" s="991" t="s">
        <v>850</v>
      </c>
      <c r="G298" s="992">
        <v>5.0000000000000001E-4</v>
      </c>
      <c r="H298" s="993">
        <f>SUM(H299:H299)</f>
        <v>0.10815</v>
      </c>
      <c r="I298" s="648">
        <v>0.88</v>
      </c>
      <c r="J298" s="1041">
        <f t="shared" si="198"/>
        <v>0.98814999999999997</v>
      </c>
      <c r="K298" s="649">
        <f t="shared" si="247"/>
        <v>1.2</v>
      </c>
      <c r="L298" s="650" t="s">
        <v>18</v>
      </c>
      <c r="M298" s="1045"/>
      <c r="N298" s="1046"/>
      <c r="O298" s="1066">
        <f t="shared" si="213"/>
        <v>0</v>
      </c>
      <c r="P298" s="1067">
        <f t="shared" si="215"/>
        <v>0</v>
      </c>
      <c r="Q298" s="1038"/>
      <c r="R298" s="1045">
        <f t="shared" si="261"/>
        <v>0</v>
      </c>
      <c r="S298" s="1046">
        <f t="shared" si="253"/>
        <v>0</v>
      </c>
      <c r="T298" s="651">
        <f t="shared" si="214"/>
        <v>0</v>
      </c>
      <c r="U298" s="652">
        <f t="shared" si="268"/>
        <v>0</v>
      </c>
      <c r="V298" s="94"/>
      <c r="X298" s="580" t="str">
        <f t="shared" si="254"/>
        <v/>
      </c>
      <c r="Y298" s="580" t="str">
        <f t="shared" si="221"/>
        <v/>
      </c>
      <c r="Z298" s="580" t="str">
        <f t="shared" si="240"/>
        <v/>
      </c>
    </row>
    <row r="299" spans="1:26" ht="13.5" hidden="1" thickBot="1" x14ac:dyDescent="0.25">
      <c r="A299" s="97" t="s">
        <v>165</v>
      </c>
      <c r="B299" s="1031" t="s">
        <v>165</v>
      </c>
      <c r="C299" s="978"/>
      <c r="D299" s="927" t="s">
        <v>261</v>
      </c>
      <c r="E299" s="596"/>
      <c r="F299" s="977">
        <v>20</v>
      </c>
      <c r="G299" s="997">
        <v>7.0000000000000001E-3</v>
      </c>
      <c r="H299" s="996">
        <f t="shared" ref="H299" si="287">IF(F299&lt;=30,(0.7*F299+1.45)*G299,((0.7*30+1.45)+0.58*(F299-30))*G299)</f>
        <v>0.10815</v>
      </c>
      <c r="I299" s="592"/>
      <c r="J299" s="1030"/>
      <c r="K299" s="593">
        <f t="shared" si="247"/>
        <v>0</v>
      </c>
      <c r="L299" s="594" t="s">
        <v>783</v>
      </c>
      <c r="M299" s="1068"/>
      <c r="N299" s="1069"/>
      <c r="O299" s="1070">
        <f t="shared" si="213"/>
        <v>0</v>
      </c>
      <c r="P299" s="1071">
        <f t="shared" si="215"/>
        <v>0</v>
      </c>
      <c r="Q299" s="1038"/>
      <c r="R299" s="1068"/>
      <c r="S299" s="1069"/>
      <c r="T299" s="93">
        <f t="shared" ref="T299" si="288">IF(ISBLANK(R299),0,ROUND(K299*R299,2))</f>
        <v>0</v>
      </c>
      <c r="U299" s="95">
        <f t="shared" ref="U299" si="289">IF(ISBLANK(R299),0,ROUND(R299*S299,2))</f>
        <v>0</v>
      </c>
      <c r="V299" s="94"/>
      <c r="W299" s="579" t="str">
        <f>IF(U298&gt;0,"xx",IF(P298&gt;0,"xy",""))</f>
        <v/>
      </c>
      <c r="X299" s="580" t="str">
        <f t="shared" ref="X299" si="290">IF(W299="X","x",IF(W299="xx","x",IF(W299="xy","x",IF(W299="y","x",IF(OR(P299&gt;0,U299&gt;0),"x","")))))</f>
        <v/>
      </c>
      <c r="Y299" s="580" t="str">
        <f t="shared" ref="Y299" si="291">IF(W299="X","x",IF(W299="y","x",IF(W299="xx","x",IF(U299&gt;0,"x",""))))</f>
        <v/>
      </c>
      <c r="Z299" s="580" t="str">
        <f t="shared" ref="Z299" si="292">IF(W299="X","x",IF(U299&gt;0,"x",""))</f>
        <v/>
      </c>
    </row>
    <row r="300" spans="1:26" ht="13.5" hidden="1" thickBot="1" x14ac:dyDescent="0.25">
      <c r="A300" s="1008">
        <v>589520</v>
      </c>
      <c r="B300" s="1004" t="s">
        <v>2030</v>
      </c>
      <c r="C300" s="1048" t="s">
        <v>241</v>
      </c>
      <c r="D300" s="914" t="s">
        <v>843</v>
      </c>
      <c r="E300" s="653"/>
      <c r="F300" s="998">
        <v>500</v>
      </c>
      <c r="G300" s="999">
        <v>1</v>
      </c>
      <c r="H300" s="1000">
        <f>(0.52*F300+25.75)*G300</f>
        <v>285.75</v>
      </c>
      <c r="I300" s="654">
        <f>LIGANTES!$M$26</f>
        <v>3314.7</v>
      </c>
      <c r="J300" s="1051">
        <f>IF(ISBLANK(I300),"",I300*(1+$F$9)/(1+$F$10))+H300</f>
        <v>3509.7594158245001</v>
      </c>
      <c r="K300" s="655">
        <f t="shared" si="247"/>
        <v>4271.7299999999996</v>
      </c>
      <c r="L300" s="656" t="s">
        <v>20</v>
      </c>
      <c r="M300" s="1052">
        <f>ROUND(M298*G298,2)</f>
        <v>0</v>
      </c>
      <c r="N300" s="1075"/>
      <c r="O300" s="1054">
        <f t="shared" si="213"/>
        <v>0</v>
      </c>
      <c r="P300" s="1055">
        <f t="shared" si="215"/>
        <v>0</v>
      </c>
      <c r="Q300" s="1038"/>
      <c r="R300" s="1056">
        <f>ROUND(R298*G298,2)</f>
        <v>0</v>
      </c>
      <c r="S300" s="1076">
        <f t="shared" si="253"/>
        <v>0</v>
      </c>
      <c r="T300" s="657">
        <f t="shared" si="214"/>
        <v>0</v>
      </c>
      <c r="U300" s="658">
        <f t="shared" si="268"/>
        <v>0</v>
      </c>
      <c r="V300" s="94"/>
      <c r="W300" s="579" t="str">
        <f>IF(U298&gt;0,"xx",IF(P298&gt;0,"xy",""))</f>
        <v/>
      </c>
      <c r="X300" s="580" t="str">
        <f t="shared" si="254"/>
        <v/>
      </c>
      <c r="Y300" s="580" t="str">
        <f t="shared" si="221"/>
        <v/>
      </c>
      <c r="Z300" s="580" t="str">
        <f t="shared" si="240"/>
        <v/>
      </c>
    </row>
    <row r="301" spans="1:26" ht="13.5" hidden="1" thickBot="1" x14ac:dyDescent="0.25">
      <c r="A301" s="1008">
        <v>534000</v>
      </c>
      <c r="B301" s="1064" t="s">
        <v>885</v>
      </c>
      <c r="C301" s="1065" t="s">
        <v>212</v>
      </c>
      <c r="D301" s="327" t="s">
        <v>859</v>
      </c>
      <c r="E301" s="915"/>
      <c r="F301" s="991" t="s">
        <v>852</v>
      </c>
      <c r="G301" s="992">
        <v>0.08</v>
      </c>
      <c r="H301" s="993">
        <f>SUM(H302:H305)</f>
        <v>40.572800000000008</v>
      </c>
      <c r="I301" s="648">
        <v>110.27</v>
      </c>
      <c r="J301" s="1041">
        <f t="shared" ref="J301" si="293">IF(ISBLANK(I301),"",SUM(H301:I301))</f>
        <v>150.84280000000001</v>
      </c>
      <c r="K301" s="649">
        <f t="shared" si="247"/>
        <v>183.59</v>
      </c>
      <c r="L301" s="650" t="s">
        <v>16</v>
      </c>
      <c r="M301" s="1045"/>
      <c r="N301" s="1046"/>
      <c r="O301" s="1066">
        <f t="shared" si="213"/>
        <v>0</v>
      </c>
      <c r="P301" s="1067">
        <f t="shared" si="215"/>
        <v>0</v>
      </c>
      <c r="Q301" s="1038"/>
      <c r="R301" s="1045">
        <f t="shared" si="261"/>
        <v>0</v>
      </c>
      <c r="S301" s="1046">
        <f t="shared" si="253"/>
        <v>0</v>
      </c>
      <c r="T301" s="651">
        <f t="shared" ref="T301:T306" si="294">IF(ISBLANK(R301),0,ROUND(K301*R301,2))</f>
        <v>0</v>
      </c>
      <c r="U301" s="652">
        <f t="shared" ref="U301:U306" si="295">IF(ISBLANK(R301),0,ROUND(R301*S301,2))</f>
        <v>0</v>
      </c>
      <c r="V301" s="94"/>
      <c r="X301" s="580" t="str">
        <f t="shared" ref="X301:X306" si="296">IF(W301="X","x",IF(W301="xx","x",IF(W301="xy","x",IF(W301="y","x",IF(OR(P301&gt;0,U301&gt;0),"x","")))))</f>
        <v/>
      </c>
      <c r="Y301" s="580" t="str">
        <f t="shared" ref="Y301:Y306" si="297">IF(W301="X","x",IF(W301="y","x",IF(W301="xx","x",IF(U301&gt;0,"x",""))))</f>
        <v/>
      </c>
      <c r="Z301" s="580" t="str">
        <f t="shared" ref="Z301:Z306" si="298">IF(W301="X","x",IF(U301&gt;0,"x",""))</f>
        <v/>
      </c>
    </row>
    <row r="302" spans="1:26" ht="13.5" hidden="1" thickBot="1" x14ac:dyDescent="0.25">
      <c r="A302" s="97" t="s">
        <v>165</v>
      </c>
      <c r="B302" s="1031" t="s">
        <v>165</v>
      </c>
      <c r="C302" s="978"/>
      <c r="D302" s="916" t="s">
        <v>257</v>
      </c>
      <c r="E302" s="917"/>
      <c r="F302" s="994">
        <v>180</v>
      </c>
      <c r="G302" s="997"/>
      <c r="H302" s="996">
        <f t="shared" ref="H302" si="299">IF(F302&lt;=30,(0.7*F302+1.45)*G302,((0.7*30+1.45)+0.58*(F302-30))*G302)</f>
        <v>0</v>
      </c>
      <c r="I302" s="592"/>
      <c r="J302" s="1030" t="str">
        <f t="shared" ref="J302" si="300">IF(ISBLANK(I302),"",SUM(H302:I302))</f>
        <v/>
      </c>
      <c r="K302" s="593">
        <f t="shared" si="247"/>
        <v>0</v>
      </c>
      <c r="L302" s="594" t="s">
        <v>783</v>
      </c>
      <c r="M302" s="1068"/>
      <c r="N302" s="1069"/>
      <c r="O302" s="1070">
        <f t="shared" si="213"/>
        <v>0</v>
      </c>
      <c r="P302" s="1071">
        <f t="shared" si="215"/>
        <v>0</v>
      </c>
      <c r="Q302" s="1038"/>
      <c r="R302" s="1068"/>
      <c r="S302" s="1069"/>
      <c r="T302" s="93">
        <f t="shared" si="294"/>
        <v>0</v>
      </c>
      <c r="U302" s="95">
        <f t="shared" si="295"/>
        <v>0</v>
      </c>
      <c r="V302" s="94"/>
      <c r="W302" s="579" t="str">
        <f>IF(U301&gt;0,"xx",IF(P301&gt;0,"xy",""))</f>
        <v/>
      </c>
      <c r="X302" s="580" t="str">
        <f t="shared" si="296"/>
        <v/>
      </c>
      <c r="Y302" s="580" t="str">
        <f t="shared" si="297"/>
        <v/>
      </c>
      <c r="Z302" s="580" t="str">
        <f t="shared" si="298"/>
        <v/>
      </c>
    </row>
    <row r="303" spans="1:26" ht="13.5" hidden="1" thickBot="1" x14ac:dyDescent="0.25">
      <c r="A303" s="97" t="s">
        <v>165</v>
      </c>
      <c r="B303" s="1031" t="s">
        <v>165</v>
      </c>
      <c r="C303" s="978"/>
      <c r="D303" s="916" t="s">
        <v>258</v>
      </c>
      <c r="E303" s="917"/>
      <c r="F303" s="994">
        <v>500</v>
      </c>
      <c r="G303" s="997"/>
      <c r="H303" s="979">
        <f>IF(F303&lt;=30,(0.51*F303+4.28)*G303,((0.51*30+4.28)+0.42*(F303-30))*G303)</f>
        <v>0</v>
      </c>
      <c r="I303" s="592"/>
      <c r="J303" s="1030" t="str">
        <f t="shared" ref="J303" si="301">IF(ISBLANK(I303),"",SUM(H303:I303))</f>
        <v/>
      </c>
      <c r="K303" s="593">
        <f t="shared" si="247"/>
        <v>0</v>
      </c>
      <c r="L303" s="594" t="s">
        <v>783</v>
      </c>
      <c r="M303" s="1068"/>
      <c r="N303" s="1069"/>
      <c r="O303" s="1070">
        <f t="shared" si="213"/>
        <v>0</v>
      </c>
      <c r="P303" s="1071">
        <f t="shared" si="215"/>
        <v>0</v>
      </c>
      <c r="Q303" s="1038"/>
      <c r="R303" s="1068"/>
      <c r="S303" s="1069"/>
      <c r="T303" s="93">
        <f t="shared" ref="T303:T304" si="302">IF(ISBLANK(R303),0,ROUND(K303*R303,2))</f>
        <v>0</v>
      </c>
      <c r="U303" s="95">
        <f t="shared" ref="U303:U304" si="303">IF(ISBLANK(R303),0,ROUND(R303*S303,2))</f>
        <v>0</v>
      </c>
      <c r="V303" s="94"/>
      <c r="W303" s="579" t="str">
        <f>IF(U301&gt;0,"xx",IF(P301&gt;0,"xy",""))</f>
        <v/>
      </c>
      <c r="X303" s="580" t="str">
        <f t="shared" ref="X303:X304" si="304">IF(W303="X","x",IF(W303="xx","x",IF(W303="xy","x",IF(W303="y","x",IF(OR(P303&gt;0,U303&gt;0),"x","")))))</f>
        <v/>
      </c>
      <c r="Y303" s="580" t="str">
        <f t="shared" ref="Y303:Y304" si="305">IF(W303="X","x",IF(W303="y","x",IF(W303="xx","x",IF(U303&gt;0,"x",""))))</f>
        <v/>
      </c>
      <c r="Z303" s="580" t="str">
        <f t="shared" ref="Z303:Z304" si="306">IF(W303="X","x",IF(U303&gt;0,"x",""))</f>
        <v/>
      </c>
    </row>
    <row r="304" spans="1:26" ht="13.5" hidden="1" thickBot="1" x14ac:dyDescent="0.25">
      <c r="A304" s="97" t="s">
        <v>165</v>
      </c>
      <c r="B304" s="1031" t="s">
        <v>165</v>
      </c>
      <c r="C304" s="978"/>
      <c r="D304" s="916" t="s">
        <v>271</v>
      </c>
      <c r="E304" s="917"/>
      <c r="F304" s="994">
        <v>0.2</v>
      </c>
      <c r="G304" s="997">
        <v>2.12</v>
      </c>
      <c r="H304" s="979">
        <f>IF(F304=0,0,IF(F304&lt;=30,(0.7*F304+1.45)*G304,((0.7*30+1.45)+0.58*(F304-30))*G304))</f>
        <v>3.3708</v>
      </c>
      <c r="I304" s="592"/>
      <c r="J304" s="1030"/>
      <c r="K304" s="593">
        <f t="shared" si="247"/>
        <v>0</v>
      </c>
      <c r="L304" s="594" t="s">
        <v>783</v>
      </c>
      <c r="M304" s="1068"/>
      <c r="N304" s="1069"/>
      <c r="O304" s="1070">
        <f t="shared" si="213"/>
        <v>0</v>
      </c>
      <c r="P304" s="1071">
        <f t="shared" si="215"/>
        <v>0</v>
      </c>
      <c r="Q304" s="1038"/>
      <c r="R304" s="1068"/>
      <c r="S304" s="1069"/>
      <c r="T304" s="93">
        <f t="shared" si="302"/>
        <v>0</v>
      </c>
      <c r="U304" s="95">
        <f t="shared" si="303"/>
        <v>0</v>
      </c>
      <c r="V304" s="94"/>
      <c r="W304" s="579" t="str">
        <f>IF(U301&gt;0,"xx",IF(P301&gt;0,"xy",""))</f>
        <v/>
      </c>
      <c r="X304" s="580" t="str">
        <f t="shared" si="304"/>
        <v/>
      </c>
      <c r="Y304" s="580" t="str">
        <f t="shared" si="305"/>
        <v/>
      </c>
      <c r="Z304" s="580" t="str">
        <f t="shared" si="306"/>
        <v/>
      </c>
    </row>
    <row r="305" spans="1:35" ht="13.5" hidden="1" thickBot="1" x14ac:dyDescent="0.25">
      <c r="A305" s="97" t="s">
        <v>165</v>
      </c>
      <c r="B305" s="1031" t="s">
        <v>165</v>
      </c>
      <c r="C305" s="978"/>
      <c r="D305" s="916" t="s">
        <v>272</v>
      </c>
      <c r="E305" s="917"/>
      <c r="F305" s="994">
        <v>20</v>
      </c>
      <c r="G305" s="997">
        <f>SUM(G301:G304)</f>
        <v>2.2000000000000002</v>
      </c>
      <c r="H305" s="979">
        <f>IF(F305&lt;=30,(0.7*F305+2.91)*G305,((0.7*30+2.91)+0.58*(F305-30))*G305)</f>
        <v>37.202000000000005</v>
      </c>
      <c r="I305" s="592"/>
      <c r="J305" s="1030"/>
      <c r="K305" s="593">
        <f t="shared" si="247"/>
        <v>0</v>
      </c>
      <c r="L305" s="594" t="s">
        <v>783</v>
      </c>
      <c r="M305" s="1068"/>
      <c r="N305" s="1077"/>
      <c r="O305" s="1070">
        <f t="shared" si="213"/>
        <v>0</v>
      </c>
      <c r="P305" s="1071">
        <f t="shared" si="215"/>
        <v>0</v>
      </c>
      <c r="Q305" s="1038"/>
      <c r="R305" s="1068"/>
      <c r="S305" s="1069"/>
      <c r="T305" s="93">
        <f t="shared" si="294"/>
        <v>0</v>
      </c>
      <c r="U305" s="95">
        <f t="shared" si="295"/>
        <v>0</v>
      </c>
      <c r="V305" s="94"/>
      <c r="W305" s="579" t="str">
        <f>IF(U301&gt;0,"xx",IF(P301&gt;0,"xy",""))</f>
        <v/>
      </c>
      <c r="X305" s="580" t="str">
        <f t="shared" si="296"/>
        <v/>
      </c>
      <c r="Y305" s="580" t="str">
        <f t="shared" si="297"/>
        <v/>
      </c>
      <c r="Z305" s="580" t="str">
        <f t="shared" si="298"/>
        <v/>
      </c>
    </row>
    <row r="306" spans="1:35" ht="13.5" hidden="1" thickBot="1" x14ac:dyDescent="0.25">
      <c r="A306" s="1008">
        <v>589320</v>
      </c>
      <c r="B306" s="1004" t="s">
        <v>1001</v>
      </c>
      <c r="C306" s="1048" t="s">
        <v>241</v>
      </c>
      <c r="D306" s="914" t="s">
        <v>991</v>
      </c>
      <c r="E306" s="919"/>
      <c r="F306" s="998">
        <v>500</v>
      </c>
      <c r="G306" s="999">
        <v>1</v>
      </c>
      <c r="H306" s="1000">
        <f>(0.52*F306+25.75)*G306</f>
        <v>285.75</v>
      </c>
      <c r="I306" s="654">
        <f>LIGANTES!$M$23</f>
        <v>3617.13</v>
      </c>
      <c r="J306" s="1051">
        <f>IF(ISBLANK(I306),"",I306*(1+$F$9)/(1+$F$10))+H306</f>
        <v>3803.9148952427904</v>
      </c>
      <c r="K306" s="655">
        <f t="shared" si="247"/>
        <v>4629.74</v>
      </c>
      <c r="L306" s="656" t="s">
        <v>20</v>
      </c>
      <c r="M306" s="1052">
        <f>ROUND(M301*G301,2)</f>
        <v>0</v>
      </c>
      <c r="N306" s="1072"/>
      <c r="O306" s="1054">
        <f t="shared" si="213"/>
        <v>0</v>
      </c>
      <c r="P306" s="1055">
        <f t="shared" si="215"/>
        <v>0</v>
      </c>
      <c r="Q306" s="1038"/>
      <c r="R306" s="1056">
        <f>ROUND(R301*G301,2)</f>
        <v>0</v>
      </c>
      <c r="S306" s="1076">
        <f t="shared" si="253"/>
        <v>0</v>
      </c>
      <c r="T306" s="657">
        <f t="shared" si="294"/>
        <v>0</v>
      </c>
      <c r="U306" s="658">
        <f t="shared" si="295"/>
        <v>0</v>
      </c>
      <c r="V306" s="94"/>
      <c r="W306" s="579" t="str">
        <f>IF(U301&gt;0,"xx",IF(P301&gt;0,"xy",""))</f>
        <v/>
      </c>
      <c r="X306" s="580" t="str">
        <f t="shared" si="296"/>
        <v/>
      </c>
      <c r="Y306" s="580" t="str">
        <f t="shared" si="297"/>
        <v/>
      </c>
      <c r="Z306" s="580" t="str">
        <f t="shared" si="298"/>
        <v/>
      </c>
    </row>
    <row r="307" spans="1:35" ht="13.5" hidden="1" thickBot="1" x14ac:dyDescent="0.25">
      <c r="A307" s="1008">
        <v>534000</v>
      </c>
      <c r="B307" s="1064" t="s">
        <v>886</v>
      </c>
      <c r="C307" s="1065" t="s">
        <v>212</v>
      </c>
      <c r="D307" s="327" t="s">
        <v>858</v>
      </c>
      <c r="E307" s="915"/>
      <c r="F307" s="991" t="s">
        <v>852</v>
      </c>
      <c r="G307" s="992">
        <v>0.08</v>
      </c>
      <c r="H307" s="993">
        <f>SUM(H308:H311)</f>
        <v>40.572800000000008</v>
      </c>
      <c r="I307" s="648">
        <v>110.27</v>
      </c>
      <c r="J307" s="1041">
        <f t="shared" ref="J307" si="307">IF(ISBLANK(I307),"",SUM(H307:I307))</f>
        <v>150.84280000000001</v>
      </c>
      <c r="K307" s="649">
        <f t="shared" si="247"/>
        <v>183.59</v>
      </c>
      <c r="L307" s="650" t="s">
        <v>16</v>
      </c>
      <c r="M307" s="1045"/>
      <c r="N307" s="1046"/>
      <c r="O307" s="1066">
        <f t="shared" si="213"/>
        <v>0</v>
      </c>
      <c r="P307" s="1067">
        <f t="shared" si="215"/>
        <v>0</v>
      </c>
      <c r="Q307" s="1038"/>
      <c r="R307" s="1045">
        <f t="shared" si="261"/>
        <v>0</v>
      </c>
      <c r="S307" s="1046">
        <f t="shared" si="253"/>
        <v>0</v>
      </c>
      <c r="T307" s="651">
        <f t="shared" ref="T307:T312" si="308">IF(ISBLANK(R307),0,ROUND(K307*R307,2))</f>
        <v>0</v>
      </c>
      <c r="U307" s="652">
        <f t="shared" ref="U307:U312" si="309">IF(ISBLANK(R307),0,ROUND(R307*S307,2))</f>
        <v>0</v>
      </c>
      <c r="V307" s="94"/>
      <c r="X307" s="580" t="str">
        <f t="shared" ref="X307:X312" si="310">IF(W307="X","x",IF(W307="xx","x",IF(W307="xy","x",IF(W307="y","x",IF(OR(P307&gt;0,U307&gt;0),"x","")))))</f>
        <v/>
      </c>
      <c r="Y307" s="580" t="str">
        <f t="shared" ref="Y307:Y312" si="311">IF(W307="X","x",IF(W307="y","x",IF(W307="xx","x",IF(U307&gt;0,"x",""))))</f>
        <v/>
      </c>
      <c r="Z307" s="580" t="str">
        <f t="shared" ref="Z307:Z312" si="312">IF(W307="X","x",IF(U307&gt;0,"x",""))</f>
        <v/>
      </c>
    </row>
    <row r="308" spans="1:35" ht="13.5" hidden="1" thickBot="1" x14ac:dyDescent="0.25">
      <c r="A308" s="97" t="s">
        <v>165</v>
      </c>
      <c r="B308" s="1031" t="s">
        <v>165</v>
      </c>
      <c r="C308" s="978"/>
      <c r="D308" s="916" t="s">
        <v>257</v>
      </c>
      <c r="E308" s="917"/>
      <c r="F308" s="994">
        <v>180</v>
      </c>
      <c r="G308" s="997"/>
      <c r="H308" s="996">
        <f t="shared" ref="H308" si="313">IF(F308&lt;=30,(0.7*F308+1.45)*G308,((0.7*30+1.45)+0.58*(F308-30))*G308)</f>
        <v>0</v>
      </c>
      <c r="I308" s="592"/>
      <c r="J308" s="1030" t="str">
        <f t="shared" ref="J308" si="314">IF(ISBLANK(I308),"",SUM(H308:I308))</f>
        <v/>
      </c>
      <c r="K308" s="593">
        <f t="shared" si="247"/>
        <v>0</v>
      </c>
      <c r="L308" s="594" t="s">
        <v>783</v>
      </c>
      <c r="M308" s="1068"/>
      <c r="N308" s="1069"/>
      <c r="O308" s="1070">
        <f t="shared" si="213"/>
        <v>0</v>
      </c>
      <c r="P308" s="1071">
        <f t="shared" si="215"/>
        <v>0</v>
      </c>
      <c r="Q308" s="1038"/>
      <c r="R308" s="1068"/>
      <c r="S308" s="1069"/>
      <c r="T308" s="93">
        <f t="shared" si="308"/>
        <v>0</v>
      </c>
      <c r="U308" s="95">
        <f t="shared" si="309"/>
        <v>0</v>
      </c>
      <c r="V308" s="94"/>
      <c r="W308" s="579" t="str">
        <f>IF(U307&gt;0,"xx",IF(P307&gt;0,"xy",""))</f>
        <v/>
      </c>
      <c r="X308" s="580" t="str">
        <f t="shared" si="310"/>
        <v/>
      </c>
      <c r="Y308" s="580" t="str">
        <f t="shared" si="311"/>
        <v/>
      </c>
      <c r="Z308" s="580" t="str">
        <f t="shared" si="312"/>
        <v/>
      </c>
    </row>
    <row r="309" spans="1:35" ht="13.5" hidden="1" thickBot="1" x14ac:dyDescent="0.25">
      <c r="A309" s="97" t="s">
        <v>165</v>
      </c>
      <c r="B309" s="1031" t="s">
        <v>165</v>
      </c>
      <c r="C309" s="978"/>
      <c r="D309" s="916" t="s">
        <v>258</v>
      </c>
      <c r="E309" s="917"/>
      <c r="F309" s="994">
        <v>500</v>
      </c>
      <c r="G309" s="997"/>
      <c r="H309" s="979">
        <f>IF(F309&lt;=30,(0.51*F309+4.28)*G309,((0.51*30+4.28)+0.42*(F309-30))*G309)</f>
        <v>0</v>
      </c>
      <c r="I309" s="592"/>
      <c r="J309" s="1030" t="str">
        <f t="shared" ref="J309" si="315">IF(ISBLANK(I309),"",SUM(H309:I309))</f>
        <v/>
      </c>
      <c r="K309" s="593">
        <f t="shared" si="247"/>
        <v>0</v>
      </c>
      <c r="L309" s="594" t="s">
        <v>783</v>
      </c>
      <c r="M309" s="1068"/>
      <c r="N309" s="1069"/>
      <c r="O309" s="1070">
        <f t="shared" si="213"/>
        <v>0</v>
      </c>
      <c r="P309" s="1071">
        <f t="shared" si="215"/>
        <v>0</v>
      </c>
      <c r="Q309" s="1038"/>
      <c r="R309" s="1068"/>
      <c r="S309" s="1069"/>
      <c r="T309" s="93">
        <f t="shared" ref="T309:T310" si="316">IF(ISBLANK(R309),0,ROUND(K309*R309,2))</f>
        <v>0</v>
      </c>
      <c r="U309" s="95">
        <f t="shared" ref="U309:U310" si="317">IF(ISBLANK(R309),0,ROUND(R309*S309,2))</f>
        <v>0</v>
      </c>
      <c r="V309" s="94"/>
      <c r="W309" s="579" t="str">
        <f>IF(U307&gt;0,"xx",IF(P307&gt;0,"xy",""))</f>
        <v/>
      </c>
      <c r="X309" s="580" t="str">
        <f t="shared" ref="X309:X310" si="318">IF(W309="X","x",IF(W309="xx","x",IF(W309="xy","x",IF(W309="y","x",IF(OR(P309&gt;0,U309&gt;0),"x","")))))</f>
        <v/>
      </c>
      <c r="Y309" s="580" t="str">
        <f t="shared" ref="Y309:Y310" si="319">IF(W309="X","x",IF(W309="y","x",IF(W309="xx","x",IF(U309&gt;0,"x",""))))</f>
        <v/>
      </c>
      <c r="Z309" s="580" t="str">
        <f t="shared" ref="Z309:Z310" si="320">IF(W309="X","x",IF(U309&gt;0,"x",""))</f>
        <v/>
      </c>
    </row>
    <row r="310" spans="1:35" ht="13.5" hidden="1" thickBot="1" x14ac:dyDescent="0.25">
      <c r="A310" s="97" t="s">
        <v>165</v>
      </c>
      <c r="B310" s="1031" t="s">
        <v>165</v>
      </c>
      <c r="C310" s="978"/>
      <c r="D310" s="916" t="s">
        <v>271</v>
      </c>
      <c r="E310" s="917"/>
      <c r="F310" s="994">
        <v>0.2</v>
      </c>
      <c r="G310" s="997">
        <v>2.12</v>
      </c>
      <c r="H310" s="979">
        <f>IF(F310=0,0,IF(F310&lt;=30,(0.7*F310+1.45)*G310,((0.7*30+1.45)+0.58*(F310-30))*G310))</f>
        <v>3.3708</v>
      </c>
      <c r="I310" s="592"/>
      <c r="J310" s="1030"/>
      <c r="K310" s="593">
        <f t="shared" si="247"/>
        <v>0</v>
      </c>
      <c r="L310" s="594" t="s">
        <v>783</v>
      </c>
      <c r="M310" s="1068"/>
      <c r="N310" s="1069"/>
      <c r="O310" s="1070">
        <f t="shared" si="213"/>
        <v>0</v>
      </c>
      <c r="P310" s="1071">
        <f t="shared" si="215"/>
        <v>0</v>
      </c>
      <c r="Q310" s="1038"/>
      <c r="R310" s="1068"/>
      <c r="S310" s="1069"/>
      <c r="T310" s="93">
        <f t="shared" si="316"/>
        <v>0</v>
      </c>
      <c r="U310" s="95">
        <f t="shared" si="317"/>
        <v>0</v>
      </c>
      <c r="V310" s="94"/>
      <c r="W310" s="579" t="str">
        <f>IF(U307&gt;0,"xx",IF(P307&gt;0,"xy",""))</f>
        <v/>
      </c>
      <c r="X310" s="580" t="str">
        <f t="shared" si="318"/>
        <v/>
      </c>
      <c r="Y310" s="580" t="str">
        <f t="shared" si="319"/>
        <v/>
      </c>
      <c r="Z310" s="580" t="str">
        <f t="shared" si="320"/>
        <v/>
      </c>
    </row>
    <row r="311" spans="1:35" ht="13.5" hidden="1" thickBot="1" x14ac:dyDescent="0.25">
      <c r="A311" s="97" t="s">
        <v>165</v>
      </c>
      <c r="B311" s="1031" t="s">
        <v>165</v>
      </c>
      <c r="C311" s="978"/>
      <c r="D311" s="916" t="s">
        <v>272</v>
      </c>
      <c r="E311" s="917"/>
      <c r="F311" s="994">
        <v>20</v>
      </c>
      <c r="G311" s="997">
        <f>SUM(G307:G310)</f>
        <v>2.2000000000000002</v>
      </c>
      <c r="H311" s="979">
        <f>IF(F311&lt;=30,(0.7*F311+2.91)*G311,((0.7*30+2.91)+0.58*(F311-30))*G311)</f>
        <v>37.202000000000005</v>
      </c>
      <c r="I311" s="592"/>
      <c r="J311" s="1030"/>
      <c r="K311" s="593">
        <f t="shared" ref="K311:K354" si="321">IF(ISBLANK(I311),0,ROUND(J311*(1+$F$10)*(1+$F$11*E311),2))</f>
        <v>0</v>
      </c>
      <c r="L311" s="594" t="s">
        <v>783</v>
      </c>
      <c r="M311" s="1068"/>
      <c r="N311" s="1077"/>
      <c r="O311" s="1070">
        <f t="shared" si="213"/>
        <v>0</v>
      </c>
      <c r="P311" s="1071">
        <f t="shared" si="215"/>
        <v>0</v>
      </c>
      <c r="Q311" s="1038"/>
      <c r="R311" s="1068"/>
      <c r="S311" s="1069"/>
      <c r="T311" s="93">
        <f t="shared" si="308"/>
        <v>0</v>
      </c>
      <c r="U311" s="95">
        <f t="shared" si="309"/>
        <v>0</v>
      </c>
      <c r="V311" s="94"/>
      <c r="W311" s="579" t="str">
        <f>IF(U307&gt;0,"xx",IF(P307&gt;0,"xy",""))</f>
        <v/>
      </c>
      <c r="X311" s="580" t="str">
        <f t="shared" si="310"/>
        <v/>
      </c>
      <c r="Y311" s="580" t="str">
        <f t="shared" si="311"/>
        <v/>
      </c>
      <c r="Z311" s="580" t="str">
        <f t="shared" si="312"/>
        <v/>
      </c>
    </row>
    <row r="312" spans="1:35" ht="13.5" hidden="1" thickBot="1" x14ac:dyDescent="0.25">
      <c r="A312" s="1008">
        <v>589320</v>
      </c>
      <c r="B312" s="1004" t="s">
        <v>1002</v>
      </c>
      <c r="C312" s="1048" t="s">
        <v>241</v>
      </c>
      <c r="D312" s="914" t="s">
        <v>991</v>
      </c>
      <c r="E312" s="919"/>
      <c r="F312" s="998">
        <v>500</v>
      </c>
      <c r="G312" s="999">
        <v>1</v>
      </c>
      <c r="H312" s="1000">
        <f>(0.52*F312+25.75)*G312</f>
        <v>285.75</v>
      </c>
      <c r="I312" s="654">
        <f>LIGANTES!$M$23</f>
        <v>3617.13</v>
      </c>
      <c r="J312" s="1051">
        <f>IF(ISBLANK(I312),"",I312*(1+$F$9)/(1+$F$10))+H312</f>
        <v>3803.9148952427904</v>
      </c>
      <c r="K312" s="655">
        <f t="shared" si="321"/>
        <v>4629.74</v>
      </c>
      <c r="L312" s="656" t="s">
        <v>20</v>
      </c>
      <c r="M312" s="1052">
        <f>ROUND(M307*G307,2)</f>
        <v>0</v>
      </c>
      <c r="N312" s="1072"/>
      <c r="O312" s="1054">
        <f t="shared" si="213"/>
        <v>0</v>
      </c>
      <c r="P312" s="1055">
        <f t="shared" si="215"/>
        <v>0</v>
      </c>
      <c r="Q312" s="1038"/>
      <c r="R312" s="1056">
        <f>ROUND(R307*G307,2)</f>
        <v>0</v>
      </c>
      <c r="S312" s="1076">
        <f t="shared" si="253"/>
        <v>0</v>
      </c>
      <c r="T312" s="657">
        <f t="shared" si="308"/>
        <v>0</v>
      </c>
      <c r="U312" s="658">
        <f t="shared" si="309"/>
        <v>0</v>
      </c>
      <c r="V312" s="94"/>
      <c r="W312" s="579" t="str">
        <f>IF(U307&gt;0,"xx",IF(P307&gt;0,"xy",""))</f>
        <v/>
      </c>
      <c r="X312" s="580" t="str">
        <f t="shared" si="310"/>
        <v/>
      </c>
      <c r="Y312" s="580" t="str">
        <f t="shared" si="311"/>
        <v/>
      </c>
      <c r="Z312" s="580" t="str">
        <f t="shared" si="312"/>
        <v/>
      </c>
    </row>
    <row r="313" spans="1:35" ht="13.5" hidden="1" thickBot="1" x14ac:dyDescent="0.25">
      <c r="A313" s="1008">
        <v>534000</v>
      </c>
      <c r="B313" s="1064" t="s">
        <v>2038</v>
      </c>
      <c r="C313" s="1065" t="s">
        <v>212</v>
      </c>
      <c r="D313" s="327" t="s">
        <v>860</v>
      </c>
      <c r="E313" s="915"/>
      <c r="F313" s="991" t="s">
        <v>852</v>
      </c>
      <c r="G313" s="992">
        <v>0.08</v>
      </c>
      <c r="H313" s="993">
        <f>SUM(H314:H317)</f>
        <v>40.572800000000008</v>
      </c>
      <c r="I313" s="648">
        <v>110.27</v>
      </c>
      <c r="J313" s="1041">
        <f t="shared" si="198"/>
        <v>150.84280000000001</v>
      </c>
      <c r="K313" s="649">
        <f t="shared" si="321"/>
        <v>183.59</v>
      </c>
      <c r="L313" s="650" t="s">
        <v>16</v>
      </c>
      <c r="M313" s="1045"/>
      <c r="N313" s="1046"/>
      <c r="O313" s="1066">
        <f t="shared" si="213"/>
        <v>0</v>
      </c>
      <c r="P313" s="1067">
        <f t="shared" si="215"/>
        <v>0</v>
      </c>
      <c r="Q313" s="1038"/>
      <c r="R313" s="1045">
        <f t="shared" si="261"/>
        <v>0</v>
      </c>
      <c r="S313" s="1046">
        <f t="shared" si="253"/>
        <v>0</v>
      </c>
      <c r="T313" s="651">
        <f t="shared" si="214"/>
        <v>0</v>
      </c>
      <c r="U313" s="652">
        <f t="shared" si="268"/>
        <v>0</v>
      </c>
      <c r="V313" s="94"/>
      <c r="X313" s="580" t="str">
        <f t="shared" si="254"/>
        <v/>
      </c>
      <c r="Y313" s="580" t="str">
        <f t="shared" si="221"/>
        <v/>
      </c>
      <c r="Z313" s="580" t="str">
        <f t="shared" si="240"/>
        <v/>
      </c>
    </row>
    <row r="314" spans="1:35" ht="13.5" hidden="1" thickBot="1" x14ac:dyDescent="0.25">
      <c r="A314" s="97" t="s">
        <v>165</v>
      </c>
      <c r="B314" s="1031" t="s">
        <v>165</v>
      </c>
      <c r="C314" s="978"/>
      <c r="D314" s="916" t="s">
        <v>257</v>
      </c>
      <c r="E314" s="917"/>
      <c r="F314" s="994">
        <v>180</v>
      </c>
      <c r="G314" s="997"/>
      <c r="H314" s="996">
        <f t="shared" ref="H314" si="322">IF(F314&lt;=30,(0.7*F314+1.45)*G314,((0.7*30+1.45)+0.58*(F314-30))*G314)</f>
        <v>0</v>
      </c>
      <c r="I314" s="592"/>
      <c r="J314" s="1030" t="str">
        <f t="shared" ref="J314" si="323">IF(ISBLANK(I314),"",SUM(H314:I314))</f>
        <v/>
      </c>
      <c r="K314" s="593">
        <f t="shared" si="321"/>
        <v>0</v>
      </c>
      <c r="L314" s="594" t="s">
        <v>783</v>
      </c>
      <c r="M314" s="1068"/>
      <c r="N314" s="1069"/>
      <c r="O314" s="1070">
        <f t="shared" si="213"/>
        <v>0</v>
      </c>
      <c r="P314" s="1071">
        <f t="shared" si="215"/>
        <v>0</v>
      </c>
      <c r="Q314" s="1038"/>
      <c r="R314" s="1068"/>
      <c r="S314" s="1069"/>
      <c r="T314" s="93">
        <f t="shared" ref="T314:T317" si="324">IF(ISBLANK(R314),0,ROUND(K314*R314,2))</f>
        <v>0</v>
      </c>
      <c r="U314" s="95">
        <f t="shared" ref="U314:U317" si="325">IF(ISBLANK(R314),0,ROUND(R314*S314,2))</f>
        <v>0</v>
      </c>
      <c r="V314" s="94"/>
      <c r="W314" s="579" t="str">
        <f>IF(U313&gt;0,"xx",IF(P313&gt;0,"xy",""))</f>
        <v/>
      </c>
      <c r="X314" s="580" t="str">
        <f t="shared" ref="X314:X317" si="326">IF(W314="X","x",IF(W314="xx","x",IF(W314="xy","x",IF(W314="y","x",IF(OR(P314&gt;0,U314&gt;0),"x","")))))</f>
        <v/>
      </c>
      <c r="Y314" s="580" t="str">
        <f t="shared" ref="Y314:Y317" si="327">IF(W314="X","x",IF(W314="y","x",IF(W314="xx","x",IF(U314&gt;0,"x",""))))</f>
        <v/>
      </c>
      <c r="Z314" s="580" t="str">
        <f t="shared" ref="Z314:Z317" si="328">IF(W314="X","x",IF(U314&gt;0,"x",""))</f>
        <v/>
      </c>
    </row>
    <row r="315" spans="1:35" ht="13.5" hidden="1" thickBot="1" x14ac:dyDescent="0.25">
      <c r="A315" s="97" t="s">
        <v>165</v>
      </c>
      <c r="B315" s="1031" t="s">
        <v>165</v>
      </c>
      <c r="C315" s="978"/>
      <c r="D315" s="916" t="s">
        <v>258</v>
      </c>
      <c r="E315" s="917"/>
      <c r="F315" s="994">
        <v>500</v>
      </c>
      <c r="G315" s="997"/>
      <c r="H315" s="979">
        <f>IF(F315&lt;=30,(0.51*F315+4.28)*G315,((0.51*30+4.28)+0.42*(F315-30))*G315)</f>
        <v>0</v>
      </c>
      <c r="I315" s="592"/>
      <c r="J315" s="1030" t="str">
        <f t="shared" ref="J315" si="329">IF(ISBLANK(I315),"",SUM(H315:I315))</f>
        <v/>
      </c>
      <c r="K315" s="593">
        <f t="shared" si="321"/>
        <v>0</v>
      </c>
      <c r="L315" s="594" t="s">
        <v>783</v>
      </c>
      <c r="M315" s="1068"/>
      <c r="N315" s="1069"/>
      <c r="O315" s="1070">
        <f t="shared" si="213"/>
        <v>0</v>
      </c>
      <c r="P315" s="1071">
        <f t="shared" si="215"/>
        <v>0</v>
      </c>
      <c r="Q315" s="1038"/>
      <c r="R315" s="1068"/>
      <c r="S315" s="1069"/>
      <c r="T315" s="93">
        <f t="shared" ref="T315:T316" si="330">IF(ISBLANK(R315),0,ROUND(K315*R315,2))</f>
        <v>0</v>
      </c>
      <c r="U315" s="95">
        <f t="shared" ref="U315:U316" si="331">IF(ISBLANK(R315),0,ROUND(R315*S315,2))</f>
        <v>0</v>
      </c>
      <c r="V315" s="94"/>
      <c r="W315" s="579" t="str">
        <f>IF(U313&gt;0,"xx",IF(P313&gt;0,"xy",""))</f>
        <v/>
      </c>
      <c r="X315" s="580" t="str">
        <f t="shared" ref="X315:X316" si="332">IF(W315="X","x",IF(W315="xx","x",IF(W315="xy","x",IF(W315="y","x",IF(OR(P315&gt;0,U315&gt;0),"x","")))))</f>
        <v/>
      </c>
      <c r="Y315" s="580" t="str">
        <f t="shared" ref="Y315:Y316" si="333">IF(W315="X","x",IF(W315="y","x",IF(W315="xx","x",IF(U315&gt;0,"x",""))))</f>
        <v/>
      </c>
      <c r="Z315" s="580" t="str">
        <f t="shared" ref="Z315:Z316" si="334">IF(W315="X","x",IF(U315&gt;0,"x",""))</f>
        <v/>
      </c>
    </row>
    <row r="316" spans="1:35" ht="13.5" hidden="1" thickBot="1" x14ac:dyDescent="0.25">
      <c r="A316" s="97" t="s">
        <v>165</v>
      </c>
      <c r="B316" s="1031" t="s">
        <v>165</v>
      </c>
      <c r="C316" s="978"/>
      <c r="D316" s="916" t="s">
        <v>271</v>
      </c>
      <c r="E316" s="917"/>
      <c r="F316" s="994">
        <v>0.2</v>
      </c>
      <c r="G316" s="997">
        <v>2.12</v>
      </c>
      <c r="H316" s="979">
        <f>IF(F316=0,0,IF(F316&lt;=30,(0.7*F316+1.45)*G316,((0.7*30+1.45)+0.58*(F316-30))*G316))</f>
        <v>3.3708</v>
      </c>
      <c r="I316" s="592"/>
      <c r="J316" s="1030"/>
      <c r="K316" s="593">
        <f t="shared" si="321"/>
        <v>0</v>
      </c>
      <c r="L316" s="594" t="s">
        <v>783</v>
      </c>
      <c r="M316" s="1068"/>
      <c r="N316" s="1069"/>
      <c r="O316" s="1070">
        <f t="shared" si="213"/>
        <v>0</v>
      </c>
      <c r="P316" s="1071">
        <f t="shared" si="215"/>
        <v>0</v>
      </c>
      <c r="Q316" s="1038"/>
      <c r="R316" s="1068"/>
      <c r="S316" s="1069"/>
      <c r="T316" s="93">
        <f t="shared" si="330"/>
        <v>0</v>
      </c>
      <c r="U316" s="95">
        <f t="shared" si="331"/>
        <v>0</v>
      </c>
      <c r="V316" s="94"/>
      <c r="W316" s="579" t="str">
        <f>IF(U313&gt;0,"xx",IF(P313&gt;0,"xy",""))</f>
        <v/>
      </c>
      <c r="X316" s="580" t="str">
        <f t="shared" si="332"/>
        <v/>
      </c>
      <c r="Y316" s="580" t="str">
        <f t="shared" si="333"/>
        <v/>
      </c>
      <c r="Z316" s="580" t="str">
        <f t="shared" si="334"/>
        <v/>
      </c>
    </row>
    <row r="317" spans="1:35" ht="13.5" hidden="1" thickBot="1" x14ac:dyDescent="0.25">
      <c r="A317" s="97" t="s">
        <v>165</v>
      </c>
      <c r="B317" s="1031" t="s">
        <v>165</v>
      </c>
      <c r="C317" s="978"/>
      <c r="D317" s="916" t="s">
        <v>272</v>
      </c>
      <c r="E317" s="917"/>
      <c r="F317" s="994">
        <v>20</v>
      </c>
      <c r="G317" s="997">
        <f>SUM(G313:G316)</f>
        <v>2.2000000000000002</v>
      </c>
      <c r="H317" s="979">
        <f>IF(F317&lt;=30,(0.7*F317+2.91)*G317,((0.7*30+2.91)+0.58*(F317-30))*G317)</f>
        <v>37.202000000000005</v>
      </c>
      <c r="I317" s="592"/>
      <c r="J317" s="1030"/>
      <c r="K317" s="593">
        <f t="shared" si="321"/>
        <v>0</v>
      </c>
      <c r="L317" s="594" t="s">
        <v>783</v>
      </c>
      <c r="M317" s="1068"/>
      <c r="N317" s="1077"/>
      <c r="O317" s="1070">
        <f t="shared" si="213"/>
        <v>0</v>
      </c>
      <c r="P317" s="1071">
        <f t="shared" si="215"/>
        <v>0</v>
      </c>
      <c r="Q317" s="1038"/>
      <c r="R317" s="1068"/>
      <c r="S317" s="1069"/>
      <c r="T317" s="93">
        <f t="shared" si="324"/>
        <v>0</v>
      </c>
      <c r="U317" s="95">
        <f t="shared" si="325"/>
        <v>0</v>
      </c>
      <c r="V317" s="94"/>
      <c r="W317" s="579" t="str">
        <f>IF(U313&gt;0,"xx",IF(P313&gt;0,"xy",""))</f>
        <v/>
      </c>
      <c r="X317" s="580" t="str">
        <f t="shared" si="326"/>
        <v/>
      </c>
      <c r="Y317" s="580" t="str">
        <f t="shared" si="327"/>
        <v/>
      </c>
      <c r="Z317" s="580" t="str">
        <f t="shared" si="328"/>
        <v/>
      </c>
    </row>
    <row r="318" spans="1:35" ht="13.5" hidden="1" thickBot="1" x14ac:dyDescent="0.25">
      <c r="A318" s="1008">
        <v>589320</v>
      </c>
      <c r="B318" s="1004" t="s">
        <v>1003</v>
      </c>
      <c r="C318" s="1048" t="s">
        <v>241</v>
      </c>
      <c r="D318" s="914" t="s">
        <v>991</v>
      </c>
      <c r="E318" s="919"/>
      <c r="F318" s="998">
        <v>500</v>
      </c>
      <c r="G318" s="999">
        <v>1</v>
      </c>
      <c r="H318" s="1000">
        <f>(0.52*F318+25.75)*G318</f>
        <v>285.75</v>
      </c>
      <c r="I318" s="654">
        <f>LIGANTES!$M$23</f>
        <v>3617.13</v>
      </c>
      <c r="J318" s="1051">
        <f>IF(ISBLANK(I318),"",I318*(1+$F$9)/(1+$F$10))+H318</f>
        <v>3803.9148952427904</v>
      </c>
      <c r="K318" s="655">
        <f t="shared" si="321"/>
        <v>4629.74</v>
      </c>
      <c r="L318" s="656" t="s">
        <v>20</v>
      </c>
      <c r="M318" s="1052">
        <f>ROUND(M313*G313,2)</f>
        <v>0</v>
      </c>
      <c r="N318" s="1072"/>
      <c r="O318" s="1054">
        <f t="shared" si="213"/>
        <v>0</v>
      </c>
      <c r="P318" s="1055">
        <f t="shared" si="215"/>
        <v>0</v>
      </c>
      <c r="Q318" s="1038"/>
      <c r="R318" s="1056">
        <f>ROUND(R313*G313,2)</f>
        <v>0</v>
      </c>
      <c r="S318" s="1076">
        <f t="shared" si="253"/>
        <v>0</v>
      </c>
      <c r="T318" s="657">
        <f t="shared" si="214"/>
        <v>0</v>
      </c>
      <c r="U318" s="658">
        <f t="shared" si="268"/>
        <v>0</v>
      </c>
      <c r="V318" s="94"/>
      <c r="W318" s="579" t="str">
        <f>IF(U313&gt;0,"xx",IF(P313&gt;0,"xy",""))</f>
        <v/>
      </c>
      <c r="X318" s="580" t="str">
        <f t="shared" si="254"/>
        <v/>
      </c>
      <c r="Y318" s="580" t="str">
        <f t="shared" si="221"/>
        <v/>
      </c>
      <c r="Z318" s="580" t="str">
        <f t="shared" si="240"/>
        <v/>
      </c>
    </row>
    <row r="319" spans="1:35" ht="13.5" hidden="1" thickBot="1" x14ac:dyDescent="0.25">
      <c r="A319" s="1008">
        <v>534300</v>
      </c>
      <c r="B319" s="1064" t="s">
        <v>2124</v>
      </c>
      <c r="C319" s="1065" t="s">
        <v>212</v>
      </c>
      <c r="D319" s="327" t="s">
        <v>1896</v>
      </c>
      <c r="E319" s="915"/>
      <c r="F319" s="991" t="s">
        <v>852</v>
      </c>
      <c r="G319" s="992">
        <v>0.11</v>
      </c>
      <c r="H319" s="993">
        <f>SUM(H320:H323)</f>
        <v>40.525099999999995</v>
      </c>
      <c r="I319" s="648">
        <v>109.09</v>
      </c>
      <c r="J319" s="1041">
        <f t="shared" ref="J319" si="335">IF(ISBLANK(I319),"",SUM(H319:I319))</f>
        <v>149.61509999999998</v>
      </c>
      <c r="K319" s="649">
        <f t="shared" ref="K319:K330" si="336">IF(ISBLANK(I319),0,ROUND(J319*(1+$F$10)*(1+$F$11*E319),2))</f>
        <v>182.1</v>
      </c>
      <c r="L319" s="650" t="s">
        <v>16</v>
      </c>
      <c r="M319" s="1045"/>
      <c r="N319" s="1046"/>
      <c r="O319" s="1066">
        <f t="shared" si="213"/>
        <v>0</v>
      </c>
      <c r="P319" s="1067">
        <f t="shared" si="215"/>
        <v>0</v>
      </c>
      <c r="Q319" s="1038"/>
      <c r="R319" s="1045">
        <f t="shared" ref="R319:R325" si="337">M319</f>
        <v>0</v>
      </c>
      <c r="S319" s="1046">
        <f t="shared" si="253"/>
        <v>0</v>
      </c>
      <c r="T319" s="651">
        <f t="shared" ref="T319:T330" si="338">IF(ISBLANK(R319),0,ROUND(K319*R319,2))</f>
        <v>0</v>
      </c>
      <c r="U319" s="652">
        <f t="shared" ref="U319:U330" si="339">IF(ISBLANK(R319),0,ROUND(R319*S319,2))</f>
        <v>0</v>
      </c>
      <c r="V319" s="94"/>
      <c r="X319" s="580" t="str">
        <f t="shared" ref="X319:X330" si="340">IF(W319="X","x",IF(W319="xx","x",IF(W319="xy","x",IF(W319="y","x",IF(OR(P319&gt;0,U319&gt;0),"x","")))))</f>
        <v/>
      </c>
      <c r="Y319" s="580" t="str">
        <f t="shared" ref="Y319:Y330" si="341">IF(W319="X","x",IF(W319="y","x",IF(W319="xx","x",IF(U319&gt;0,"x",""))))</f>
        <v/>
      </c>
      <c r="Z319" s="580" t="str">
        <f t="shared" ref="Z319:Z330" si="342">IF(W319="X","x",IF(U319&gt;0,"x",""))</f>
        <v/>
      </c>
    </row>
    <row r="320" spans="1:35" ht="13.5" hidden="1" thickBot="1" x14ac:dyDescent="0.25">
      <c r="A320" s="97" t="s">
        <v>165</v>
      </c>
      <c r="B320" s="1031" t="s">
        <v>165</v>
      </c>
      <c r="C320" s="978"/>
      <c r="D320" s="916" t="s">
        <v>257</v>
      </c>
      <c r="E320" s="917"/>
      <c r="F320" s="994">
        <v>180</v>
      </c>
      <c r="G320" s="997"/>
      <c r="H320" s="996">
        <f t="shared" ref="H320" si="343">IF(F320&lt;=30,(0.7*F320+1.45)*G320,((0.7*30+1.45)+0.58*(F320-30))*G320)</f>
        <v>0</v>
      </c>
      <c r="I320" s="592"/>
      <c r="J320" s="1030"/>
      <c r="K320" s="593">
        <f t="shared" si="336"/>
        <v>0</v>
      </c>
      <c r="L320" s="594" t="s">
        <v>783</v>
      </c>
      <c r="M320" s="1068"/>
      <c r="N320" s="1069"/>
      <c r="O320" s="1070">
        <f t="shared" si="213"/>
        <v>0</v>
      </c>
      <c r="P320" s="1071">
        <f t="shared" si="215"/>
        <v>0</v>
      </c>
      <c r="Q320" s="1038"/>
      <c r="R320" s="1068"/>
      <c r="S320" s="1069"/>
      <c r="T320" s="93">
        <f t="shared" si="338"/>
        <v>0</v>
      </c>
      <c r="U320" s="95">
        <f t="shared" si="339"/>
        <v>0</v>
      </c>
      <c r="V320" s="94"/>
      <c r="W320" s="579" t="str">
        <f>IF(U319&gt;0,"xx",IF(P319&gt;0,"xy",""))</f>
        <v/>
      </c>
      <c r="X320" s="580" t="str">
        <f t="shared" si="340"/>
        <v/>
      </c>
      <c r="Y320" s="580" t="str">
        <f t="shared" si="341"/>
        <v/>
      </c>
      <c r="Z320" s="580" t="str">
        <f t="shared" si="342"/>
        <v/>
      </c>
      <c r="AI320" s="970"/>
    </row>
    <row r="321" spans="1:26" ht="13.5" hidden="1" thickBot="1" x14ac:dyDescent="0.25">
      <c r="A321" s="97" t="s">
        <v>165</v>
      </c>
      <c r="B321" s="1031" t="s">
        <v>165</v>
      </c>
      <c r="C321" s="978"/>
      <c r="D321" s="916" t="s">
        <v>258</v>
      </c>
      <c r="E321" s="917"/>
      <c r="F321" s="994">
        <v>500</v>
      </c>
      <c r="G321" s="997"/>
      <c r="H321" s="979">
        <f>IF(F321&lt;=30,(0.51*F321+4.28)*G321,((0.51*30+4.28)+0.42*(F321-30))*G321)</f>
        <v>0</v>
      </c>
      <c r="I321" s="592"/>
      <c r="J321" s="1030" t="str">
        <f t="shared" ref="J321" si="344">IF(ISBLANK(I321),"",SUM(H321:I321))</f>
        <v/>
      </c>
      <c r="K321" s="593">
        <f t="shared" si="336"/>
        <v>0</v>
      </c>
      <c r="L321" s="594" t="s">
        <v>783</v>
      </c>
      <c r="M321" s="1068"/>
      <c r="N321" s="1069"/>
      <c r="O321" s="1070">
        <f t="shared" si="213"/>
        <v>0</v>
      </c>
      <c r="P321" s="1071">
        <f t="shared" si="215"/>
        <v>0</v>
      </c>
      <c r="Q321" s="1038"/>
      <c r="R321" s="1068"/>
      <c r="S321" s="1069"/>
      <c r="T321" s="93">
        <f t="shared" si="338"/>
        <v>0</v>
      </c>
      <c r="U321" s="95">
        <f t="shared" si="339"/>
        <v>0</v>
      </c>
      <c r="V321" s="94"/>
      <c r="W321" s="579" t="str">
        <f>IF(U319&gt;0,"xx",IF(P319&gt;0,"xy",""))</f>
        <v/>
      </c>
      <c r="X321" s="580" t="str">
        <f t="shared" si="340"/>
        <v/>
      </c>
      <c r="Y321" s="580" t="str">
        <f t="shared" si="341"/>
        <v/>
      </c>
      <c r="Z321" s="580" t="str">
        <f t="shared" si="342"/>
        <v/>
      </c>
    </row>
    <row r="322" spans="1:26" ht="13.5" hidden="1" thickBot="1" x14ac:dyDescent="0.25">
      <c r="A322" s="97" t="s">
        <v>165</v>
      </c>
      <c r="B322" s="1031" t="s">
        <v>165</v>
      </c>
      <c r="C322" s="978"/>
      <c r="D322" s="916" t="s">
        <v>271</v>
      </c>
      <c r="E322" s="917"/>
      <c r="F322" s="994">
        <v>0.2</v>
      </c>
      <c r="G322" s="997">
        <v>2.09</v>
      </c>
      <c r="H322" s="979">
        <f>IF(F322=0,0,IF(F322&lt;=30,(0.7*F322+1.45)*G322,((0.7*30+1.45)+0.58*(F322-30))*G322))</f>
        <v>3.3230999999999993</v>
      </c>
      <c r="I322" s="592"/>
      <c r="J322" s="1030"/>
      <c r="K322" s="593">
        <f t="shared" si="336"/>
        <v>0</v>
      </c>
      <c r="L322" s="594" t="s">
        <v>783</v>
      </c>
      <c r="M322" s="1068"/>
      <c r="N322" s="1069"/>
      <c r="O322" s="1070">
        <f t="shared" si="213"/>
        <v>0</v>
      </c>
      <c r="P322" s="1071">
        <f t="shared" si="215"/>
        <v>0</v>
      </c>
      <c r="Q322" s="1038"/>
      <c r="R322" s="1068"/>
      <c r="S322" s="1069"/>
      <c r="T322" s="93">
        <f t="shared" si="338"/>
        <v>0</v>
      </c>
      <c r="U322" s="95">
        <f t="shared" si="339"/>
        <v>0</v>
      </c>
      <c r="V322" s="94"/>
      <c r="W322" s="579" t="str">
        <f>IF(U319&gt;0,"xx",IF(P319&gt;0,"xy",""))</f>
        <v/>
      </c>
      <c r="X322" s="580" t="str">
        <f t="shared" si="340"/>
        <v/>
      </c>
      <c r="Y322" s="580" t="str">
        <f t="shared" si="341"/>
        <v/>
      </c>
      <c r="Z322" s="580" t="str">
        <f t="shared" si="342"/>
        <v/>
      </c>
    </row>
    <row r="323" spans="1:26" ht="13.5" hidden="1" thickBot="1" x14ac:dyDescent="0.25">
      <c r="A323" s="97" t="s">
        <v>165</v>
      </c>
      <c r="B323" s="1031" t="s">
        <v>165</v>
      </c>
      <c r="C323" s="978"/>
      <c r="D323" s="916" t="s">
        <v>272</v>
      </c>
      <c r="E323" s="917"/>
      <c r="F323" s="994">
        <v>20</v>
      </c>
      <c r="G323" s="997">
        <f>SUM(G319:G322)</f>
        <v>2.1999999999999997</v>
      </c>
      <c r="H323" s="979">
        <f>IF(F323&lt;=30,(0.7*F323+2.91)*G323,((0.7*30+2.91)+0.58*(F323-30))*G323)</f>
        <v>37.201999999999998</v>
      </c>
      <c r="I323" s="592"/>
      <c r="J323" s="1030"/>
      <c r="K323" s="593">
        <f t="shared" si="336"/>
        <v>0</v>
      </c>
      <c r="L323" s="594" t="s">
        <v>783</v>
      </c>
      <c r="M323" s="1068"/>
      <c r="N323" s="1077"/>
      <c r="O323" s="1070">
        <f t="shared" si="213"/>
        <v>0</v>
      </c>
      <c r="P323" s="1071">
        <f t="shared" si="215"/>
        <v>0</v>
      </c>
      <c r="Q323" s="1038"/>
      <c r="R323" s="1068"/>
      <c r="S323" s="1069"/>
      <c r="T323" s="93">
        <f t="shared" si="338"/>
        <v>0</v>
      </c>
      <c r="U323" s="95">
        <f t="shared" si="339"/>
        <v>0</v>
      </c>
      <c r="V323" s="94"/>
      <c r="W323" s="579" t="str">
        <f>IF(U319&gt;0,"xx",IF(P319&gt;0,"xy",""))</f>
        <v/>
      </c>
      <c r="X323" s="580" t="str">
        <f t="shared" si="340"/>
        <v/>
      </c>
      <c r="Y323" s="580" t="str">
        <f t="shared" si="341"/>
        <v/>
      </c>
      <c r="Z323" s="580" t="str">
        <f t="shared" si="342"/>
        <v/>
      </c>
    </row>
    <row r="324" spans="1:26" ht="13.5" hidden="1" thickBot="1" x14ac:dyDescent="0.25">
      <c r="A324" s="1008">
        <v>589320</v>
      </c>
      <c r="B324" s="1004" t="s">
        <v>1004</v>
      </c>
      <c r="C324" s="1048" t="s">
        <v>241</v>
      </c>
      <c r="D324" s="914" t="s">
        <v>992</v>
      </c>
      <c r="E324" s="919"/>
      <c r="F324" s="998">
        <v>500</v>
      </c>
      <c r="G324" s="999">
        <v>1</v>
      </c>
      <c r="H324" s="1000">
        <f>(0.52*F324+25.75)*G324</f>
        <v>285.75</v>
      </c>
      <c r="I324" s="654">
        <f>LIGANTES!$M$23</f>
        <v>3617.13</v>
      </c>
      <c r="J324" s="1051">
        <f>IF(ISBLANK(I324),"",I324*(1+$F$9)/(1+$F$10))+H324</f>
        <v>3803.9148952427904</v>
      </c>
      <c r="K324" s="655">
        <f t="shared" si="336"/>
        <v>4629.74</v>
      </c>
      <c r="L324" s="656" t="s">
        <v>20</v>
      </c>
      <c r="M324" s="1052">
        <f>ROUND(M319*G319,2)</f>
        <v>0</v>
      </c>
      <c r="N324" s="1072"/>
      <c r="O324" s="1054">
        <f t="shared" si="213"/>
        <v>0</v>
      </c>
      <c r="P324" s="1055">
        <f t="shared" si="215"/>
        <v>0</v>
      </c>
      <c r="Q324" s="1038"/>
      <c r="R324" s="1056">
        <f>ROUND(R319*G319,2)</f>
        <v>0</v>
      </c>
      <c r="S324" s="1076">
        <f t="shared" si="253"/>
        <v>0</v>
      </c>
      <c r="T324" s="657">
        <f t="shared" si="338"/>
        <v>0</v>
      </c>
      <c r="U324" s="658">
        <f t="shared" si="339"/>
        <v>0</v>
      </c>
      <c r="V324" s="94"/>
      <c r="W324" s="579" t="str">
        <f>IF(U319&gt;0,"xx",IF(P319&gt;0,"xy",""))</f>
        <v/>
      </c>
      <c r="X324" s="580" t="str">
        <f t="shared" si="340"/>
        <v/>
      </c>
      <c r="Y324" s="580" t="str">
        <f t="shared" si="341"/>
        <v/>
      </c>
      <c r="Z324" s="580" t="str">
        <f t="shared" si="342"/>
        <v/>
      </c>
    </row>
    <row r="325" spans="1:26" ht="13.5" hidden="1" thickBot="1" x14ac:dyDescent="0.25">
      <c r="A325" s="1008">
        <v>534300</v>
      </c>
      <c r="B325" s="1064" t="s">
        <v>2125</v>
      </c>
      <c r="C325" s="1065" t="s">
        <v>212</v>
      </c>
      <c r="D325" s="327" t="s">
        <v>1897</v>
      </c>
      <c r="E325" s="915"/>
      <c r="F325" s="991" t="s">
        <v>852</v>
      </c>
      <c r="G325" s="992">
        <v>0.11</v>
      </c>
      <c r="H325" s="993">
        <f>SUM(H326:H329)</f>
        <v>40.525099999999995</v>
      </c>
      <c r="I325" s="648">
        <v>109.09</v>
      </c>
      <c r="J325" s="1041">
        <f t="shared" ref="J325" si="345">IF(ISBLANK(I325),"",SUM(H325:I325))</f>
        <v>149.61509999999998</v>
      </c>
      <c r="K325" s="649">
        <f t="shared" si="336"/>
        <v>182.1</v>
      </c>
      <c r="L325" s="650" t="s">
        <v>16</v>
      </c>
      <c r="M325" s="1045"/>
      <c r="N325" s="1046"/>
      <c r="O325" s="1066">
        <f t="shared" si="213"/>
        <v>0</v>
      </c>
      <c r="P325" s="1067">
        <f t="shared" si="215"/>
        <v>0</v>
      </c>
      <c r="Q325" s="1038"/>
      <c r="R325" s="1045">
        <f t="shared" si="337"/>
        <v>0</v>
      </c>
      <c r="S325" s="1046">
        <f t="shared" si="253"/>
        <v>0</v>
      </c>
      <c r="T325" s="651">
        <f t="shared" si="338"/>
        <v>0</v>
      </c>
      <c r="U325" s="652">
        <f t="shared" si="339"/>
        <v>0</v>
      </c>
      <c r="V325" s="94"/>
      <c r="X325" s="580" t="str">
        <f t="shared" si="340"/>
        <v/>
      </c>
      <c r="Y325" s="580" t="str">
        <f t="shared" si="341"/>
        <v/>
      </c>
      <c r="Z325" s="580" t="str">
        <f t="shared" si="342"/>
        <v/>
      </c>
    </row>
    <row r="326" spans="1:26" ht="13.5" hidden="1" thickBot="1" x14ac:dyDescent="0.25">
      <c r="A326" s="97" t="s">
        <v>165</v>
      </c>
      <c r="B326" s="1031" t="s">
        <v>165</v>
      </c>
      <c r="C326" s="978"/>
      <c r="D326" s="916" t="s">
        <v>257</v>
      </c>
      <c r="E326" s="917"/>
      <c r="F326" s="994">
        <v>180</v>
      </c>
      <c r="G326" s="997"/>
      <c r="H326" s="996">
        <f t="shared" ref="H326" si="346">IF(F326&lt;=30,(0.7*F326+1.45)*G326,((0.7*30+1.45)+0.58*(F326-30))*G326)</f>
        <v>0</v>
      </c>
      <c r="I326" s="592"/>
      <c r="J326" s="1030"/>
      <c r="K326" s="593">
        <f t="shared" si="336"/>
        <v>0</v>
      </c>
      <c r="L326" s="594" t="s">
        <v>783</v>
      </c>
      <c r="M326" s="1068"/>
      <c r="N326" s="1069"/>
      <c r="O326" s="1070">
        <f t="shared" ref="O326:O389" si="347">IF(ISBLANK(M326),0,ROUND(K326*M326,2))</f>
        <v>0</v>
      </c>
      <c r="P326" s="1071">
        <f t="shared" si="215"/>
        <v>0</v>
      </c>
      <c r="Q326" s="1038"/>
      <c r="R326" s="1068"/>
      <c r="S326" s="1069"/>
      <c r="T326" s="93">
        <f t="shared" si="338"/>
        <v>0</v>
      </c>
      <c r="U326" s="95">
        <f t="shared" si="339"/>
        <v>0</v>
      </c>
      <c r="V326" s="94"/>
      <c r="W326" s="579" t="str">
        <f>IF(U325&gt;0,"xx",IF(P325&gt;0,"xy",""))</f>
        <v/>
      </c>
      <c r="X326" s="580" t="str">
        <f t="shared" si="340"/>
        <v/>
      </c>
      <c r="Y326" s="580" t="str">
        <f t="shared" si="341"/>
        <v/>
      </c>
      <c r="Z326" s="580" t="str">
        <f t="shared" si="342"/>
        <v/>
      </c>
    </row>
    <row r="327" spans="1:26" ht="13.5" hidden="1" thickBot="1" x14ac:dyDescent="0.25">
      <c r="A327" s="97" t="s">
        <v>165</v>
      </c>
      <c r="B327" s="1031" t="s">
        <v>165</v>
      </c>
      <c r="C327" s="978"/>
      <c r="D327" s="916" t="s">
        <v>258</v>
      </c>
      <c r="E327" s="917"/>
      <c r="F327" s="994">
        <v>500</v>
      </c>
      <c r="G327" s="997"/>
      <c r="H327" s="979">
        <f>IF(F327&lt;=30,(0.51*F327+4.28)*G327,((0.51*30+4.28)+0.42*(F327-30))*G327)</f>
        <v>0</v>
      </c>
      <c r="I327" s="592"/>
      <c r="J327" s="1051"/>
      <c r="K327" s="593">
        <f t="shared" si="336"/>
        <v>0</v>
      </c>
      <c r="L327" s="594" t="s">
        <v>783</v>
      </c>
      <c r="M327" s="1068"/>
      <c r="N327" s="1069"/>
      <c r="O327" s="1070">
        <f t="shared" si="347"/>
        <v>0</v>
      </c>
      <c r="P327" s="1071">
        <f t="shared" si="215"/>
        <v>0</v>
      </c>
      <c r="Q327" s="1038"/>
      <c r="R327" s="1068"/>
      <c r="S327" s="1069"/>
      <c r="T327" s="93">
        <f t="shared" si="338"/>
        <v>0</v>
      </c>
      <c r="U327" s="95">
        <f t="shared" si="339"/>
        <v>0</v>
      </c>
      <c r="V327" s="94"/>
      <c r="W327" s="579" t="str">
        <f>IF(U325&gt;0,"xx",IF(P325&gt;0,"xy",""))</f>
        <v/>
      </c>
      <c r="X327" s="580" t="str">
        <f t="shared" si="340"/>
        <v/>
      </c>
      <c r="Y327" s="580" t="str">
        <f t="shared" si="341"/>
        <v/>
      </c>
      <c r="Z327" s="580" t="str">
        <f t="shared" si="342"/>
        <v/>
      </c>
    </row>
    <row r="328" spans="1:26" ht="13.5" hidden="1" thickBot="1" x14ac:dyDescent="0.25">
      <c r="A328" s="97" t="s">
        <v>165</v>
      </c>
      <c r="B328" s="1031" t="s">
        <v>165</v>
      </c>
      <c r="C328" s="978"/>
      <c r="D328" s="916" t="s">
        <v>271</v>
      </c>
      <c r="E328" s="917"/>
      <c r="F328" s="994">
        <v>0.2</v>
      </c>
      <c r="G328" s="997">
        <v>2.09</v>
      </c>
      <c r="H328" s="979">
        <f>IF(F328=0,0,IF(F328&lt;=30,(0.7*F328+1.45)*G328,((0.7*30+1.45)+0.58*(F328-30))*G328))</f>
        <v>3.3230999999999993</v>
      </c>
      <c r="I328" s="592"/>
      <c r="J328" s="1030"/>
      <c r="K328" s="593">
        <f t="shared" si="336"/>
        <v>0</v>
      </c>
      <c r="L328" s="594" t="s">
        <v>783</v>
      </c>
      <c r="M328" s="1068"/>
      <c r="N328" s="1069"/>
      <c r="O328" s="1070">
        <f t="shared" si="347"/>
        <v>0</v>
      </c>
      <c r="P328" s="1071">
        <f t="shared" ref="P328:P391" si="348">IF(ISBLANK(N328),0,ROUND(M328*N328,2))</f>
        <v>0</v>
      </c>
      <c r="Q328" s="1038"/>
      <c r="R328" s="1068"/>
      <c r="S328" s="1069"/>
      <c r="T328" s="93">
        <f t="shared" si="338"/>
        <v>0</v>
      </c>
      <c r="U328" s="95">
        <f t="shared" si="339"/>
        <v>0</v>
      </c>
      <c r="V328" s="94"/>
      <c r="W328" s="579" t="str">
        <f>IF(U325&gt;0,"xx",IF(P325&gt;0,"xy",""))</f>
        <v/>
      </c>
      <c r="X328" s="580" t="str">
        <f t="shared" si="340"/>
        <v/>
      </c>
      <c r="Y328" s="580" t="str">
        <f t="shared" si="341"/>
        <v/>
      </c>
      <c r="Z328" s="580" t="str">
        <f t="shared" si="342"/>
        <v/>
      </c>
    </row>
    <row r="329" spans="1:26" ht="13.5" hidden="1" thickBot="1" x14ac:dyDescent="0.25">
      <c r="A329" s="97" t="s">
        <v>165</v>
      </c>
      <c r="B329" s="1031" t="s">
        <v>165</v>
      </c>
      <c r="C329" s="978"/>
      <c r="D329" s="916" t="s">
        <v>272</v>
      </c>
      <c r="E329" s="917"/>
      <c r="F329" s="994">
        <v>20</v>
      </c>
      <c r="G329" s="997">
        <f>SUM(G325:G328)</f>
        <v>2.1999999999999997</v>
      </c>
      <c r="H329" s="979">
        <f>IF(F329&lt;=30,(0.7*F329+2.91)*G329,((0.7*30+2.91)+0.58*(F329-30))*G329)</f>
        <v>37.201999999999998</v>
      </c>
      <c r="I329" s="592"/>
      <c r="J329" s="1030"/>
      <c r="K329" s="593">
        <f t="shared" si="336"/>
        <v>0</v>
      </c>
      <c r="L329" s="594" t="s">
        <v>783</v>
      </c>
      <c r="M329" s="1068"/>
      <c r="N329" s="1077"/>
      <c r="O329" s="1070">
        <f t="shared" si="347"/>
        <v>0</v>
      </c>
      <c r="P329" s="1071">
        <f t="shared" si="348"/>
        <v>0</v>
      </c>
      <c r="Q329" s="1038"/>
      <c r="R329" s="1068"/>
      <c r="S329" s="1069"/>
      <c r="T329" s="93">
        <f t="shared" si="338"/>
        <v>0</v>
      </c>
      <c r="U329" s="95">
        <f t="shared" si="339"/>
        <v>0</v>
      </c>
      <c r="V329" s="94"/>
      <c r="W329" s="579" t="str">
        <f>IF(U325&gt;0,"xx",IF(P325&gt;0,"xy",""))</f>
        <v/>
      </c>
      <c r="X329" s="580" t="str">
        <f t="shared" si="340"/>
        <v/>
      </c>
      <c r="Y329" s="580" t="str">
        <f t="shared" si="341"/>
        <v/>
      </c>
      <c r="Z329" s="580" t="str">
        <f t="shared" si="342"/>
        <v/>
      </c>
    </row>
    <row r="330" spans="1:26" ht="13.5" hidden="1" thickBot="1" x14ac:dyDescent="0.25">
      <c r="A330" s="1008">
        <v>589320</v>
      </c>
      <c r="B330" s="1004" t="s">
        <v>1005</v>
      </c>
      <c r="C330" s="1048" t="s">
        <v>241</v>
      </c>
      <c r="D330" s="914" t="s">
        <v>992</v>
      </c>
      <c r="E330" s="919"/>
      <c r="F330" s="998">
        <v>500</v>
      </c>
      <c r="G330" s="999">
        <v>1</v>
      </c>
      <c r="H330" s="1000">
        <f>(0.52*F330+25.75)*G330</f>
        <v>285.75</v>
      </c>
      <c r="I330" s="654">
        <f>LIGANTES!$M$23</f>
        <v>3617.13</v>
      </c>
      <c r="J330" s="1051">
        <f>IF(ISBLANK(I330),"",I330*(1+$F$9)/(1+$F$10))+H330</f>
        <v>3803.9148952427904</v>
      </c>
      <c r="K330" s="655">
        <f t="shared" si="336"/>
        <v>4629.74</v>
      </c>
      <c r="L330" s="656" t="s">
        <v>20</v>
      </c>
      <c r="M330" s="1052">
        <f>ROUND(M325*G325,2)</f>
        <v>0</v>
      </c>
      <c r="N330" s="1072"/>
      <c r="O330" s="1054">
        <f t="shared" si="347"/>
        <v>0</v>
      </c>
      <c r="P330" s="1055">
        <f t="shared" si="348"/>
        <v>0</v>
      </c>
      <c r="Q330" s="1038"/>
      <c r="R330" s="1056">
        <f>ROUND(R325*G325,2)</f>
        <v>0</v>
      </c>
      <c r="S330" s="1076">
        <f t="shared" si="253"/>
        <v>0</v>
      </c>
      <c r="T330" s="657">
        <f t="shared" si="338"/>
        <v>0</v>
      </c>
      <c r="U330" s="658">
        <f t="shared" si="339"/>
        <v>0</v>
      </c>
      <c r="V330" s="94"/>
      <c r="W330" s="579" t="str">
        <f>IF(U325&gt;0,"xx",IF(P325&gt;0,"xy",""))</f>
        <v/>
      </c>
      <c r="X330" s="580" t="str">
        <f t="shared" si="340"/>
        <v/>
      </c>
      <c r="Y330" s="580" t="str">
        <f t="shared" si="341"/>
        <v/>
      </c>
      <c r="Z330" s="580" t="str">
        <f t="shared" si="342"/>
        <v/>
      </c>
    </row>
    <row r="331" spans="1:26" ht="13.5" hidden="1" thickBot="1" x14ac:dyDescent="0.25">
      <c r="A331" s="1008">
        <v>534300</v>
      </c>
      <c r="B331" s="1064" t="s">
        <v>2126</v>
      </c>
      <c r="C331" s="1065" t="s">
        <v>212</v>
      </c>
      <c r="D331" s="327" t="s">
        <v>1898</v>
      </c>
      <c r="E331" s="915"/>
      <c r="F331" s="991" t="s">
        <v>852</v>
      </c>
      <c r="G331" s="992">
        <v>0.14000000000000001</v>
      </c>
      <c r="H331" s="993">
        <f>SUM(H332:H335)</f>
        <v>71.449600000000004</v>
      </c>
      <c r="I331" s="648">
        <v>109.09</v>
      </c>
      <c r="J331" s="1041">
        <f t="shared" si="198"/>
        <v>180.53960000000001</v>
      </c>
      <c r="K331" s="649">
        <f t="shared" si="321"/>
        <v>219.73</v>
      </c>
      <c r="L331" s="650" t="s">
        <v>16</v>
      </c>
      <c r="M331" s="1045"/>
      <c r="N331" s="1046"/>
      <c r="O331" s="1066">
        <f t="shared" si="347"/>
        <v>0</v>
      </c>
      <c r="P331" s="1067">
        <f t="shared" si="348"/>
        <v>0</v>
      </c>
      <c r="Q331" s="1038"/>
      <c r="R331" s="1045">
        <f t="shared" si="261"/>
        <v>0</v>
      </c>
      <c r="S331" s="1046">
        <f t="shared" si="253"/>
        <v>0</v>
      </c>
      <c r="T331" s="651">
        <f t="shared" si="214"/>
        <v>0</v>
      </c>
      <c r="U331" s="652">
        <f t="shared" si="268"/>
        <v>0</v>
      </c>
      <c r="V331" s="94"/>
      <c r="X331" s="580" t="str">
        <f t="shared" si="254"/>
        <v/>
      </c>
      <c r="Y331" s="580" t="str">
        <f t="shared" si="221"/>
        <v/>
      </c>
      <c r="Z331" s="580" t="str">
        <f t="shared" si="240"/>
        <v/>
      </c>
    </row>
    <row r="332" spans="1:26" ht="13.5" hidden="1" thickBot="1" x14ac:dyDescent="0.25">
      <c r="A332" s="97" t="s">
        <v>165</v>
      </c>
      <c r="B332" s="1031" t="s">
        <v>165</v>
      </c>
      <c r="C332" s="978"/>
      <c r="D332" s="916" t="s">
        <v>257</v>
      </c>
      <c r="E332" s="917"/>
      <c r="F332" s="994">
        <v>180</v>
      </c>
      <c r="G332" s="997">
        <v>0.27</v>
      </c>
      <c r="H332" s="996">
        <f t="shared" ref="H332" si="349">IF(F332&lt;=30,(0.7*F332+1.45)*G332,((0.7*30+1.45)+0.58*(F332-30))*G332)</f>
        <v>29.551500000000004</v>
      </c>
      <c r="I332" s="592"/>
      <c r="J332" s="1030"/>
      <c r="K332" s="593">
        <f t="shared" si="321"/>
        <v>0</v>
      </c>
      <c r="L332" s="594" t="s">
        <v>783</v>
      </c>
      <c r="M332" s="1068"/>
      <c r="N332" s="1069"/>
      <c r="O332" s="1070">
        <f t="shared" si="347"/>
        <v>0</v>
      </c>
      <c r="P332" s="1071">
        <f t="shared" si="348"/>
        <v>0</v>
      </c>
      <c r="Q332" s="1038"/>
      <c r="R332" s="1068"/>
      <c r="S332" s="1069"/>
      <c r="T332" s="93">
        <f t="shared" ref="T332:T335" si="350">IF(ISBLANK(R332),0,ROUND(K332*R332,2))</f>
        <v>0</v>
      </c>
      <c r="U332" s="95">
        <f t="shared" ref="U332:U335" si="351">IF(ISBLANK(R332),0,ROUND(R332*S332,2))</f>
        <v>0</v>
      </c>
      <c r="V332" s="94"/>
      <c r="W332" s="579" t="str">
        <f>IF(U331&gt;0,"xx",IF(P331&gt;0,"xy",""))</f>
        <v/>
      </c>
      <c r="X332" s="580" t="str">
        <f t="shared" ref="X332:X335" si="352">IF(W332="X","x",IF(W332="xx","x",IF(W332="xy","x",IF(W332="y","x",IF(OR(P332&gt;0,U332&gt;0),"x","")))))</f>
        <v/>
      </c>
      <c r="Y332" s="580" t="str">
        <f t="shared" ref="Y332:Y335" si="353">IF(W332="X","x",IF(W332="y","x",IF(W332="xx","x",IF(U332&gt;0,"x",""))))</f>
        <v/>
      </c>
      <c r="Z332" s="580" t="str">
        <f t="shared" ref="Z332:Z335" si="354">IF(W332="X","x",IF(U332&gt;0,"x",""))</f>
        <v/>
      </c>
    </row>
    <row r="333" spans="1:26" ht="13.5" hidden="1" thickBot="1" x14ac:dyDescent="0.25">
      <c r="A333" s="97" t="s">
        <v>165</v>
      </c>
      <c r="B333" s="1031" t="s">
        <v>165</v>
      </c>
      <c r="C333" s="978"/>
      <c r="D333" s="916" t="s">
        <v>258</v>
      </c>
      <c r="E333" s="917"/>
      <c r="F333" s="994">
        <v>500</v>
      </c>
      <c r="G333" s="997"/>
      <c r="H333" s="979">
        <f>IF(F333&lt;=30,(0.51*F333+4.28)*G333,((0.51*30+4.28)+0.42*(F333-30))*G333)</f>
        <v>0</v>
      </c>
      <c r="I333" s="592"/>
      <c r="J333" s="1030" t="str">
        <f t="shared" ref="J333" si="355">IF(ISBLANK(I333),"",SUM(H333:I333))</f>
        <v/>
      </c>
      <c r="K333" s="593">
        <f t="shared" si="321"/>
        <v>0</v>
      </c>
      <c r="L333" s="594" t="s">
        <v>783</v>
      </c>
      <c r="M333" s="1068"/>
      <c r="N333" s="1069"/>
      <c r="O333" s="1070">
        <f t="shared" si="347"/>
        <v>0</v>
      </c>
      <c r="P333" s="1071">
        <f t="shared" si="348"/>
        <v>0</v>
      </c>
      <c r="Q333" s="1038"/>
      <c r="R333" s="1068"/>
      <c r="S333" s="1069"/>
      <c r="T333" s="93">
        <f t="shared" ref="T333:T334" si="356">IF(ISBLANK(R333),0,ROUND(K333*R333,2))</f>
        <v>0</v>
      </c>
      <c r="U333" s="95">
        <f t="shared" ref="U333:U334" si="357">IF(ISBLANK(R333),0,ROUND(R333*S333,2))</f>
        <v>0</v>
      </c>
      <c r="V333" s="94"/>
      <c r="W333" s="579" t="str">
        <f>IF(U331&gt;0,"xx",IF(P331&gt;0,"xy",""))</f>
        <v/>
      </c>
      <c r="X333" s="580" t="str">
        <f t="shared" ref="X333:X334" si="358">IF(W333="X","x",IF(W333="xx","x",IF(W333="xy","x",IF(W333="y","x",IF(OR(P333&gt;0,U333&gt;0),"x","")))))</f>
        <v/>
      </c>
      <c r="Y333" s="580" t="str">
        <f t="shared" ref="Y333:Y334" si="359">IF(W333="X","x",IF(W333="y","x",IF(W333="xx","x",IF(U333&gt;0,"x",""))))</f>
        <v/>
      </c>
      <c r="Z333" s="580" t="str">
        <f t="shared" ref="Z333:Z334" si="360">IF(W333="X","x",IF(U333&gt;0,"x",""))</f>
        <v/>
      </c>
    </row>
    <row r="334" spans="1:26" ht="13.5" hidden="1" thickBot="1" x14ac:dyDescent="0.25">
      <c r="A334" s="97" t="s">
        <v>165</v>
      </c>
      <c r="B334" s="1031" t="s">
        <v>165</v>
      </c>
      <c r="C334" s="978"/>
      <c r="D334" s="916" t="s">
        <v>271</v>
      </c>
      <c r="E334" s="917"/>
      <c r="F334" s="994">
        <v>0.2</v>
      </c>
      <c r="G334" s="997">
        <v>1.89</v>
      </c>
      <c r="H334" s="979">
        <f>IF(F334=0,0,IF(F334&lt;=30,(0.7*F334+1.45)*G334,((0.7*30+1.45)+0.58*(F334-30))*G334))</f>
        <v>3.0050999999999997</v>
      </c>
      <c r="I334" s="592"/>
      <c r="J334" s="1030"/>
      <c r="K334" s="593">
        <f t="shared" si="321"/>
        <v>0</v>
      </c>
      <c r="L334" s="594" t="s">
        <v>783</v>
      </c>
      <c r="M334" s="1068"/>
      <c r="N334" s="1069"/>
      <c r="O334" s="1070">
        <f t="shared" si="347"/>
        <v>0</v>
      </c>
      <c r="P334" s="1071">
        <f t="shared" si="348"/>
        <v>0</v>
      </c>
      <c r="Q334" s="1038"/>
      <c r="R334" s="1068"/>
      <c r="S334" s="1069"/>
      <c r="T334" s="93">
        <f t="shared" si="356"/>
        <v>0</v>
      </c>
      <c r="U334" s="95">
        <f t="shared" si="357"/>
        <v>0</v>
      </c>
      <c r="V334" s="94"/>
      <c r="W334" s="579" t="str">
        <f>IF(U331&gt;0,"xx",IF(P331&gt;0,"xy",""))</f>
        <v/>
      </c>
      <c r="X334" s="580" t="str">
        <f t="shared" si="358"/>
        <v/>
      </c>
      <c r="Y334" s="580" t="str">
        <f t="shared" si="359"/>
        <v/>
      </c>
      <c r="Z334" s="580" t="str">
        <f t="shared" si="360"/>
        <v/>
      </c>
    </row>
    <row r="335" spans="1:26" ht="13.5" hidden="1" thickBot="1" x14ac:dyDescent="0.25">
      <c r="A335" s="97" t="s">
        <v>165</v>
      </c>
      <c r="B335" s="1031" t="s">
        <v>165</v>
      </c>
      <c r="C335" s="978"/>
      <c r="D335" s="916" t="s">
        <v>272</v>
      </c>
      <c r="E335" s="917"/>
      <c r="F335" s="994">
        <v>20</v>
      </c>
      <c r="G335" s="997">
        <f>SUM(G331:G334)</f>
        <v>2.2999999999999998</v>
      </c>
      <c r="H335" s="979">
        <f>IF(F335&lt;=30,(0.7*F335+2.91)*G335,((0.7*30+2.91)+0.58*(F335-30))*G335)</f>
        <v>38.893000000000001</v>
      </c>
      <c r="I335" s="592"/>
      <c r="J335" s="1030"/>
      <c r="K335" s="593">
        <f t="shared" si="321"/>
        <v>0</v>
      </c>
      <c r="L335" s="594" t="s">
        <v>783</v>
      </c>
      <c r="M335" s="1068"/>
      <c r="N335" s="1077"/>
      <c r="O335" s="1070">
        <f t="shared" si="347"/>
        <v>0</v>
      </c>
      <c r="P335" s="1071">
        <f t="shared" si="348"/>
        <v>0</v>
      </c>
      <c r="Q335" s="1038"/>
      <c r="R335" s="1068"/>
      <c r="S335" s="1069"/>
      <c r="T335" s="93">
        <f t="shared" si="350"/>
        <v>0</v>
      </c>
      <c r="U335" s="95">
        <f t="shared" si="351"/>
        <v>0</v>
      </c>
      <c r="V335" s="94"/>
      <c r="W335" s="579" t="str">
        <f>IF(U331&gt;0,"xx",IF(P331&gt;0,"xy",""))</f>
        <v/>
      </c>
      <c r="X335" s="580" t="str">
        <f t="shared" si="352"/>
        <v/>
      </c>
      <c r="Y335" s="580" t="str">
        <f t="shared" si="353"/>
        <v/>
      </c>
      <c r="Z335" s="580" t="str">
        <f t="shared" si="354"/>
        <v/>
      </c>
    </row>
    <row r="336" spans="1:26" ht="13.5" hidden="1" thickBot="1" x14ac:dyDescent="0.25">
      <c r="A336" s="1008">
        <v>589320</v>
      </c>
      <c r="B336" s="1004" t="s">
        <v>2113</v>
      </c>
      <c r="C336" s="1048" t="s">
        <v>241</v>
      </c>
      <c r="D336" s="914" t="s">
        <v>992</v>
      </c>
      <c r="E336" s="919"/>
      <c r="F336" s="998">
        <v>500</v>
      </c>
      <c r="G336" s="999">
        <v>1</v>
      </c>
      <c r="H336" s="1000">
        <f>(0.52*F336+25.75)*G336</f>
        <v>285.75</v>
      </c>
      <c r="I336" s="654">
        <f>LIGANTES!$M$23</f>
        <v>3617.13</v>
      </c>
      <c r="J336" s="1051">
        <f>IF(ISBLANK(I336),"",I336*(1+$F$9)/(1+$F$10))+H336</f>
        <v>3803.9148952427904</v>
      </c>
      <c r="K336" s="655">
        <f t="shared" si="321"/>
        <v>4629.74</v>
      </c>
      <c r="L336" s="656" t="s">
        <v>20</v>
      </c>
      <c r="M336" s="1052">
        <f>ROUND(M331*G331,2)</f>
        <v>0</v>
      </c>
      <c r="N336" s="1072"/>
      <c r="O336" s="1054">
        <f t="shared" si="347"/>
        <v>0</v>
      </c>
      <c r="P336" s="1055">
        <f t="shared" si="348"/>
        <v>0</v>
      </c>
      <c r="Q336" s="1038"/>
      <c r="R336" s="1056">
        <f>ROUND(R331*G331,2)</f>
        <v>0</v>
      </c>
      <c r="S336" s="1076">
        <f t="shared" si="253"/>
        <v>0</v>
      </c>
      <c r="T336" s="657">
        <f t="shared" si="214"/>
        <v>0</v>
      </c>
      <c r="U336" s="658">
        <f t="shared" si="268"/>
        <v>0</v>
      </c>
      <c r="V336" s="94"/>
      <c r="W336" s="579" t="str">
        <f>IF(U331&gt;0,"xx",IF(P331&gt;0,"xy",""))</f>
        <v/>
      </c>
      <c r="X336" s="580" t="str">
        <f t="shared" si="254"/>
        <v/>
      </c>
      <c r="Y336" s="580" t="str">
        <f t="shared" si="221"/>
        <v/>
      </c>
      <c r="Z336" s="580" t="str">
        <f t="shared" si="240"/>
        <v/>
      </c>
    </row>
    <row r="337" spans="1:26" ht="13.5" hidden="1" thickBot="1" x14ac:dyDescent="0.25">
      <c r="A337" s="1008">
        <v>534300</v>
      </c>
      <c r="B337" s="1064" t="s">
        <v>1894</v>
      </c>
      <c r="C337" s="1065" t="s">
        <v>212</v>
      </c>
      <c r="D337" s="327" t="s">
        <v>1899</v>
      </c>
      <c r="E337" s="915"/>
      <c r="F337" s="991" t="s">
        <v>852</v>
      </c>
      <c r="G337" s="992">
        <v>0.14000000000000001</v>
      </c>
      <c r="H337" s="993">
        <f>SUM(H338:H341)</f>
        <v>71.449600000000004</v>
      </c>
      <c r="I337" s="648">
        <v>109.09</v>
      </c>
      <c r="J337" s="1041">
        <f t="shared" ref="J337" si="361">IF(ISBLANK(I337),"",SUM(H337:I337))</f>
        <v>180.53960000000001</v>
      </c>
      <c r="K337" s="649">
        <f t="shared" si="321"/>
        <v>219.73</v>
      </c>
      <c r="L337" s="650" t="s">
        <v>16</v>
      </c>
      <c r="M337" s="1045"/>
      <c r="N337" s="1046"/>
      <c r="O337" s="1066">
        <f t="shared" si="347"/>
        <v>0</v>
      </c>
      <c r="P337" s="1067">
        <f t="shared" si="348"/>
        <v>0</v>
      </c>
      <c r="Q337" s="1038"/>
      <c r="R337" s="1045">
        <f t="shared" si="261"/>
        <v>0</v>
      </c>
      <c r="S337" s="1046">
        <f t="shared" si="253"/>
        <v>0</v>
      </c>
      <c r="T337" s="651">
        <f t="shared" ref="T337:T342" si="362">IF(ISBLANK(R337),0,ROUND(K337*R337,2))</f>
        <v>0</v>
      </c>
      <c r="U337" s="652">
        <f t="shared" ref="U337:U342" si="363">IF(ISBLANK(R337),0,ROUND(R337*S337,2))</f>
        <v>0</v>
      </c>
      <c r="V337" s="94"/>
      <c r="X337" s="580" t="str">
        <f t="shared" ref="X337:X342" si="364">IF(W337="X","x",IF(W337="xx","x",IF(W337="xy","x",IF(W337="y","x",IF(OR(P337&gt;0,U337&gt;0),"x","")))))</f>
        <v/>
      </c>
      <c r="Y337" s="580" t="str">
        <f t="shared" ref="Y337:Y342" si="365">IF(W337="X","x",IF(W337="y","x",IF(W337="xx","x",IF(U337&gt;0,"x",""))))</f>
        <v/>
      </c>
      <c r="Z337" s="580" t="str">
        <f t="shared" ref="Z337:Z342" si="366">IF(W337="X","x",IF(U337&gt;0,"x",""))</f>
        <v/>
      </c>
    </row>
    <row r="338" spans="1:26" ht="13.5" hidden="1" thickBot="1" x14ac:dyDescent="0.25">
      <c r="A338" s="97" t="s">
        <v>165</v>
      </c>
      <c r="B338" s="1031" t="s">
        <v>165</v>
      </c>
      <c r="C338" s="978"/>
      <c r="D338" s="916" t="s">
        <v>257</v>
      </c>
      <c r="E338" s="917"/>
      <c r="F338" s="994">
        <v>180</v>
      </c>
      <c r="G338" s="997">
        <v>0.27</v>
      </c>
      <c r="H338" s="996">
        <f t="shared" ref="H338" si="367">IF(F338&lt;=30,(0.7*F338+1.45)*G338,((0.7*30+1.45)+0.58*(F338-30))*G338)</f>
        <v>29.551500000000004</v>
      </c>
      <c r="I338" s="592"/>
      <c r="J338" s="1030"/>
      <c r="K338" s="593">
        <f t="shared" si="321"/>
        <v>0</v>
      </c>
      <c r="L338" s="594" t="s">
        <v>783</v>
      </c>
      <c r="M338" s="1068"/>
      <c r="N338" s="1069"/>
      <c r="O338" s="1070">
        <f t="shared" si="347"/>
        <v>0</v>
      </c>
      <c r="P338" s="1071">
        <f t="shared" si="348"/>
        <v>0</v>
      </c>
      <c r="Q338" s="1038"/>
      <c r="R338" s="1068"/>
      <c r="S338" s="1069"/>
      <c r="T338" s="93">
        <f t="shared" si="362"/>
        <v>0</v>
      </c>
      <c r="U338" s="95">
        <f t="shared" si="363"/>
        <v>0</v>
      </c>
      <c r="V338" s="94"/>
      <c r="W338" s="579" t="str">
        <f>IF(U337&gt;0,"xx",IF(P337&gt;0,"xy",""))</f>
        <v/>
      </c>
      <c r="X338" s="580" t="str">
        <f t="shared" si="364"/>
        <v/>
      </c>
      <c r="Y338" s="580" t="str">
        <f t="shared" si="365"/>
        <v/>
      </c>
      <c r="Z338" s="580" t="str">
        <f t="shared" si="366"/>
        <v/>
      </c>
    </row>
    <row r="339" spans="1:26" ht="13.5" hidden="1" thickBot="1" x14ac:dyDescent="0.25">
      <c r="A339" s="97" t="s">
        <v>165</v>
      </c>
      <c r="B339" s="1031" t="s">
        <v>165</v>
      </c>
      <c r="C339" s="978"/>
      <c r="D339" s="916" t="s">
        <v>258</v>
      </c>
      <c r="E339" s="917"/>
      <c r="F339" s="994">
        <v>500</v>
      </c>
      <c r="G339" s="997"/>
      <c r="H339" s="979">
        <f>IF(F339&lt;=30,(0.51*F339+4.28)*G339,((0.51*30+4.28)+0.42*(F339-30))*G339)</f>
        <v>0</v>
      </c>
      <c r="I339" s="592"/>
      <c r="J339" s="1030" t="str">
        <f t="shared" ref="J339" si="368">IF(ISBLANK(I339),"",SUM(H339:I339))</f>
        <v/>
      </c>
      <c r="K339" s="593">
        <f t="shared" si="321"/>
        <v>0</v>
      </c>
      <c r="L339" s="594" t="s">
        <v>783</v>
      </c>
      <c r="M339" s="1068"/>
      <c r="N339" s="1069"/>
      <c r="O339" s="1070">
        <f t="shared" si="347"/>
        <v>0</v>
      </c>
      <c r="P339" s="1071">
        <f t="shared" si="348"/>
        <v>0</v>
      </c>
      <c r="Q339" s="1038"/>
      <c r="R339" s="1068"/>
      <c r="S339" s="1069"/>
      <c r="T339" s="93">
        <f t="shared" ref="T339:T340" si="369">IF(ISBLANK(R339),0,ROUND(K339*R339,2))</f>
        <v>0</v>
      </c>
      <c r="U339" s="95">
        <f t="shared" ref="U339:U340" si="370">IF(ISBLANK(R339),0,ROUND(R339*S339,2))</f>
        <v>0</v>
      </c>
      <c r="V339" s="94"/>
      <c r="W339" s="579" t="str">
        <f>IF(U337&gt;0,"xx",IF(P337&gt;0,"xy",""))</f>
        <v/>
      </c>
      <c r="X339" s="580" t="str">
        <f t="shared" ref="X339:X340" si="371">IF(W339="X","x",IF(W339="xx","x",IF(W339="xy","x",IF(W339="y","x",IF(OR(P339&gt;0,U339&gt;0),"x","")))))</f>
        <v/>
      </c>
      <c r="Y339" s="580" t="str">
        <f t="shared" ref="Y339:Y340" si="372">IF(W339="X","x",IF(W339="y","x",IF(W339="xx","x",IF(U339&gt;0,"x",""))))</f>
        <v/>
      </c>
      <c r="Z339" s="580" t="str">
        <f t="shared" ref="Z339:Z340" si="373">IF(W339="X","x",IF(U339&gt;0,"x",""))</f>
        <v/>
      </c>
    </row>
    <row r="340" spans="1:26" ht="13.5" hidden="1" thickBot="1" x14ac:dyDescent="0.25">
      <c r="A340" s="97" t="s">
        <v>165</v>
      </c>
      <c r="B340" s="1031" t="s">
        <v>165</v>
      </c>
      <c r="C340" s="978"/>
      <c r="D340" s="916" t="s">
        <v>271</v>
      </c>
      <c r="E340" s="917"/>
      <c r="F340" s="994">
        <v>0.2</v>
      </c>
      <c r="G340" s="997">
        <v>1.89</v>
      </c>
      <c r="H340" s="979">
        <f>IF(F340=0,0,IF(F340&lt;=30,(0.7*F340+1.45)*G340,((0.7*30+1.45)+0.58*(F340-30))*G340))</f>
        <v>3.0050999999999997</v>
      </c>
      <c r="I340" s="592"/>
      <c r="J340" s="1030"/>
      <c r="K340" s="593">
        <f t="shared" si="321"/>
        <v>0</v>
      </c>
      <c r="L340" s="594" t="s">
        <v>783</v>
      </c>
      <c r="M340" s="1068"/>
      <c r="N340" s="1069"/>
      <c r="O340" s="1070">
        <f t="shared" si="347"/>
        <v>0</v>
      </c>
      <c r="P340" s="1071">
        <f t="shared" si="348"/>
        <v>0</v>
      </c>
      <c r="Q340" s="1038"/>
      <c r="R340" s="1068"/>
      <c r="S340" s="1069"/>
      <c r="T340" s="93">
        <f t="shared" si="369"/>
        <v>0</v>
      </c>
      <c r="U340" s="95">
        <f t="shared" si="370"/>
        <v>0</v>
      </c>
      <c r="V340" s="94"/>
      <c r="W340" s="579" t="str">
        <f>IF(U337&gt;0,"xx",IF(P337&gt;0,"xy",""))</f>
        <v/>
      </c>
      <c r="X340" s="580" t="str">
        <f t="shared" si="371"/>
        <v/>
      </c>
      <c r="Y340" s="580" t="str">
        <f t="shared" si="372"/>
        <v/>
      </c>
      <c r="Z340" s="580" t="str">
        <f t="shared" si="373"/>
        <v/>
      </c>
    </row>
    <row r="341" spans="1:26" ht="13.5" hidden="1" thickBot="1" x14ac:dyDescent="0.25">
      <c r="A341" s="97" t="s">
        <v>165</v>
      </c>
      <c r="B341" s="1031" t="s">
        <v>165</v>
      </c>
      <c r="C341" s="978"/>
      <c r="D341" s="916" t="s">
        <v>272</v>
      </c>
      <c r="E341" s="917"/>
      <c r="F341" s="994">
        <v>20</v>
      </c>
      <c r="G341" s="997">
        <f>SUM(G337:G340)</f>
        <v>2.2999999999999998</v>
      </c>
      <c r="H341" s="979">
        <f>IF(F341&lt;=30,(0.7*F341+2.91)*G341,((0.7*30+2.91)+0.58*(F341-30))*G341)</f>
        <v>38.893000000000001</v>
      </c>
      <c r="I341" s="592"/>
      <c r="J341" s="1030"/>
      <c r="K341" s="593">
        <f t="shared" si="321"/>
        <v>0</v>
      </c>
      <c r="L341" s="594" t="s">
        <v>783</v>
      </c>
      <c r="M341" s="1068"/>
      <c r="N341" s="1077"/>
      <c r="O341" s="1070">
        <f t="shared" si="347"/>
        <v>0</v>
      </c>
      <c r="P341" s="1071">
        <f t="shared" si="348"/>
        <v>0</v>
      </c>
      <c r="Q341" s="1038"/>
      <c r="R341" s="1068"/>
      <c r="S341" s="1069"/>
      <c r="T341" s="93">
        <f t="shared" si="362"/>
        <v>0</v>
      </c>
      <c r="U341" s="95">
        <f t="shared" si="363"/>
        <v>0</v>
      </c>
      <c r="V341" s="94"/>
      <c r="W341" s="579" t="str">
        <f>IF(U337&gt;0,"xx",IF(P337&gt;0,"xy",""))</f>
        <v/>
      </c>
      <c r="X341" s="580" t="str">
        <f t="shared" si="364"/>
        <v/>
      </c>
      <c r="Y341" s="580" t="str">
        <f t="shared" si="365"/>
        <v/>
      </c>
      <c r="Z341" s="580" t="str">
        <f t="shared" si="366"/>
        <v/>
      </c>
    </row>
    <row r="342" spans="1:26" ht="13.5" hidden="1" thickBot="1" x14ac:dyDescent="0.25">
      <c r="A342" s="1008">
        <v>589320</v>
      </c>
      <c r="B342" s="1004" t="s">
        <v>2114</v>
      </c>
      <c r="C342" s="1048" t="s">
        <v>241</v>
      </c>
      <c r="D342" s="914" t="s">
        <v>992</v>
      </c>
      <c r="E342" s="919"/>
      <c r="F342" s="998">
        <v>500</v>
      </c>
      <c r="G342" s="999">
        <v>1</v>
      </c>
      <c r="H342" s="1000">
        <f>(0.52*F342+25.75)*G342</f>
        <v>285.75</v>
      </c>
      <c r="I342" s="654">
        <f>LIGANTES!$M$23</f>
        <v>3617.13</v>
      </c>
      <c r="J342" s="1051">
        <f>IF(ISBLANK(I342),"",I342*(1+$F$9)/(1+$F$10))+H342</f>
        <v>3803.9148952427904</v>
      </c>
      <c r="K342" s="655">
        <f t="shared" si="321"/>
        <v>4629.74</v>
      </c>
      <c r="L342" s="656" t="s">
        <v>20</v>
      </c>
      <c r="M342" s="1052">
        <f>ROUND(M337*G337,2)</f>
        <v>0</v>
      </c>
      <c r="N342" s="1072"/>
      <c r="O342" s="1054">
        <f t="shared" si="347"/>
        <v>0</v>
      </c>
      <c r="P342" s="1055">
        <f t="shared" si="348"/>
        <v>0</v>
      </c>
      <c r="Q342" s="1038"/>
      <c r="R342" s="1056">
        <f>ROUND(R337*G337,2)</f>
        <v>0</v>
      </c>
      <c r="S342" s="1076">
        <f t="shared" si="253"/>
        <v>0</v>
      </c>
      <c r="T342" s="657">
        <f t="shared" si="362"/>
        <v>0</v>
      </c>
      <c r="U342" s="658">
        <f t="shared" si="363"/>
        <v>0</v>
      </c>
      <c r="V342" s="94"/>
      <c r="W342" s="579" t="str">
        <f>IF(U337&gt;0,"xx",IF(P337&gt;0,"xy",""))</f>
        <v/>
      </c>
      <c r="X342" s="580" t="str">
        <f t="shared" si="364"/>
        <v/>
      </c>
      <c r="Y342" s="580" t="str">
        <f t="shared" si="365"/>
        <v/>
      </c>
      <c r="Z342" s="580" t="str">
        <f t="shared" si="366"/>
        <v/>
      </c>
    </row>
    <row r="343" spans="1:26" ht="13.5" hidden="1" thickBot="1" x14ac:dyDescent="0.25">
      <c r="A343" s="1008">
        <v>534300</v>
      </c>
      <c r="B343" s="1064" t="s">
        <v>1895</v>
      </c>
      <c r="C343" s="1065" t="s">
        <v>212</v>
      </c>
      <c r="D343" s="327" t="s">
        <v>1126</v>
      </c>
      <c r="E343" s="915"/>
      <c r="F343" s="991" t="s">
        <v>852</v>
      </c>
      <c r="G343" s="992">
        <v>0.18240000000000001</v>
      </c>
      <c r="H343" s="993">
        <f>SUM(H344:H347)</f>
        <v>123.92649</v>
      </c>
      <c r="I343" s="648">
        <v>109.09</v>
      </c>
      <c r="J343" s="1041">
        <f t="shared" ref="J343" si="374">IF(ISBLANK(I343),"",SUM(H343:I343))</f>
        <v>233.01649</v>
      </c>
      <c r="K343" s="649">
        <f t="shared" si="321"/>
        <v>283.60000000000002</v>
      </c>
      <c r="L343" s="650" t="s">
        <v>16</v>
      </c>
      <c r="M343" s="1045"/>
      <c r="N343" s="1046"/>
      <c r="O343" s="1066">
        <f t="shared" si="347"/>
        <v>0</v>
      </c>
      <c r="P343" s="1067">
        <f t="shared" si="348"/>
        <v>0</v>
      </c>
      <c r="Q343" s="1038"/>
      <c r="R343" s="1045">
        <f t="shared" si="261"/>
        <v>0</v>
      </c>
      <c r="S343" s="1046">
        <f t="shared" si="253"/>
        <v>0</v>
      </c>
      <c r="T343" s="651">
        <f t="shared" ref="T343:T348" si="375">IF(ISBLANK(R343),0,ROUND(K343*R343,2))</f>
        <v>0</v>
      </c>
      <c r="U343" s="652">
        <f t="shared" ref="U343:U348" si="376">IF(ISBLANK(R343),0,ROUND(R343*S343,2))</f>
        <v>0</v>
      </c>
      <c r="V343" s="94"/>
      <c r="X343" s="580" t="str">
        <f t="shared" ref="X343:X348" si="377">IF(W343="X","x",IF(W343="xx","x",IF(W343="xy","x",IF(W343="y","x",IF(OR(P343&gt;0,U343&gt;0),"x","")))))</f>
        <v/>
      </c>
      <c r="Y343" s="580" t="str">
        <f t="shared" ref="Y343:Y348" si="378">IF(W343="X","x",IF(W343="y","x",IF(W343="xx","x",IF(U343&gt;0,"x",""))))</f>
        <v/>
      </c>
      <c r="Z343" s="580" t="str">
        <f t="shared" ref="Z343:Z348" si="379">IF(W343="X","x",IF(U343&gt;0,"x",""))</f>
        <v/>
      </c>
    </row>
    <row r="344" spans="1:26" ht="13.5" hidden="1" thickBot="1" x14ac:dyDescent="0.25">
      <c r="A344" s="97" t="s">
        <v>165</v>
      </c>
      <c r="B344" s="1031" t="s">
        <v>165</v>
      </c>
      <c r="C344" s="978"/>
      <c r="D344" s="916" t="s">
        <v>257</v>
      </c>
      <c r="E344" s="917"/>
      <c r="F344" s="994">
        <v>180</v>
      </c>
      <c r="G344" s="997">
        <v>0.56969999999999998</v>
      </c>
      <c r="H344" s="996">
        <f t="shared" ref="H344" si="380">IF(F344&lt;=30,(0.7*F344+1.45)*G344,((0.7*30+1.45)+0.58*(F344-30))*G344)</f>
        <v>62.353664999999999</v>
      </c>
      <c r="I344" s="592"/>
      <c r="J344" s="1030"/>
      <c r="K344" s="593">
        <f t="shared" si="321"/>
        <v>0</v>
      </c>
      <c r="L344" s="594" t="s">
        <v>783</v>
      </c>
      <c r="M344" s="1068"/>
      <c r="N344" s="1069"/>
      <c r="O344" s="1070">
        <f t="shared" si="347"/>
        <v>0</v>
      </c>
      <c r="P344" s="1071">
        <f t="shared" si="348"/>
        <v>0</v>
      </c>
      <c r="Q344" s="1038"/>
      <c r="R344" s="1068"/>
      <c r="S344" s="1069"/>
      <c r="T344" s="93">
        <f t="shared" si="375"/>
        <v>0</v>
      </c>
      <c r="U344" s="95">
        <f t="shared" si="376"/>
        <v>0</v>
      </c>
      <c r="V344" s="94"/>
      <c r="W344" s="579" t="str">
        <f>IF(U343&gt;0,"xx",IF(P343&gt;0,"xy",""))</f>
        <v/>
      </c>
      <c r="X344" s="580" t="str">
        <f t="shared" si="377"/>
        <v/>
      </c>
      <c r="Y344" s="580" t="str">
        <f t="shared" si="378"/>
        <v/>
      </c>
      <c r="Z344" s="580" t="str">
        <f t="shared" si="379"/>
        <v/>
      </c>
    </row>
    <row r="345" spans="1:26" ht="13.5" hidden="1" thickBot="1" x14ac:dyDescent="0.25">
      <c r="A345" s="97" t="s">
        <v>165</v>
      </c>
      <c r="B345" s="1031" t="s">
        <v>165</v>
      </c>
      <c r="C345" s="978"/>
      <c r="D345" s="916" t="s">
        <v>258</v>
      </c>
      <c r="E345" s="917"/>
      <c r="F345" s="994">
        <v>500</v>
      </c>
      <c r="G345" s="997">
        <v>8.7599999999999997E-2</v>
      </c>
      <c r="H345" s="979">
        <f>IF(F345&lt;=30,(0.51*F345+4.28)*G345,((0.51*30+4.28)+0.42*(F345-30))*G345)</f>
        <v>19.007448</v>
      </c>
      <c r="I345" s="592"/>
      <c r="J345" s="1030"/>
      <c r="K345" s="593">
        <f t="shared" si="321"/>
        <v>0</v>
      </c>
      <c r="L345" s="594" t="s">
        <v>783</v>
      </c>
      <c r="M345" s="1068"/>
      <c r="N345" s="1069"/>
      <c r="O345" s="1070">
        <f t="shared" si="347"/>
        <v>0</v>
      </c>
      <c r="P345" s="1071">
        <f t="shared" si="348"/>
        <v>0</v>
      </c>
      <c r="Q345" s="1038"/>
      <c r="R345" s="1068"/>
      <c r="S345" s="1069"/>
      <c r="T345" s="93">
        <f t="shared" si="375"/>
        <v>0</v>
      </c>
      <c r="U345" s="95">
        <f t="shared" si="376"/>
        <v>0</v>
      </c>
      <c r="V345" s="94"/>
      <c r="W345" s="579" t="str">
        <f>IF(U343&gt;0,"xx",IF(P343&gt;0,"xy",""))</f>
        <v/>
      </c>
      <c r="X345" s="580" t="str">
        <f t="shared" si="377"/>
        <v/>
      </c>
      <c r="Y345" s="580" t="str">
        <f t="shared" si="378"/>
        <v/>
      </c>
      <c r="Z345" s="580" t="str">
        <f t="shared" si="379"/>
        <v/>
      </c>
    </row>
    <row r="346" spans="1:26" ht="13.5" hidden="1" thickBot="1" x14ac:dyDescent="0.25">
      <c r="A346" s="97" t="s">
        <v>165</v>
      </c>
      <c r="B346" s="1031" t="s">
        <v>165</v>
      </c>
      <c r="C346" s="978"/>
      <c r="D346" s="916" t="s">
        <v>271</v>
      </c>
      <c r="E346" s="917"/>
      <c r="F346" s="994">
        <v>0.2</v>
      </c>
      <c r="G346" s="997">
        <v>1.5333000000000001</v>
      </c>
      <c r="H346" s="979">
        <f>IF(F346=0,0,IF(F346&lt;=30,(0.7*F346+1.45)*G346,((0.7*30+1.45)+0.58*(F346-30))*G346))</f>
        <v>2.4379469999999999</v>
      </c>
      <c r="I346" s="592"/>
      <c r="J346" s="1030"/>
      <c r="K346" s="593">
        <f t="shared" si="321"/>
        <v>0</v>
      </c>
      <c r="L346" s="594" t="s">
        <v>783</v>
      </c>
      <c r="M346" s="1068"/>
      <c r="N346" s="1069"/>
      <c r="O346" s="1070">
        <f t="shared" si="347"/>
        <v>0</v>
      </c>
      <c r="P346" s="1071">
        <f t="shared" si="348"/>
        <v>0</v>
      </c>
      <c r="Q346" s="1038"/>
      <c r="R346" s="1068"/>
      <c r="S346" s="1069"/>
      <c r="T346" s="93">
        <f t="shared" si="375"/>
        <v>0</v>
      </c>
      <c r="U346" s="95">
        <f t="shared" si="376"/>
        <v>0</v>
      </c>
      <c r="V346" s="94"/>
      <c r="W346" s="579" t="str">
        <f>IF(U343&gt;0,"xx",IF(P343&gt;0,"xy",""))</f>
        <v/>
      </c>
      <c r="X346" s="580" t="str">
        <f t="shared" si="377"/>
        <v/>
      </c>
      <c r="Y346" s="580" t="str">
        <f t="shared" si="378"/>
        <v/>
      </c>
      <c r="Z346" s="580" t="str">
        <f t="shared" si="379"/>
        <v/>
      </c>
    </row>
    <row r="347" spans="1:26" ht="13.5" hidden="1" thickBot="1" x14ac:dyDescent="0.25">
      <c r="A347" s="97" t="s">
        <v>165</v>
      </c>
      <c r="B347" s="1031" t="s">
        <v>165</v>
      </c>
      <c r="C347" s="978"/>
      <c r="D347" s="916" t="s">
        <v>272</v>
      </c>
      <c r="E347" s="917"/>
      <c r="F347" s="994">
        <v>20</v>
      </c>
      <c r="G347" s="997">
        <f>SUM(G343:G346)</f>
        <v>2.3730000000000002</v>
      </c>
      <c r="H347" s="979">
        <f>IF(F347&lt;=30,(0.7*F347+2.91)*G347,((0.7*30+2.91)+0.58*(F347-30))*G347)</f>
        <v>40.127430000000004</v>
      </c>
      <c r="I347" s="592"/>
      <c r="J347" s="1030"/>
      <c r="K347" s="593">
        <f t="shared" si="321"/>
        <v>0</v>
      </c>
      <c r="L347" s="594" t="s">
        <v>783</v>
      </c>
      <c r="M347" s="1068"/>
      <c r="N347" s="1077"/>
      <c r="O347" s="1070">
        <f t="shared" si="347"/>
        <v>0</v>
      </c>
      <c r="P347" s="1071">
        <f t="shared" si="348"/>
        <v>0</v>
      </c>
      <c r="Q347" s="1038"/>
      <c r="R347" s="1068"/>
      <c r="S347" s="1069"/>
      <c r="T347" s="93">
        <f t="shared" si="375"/>
        <v>0</v>
      </c>
      <c r="U347" s="95">
        <f t="shared" si="376"/>
        <v>0</v>
      </c>
      <c r="V347" s="94"/>
      <c r="W347" s="579" t="str">
        <f>IF(U343&gt;0,"xx",IF(P343&gt;0,"xy",""))</f>
        <v/>
      </c>
      <c r="X347" s="580" t="str">
        <f t="shared" si="377"/>
        <v/>
      </c>
      <c r="Y347" s="580" t="str">
        <f t="shared" si="378"/>
        <v/>
      </c>
      <c r="Z347" s="580" t="str">
        <f t="shared" si="379"/>
        <v/>
      </c>
    </row>
    <row r="348" spans="1:26" ht="13.5" hidden="1" thickBot="1" x14ac:dyDescent="0.25">
      <c r="A348" s="1008">
        <v>589320</v>
      </c>
      <c r="B348" s="1004" t="s">
        <v>2115</v>
      </c>
      <c r="C348" s="1048" t="s">
        <v>241</v>
      </c>
      <c r="D348" s="914" t="s">
        <v>2037</v>
      </c>
      <c r="E348" s="919"/>
      <c r="F348" s="998">
        <v>500</v>
      </c>
      <c r="G348" s="999">
        <v>1</v>
      </c>
      <c r="H348" s="1000">
        <f>(0.52*F348+25.75)*G348</f>
        <v>285.75</v>
      </c>
      <c r="I348" s="654">
        <f>LIGANTES!$M$23</f>
        <v>3617.13</v>
      </c>
      <c r="J348" s="1051">
        <f>IF(ISBLANK(I348),"",I348*(1+$F$9)/(1+$F$10))+H348</f>
        <v>3803.9148952427904</v>
      </c>
      <c r="K348" s="655">
        <f t="shared" si="321"/>
        <v>4629.74</v>
      </c>
      <c r="L348" s="656" t="s">
        <v>20</v>
      </c>
      <c r="M348" s="1052">
        <f>ROUND(M343*G343,2)</f>
        <v>0</v>
      </c>
      <c r="N348" s="1072"/>
      <c r="O348" s="1054">
        <f t="shared" si="347"/>
        <v>0</v>
      </c>
      <c r="P348" s="1055">
        <f t="shared" si="348"/>
        <v>0</v>
      </c>
      <c r="Q348" s="1038"/>
      <c r="R348" s="1056">
        <f>ROUND(R343*G343,2)</f>
        <v>0</v>
      </c>
      <c r="S348" s="1076">
        <f t="shared" ref="S348:S409" si="381">N348</f>
        <v>0</v>
      </c>
      <c r="T348" s="657">
        <f t="shared" si="375"/>
        <v>0</v>
      </c>
      <c r="U348" s="658">
        <f t="shared" si="376"/>
        <v>0</v>
      </c>
      <c r="V348" s="94"/>
      <c r="W348" s="579" t="str">
        <f>IF(U343&gt;0,"xx",IF(P343&gt;0,"xy",""))</f>
        <v/>
      </c>
      <c r="X348" s="580" t="str">
        <f t="shared" si="377"/>
        <v/>
      </c>
      <c r="Y348" s="580" t="str">
        <f t="shared" si="378"/>
        <v/>
      </c>
      <c r="Z348" s="580" t="str">
        <f t="shared" si="379"/>
        <v/>
      </c>
    </row>
    <row r="349" spans="1:26" ht="13.5" hidden="1" thickBot="1" x14ac:dyDescent="0.25">
      <c r="A349" s="1008">
        <v>570300</v>
      </c>
      <c r="B349" s="1064" t="s">
        <v>1999</v>
      </c>
      <c r="C349" s="1065" t="s">
        <v>212</v>
      </c>
      <c r="D349" s="920" t="s">
        <v>1064</v>
      </c>
      <c r="E349" s="915"/>
      <c r="F349" s="991" t="s">
        <v>851</v>
      </c>
      <c r="G349" s="992">
        <v>0.04</v>
      </c>
      <c r="H349" s="993">
        <f>SUM(H350:H353)</f>
        <v>22.257249999999999</v>
      </c>
      <c r="I349" s="648">
        <v>135.25</v>
      </c>
      <c r="J349" s="1041">
        <f t="shared" si="198"/>
        <v>157.50725</v>
      </c>
      <c r="K349" s="649">
        <f t="shared" si="321"/>
        <v>191.7</v>
      </c>
      <c r="L349" s="650" t="s">
        <v>20</v>
      </c>
      <c r="M349" s="1045"/>
      <c r="N349" s="1046"/>
      <c r="O349" s="1066">
        <f t="shared" si="347"/>
        <v>0</v>
      </c>
      <c r="P349" s="1067">
        <f t="shared" si="348"/>
        <v>0</v>
      </c>
      <c r="Q349" s="1038"/>
      <c r="R349" s="1045">
        <f t="shared" si="261"/>
        <v>0</v>
      </c>
      <c r="S349" s="1046">
        <f t="shared" si="381"/>
        <v>0</v>
      </c>
      <c r="T349" s="651">
        <f t="shared" si="214"/>
        <v>0</v>
      </c>
      <c r="U349" s="652">
        <f t="shared" si="268"/>
        <v>0</v>
      </c>
      <c r="V349" s="94"/>
      <c r="X349" s="580" t="str">
        <f t="shared" si="254"/>
        <v/>
      </c>
      <c r="Y349" s="580" t="str">
        <f t="shared" si="221"/>
        <v/>
      </c>
      <c r="Z349" s="580" t="str">
        <f t="shared" si="240"/>
        <v/>
      </c>
    </row>
    <row r="350" spans="1:26" ht="13.5" hidden="1" thickBot="1" x14ac:dyDescent="0.25">
      <c r="A350" s="97" t="s">
        <v>165</v>
      </c>
      <c r="B350" s="1031" t="s">
        <v>165</v>
      </c>
      <c r="C350" s="978"/>
      <c r="D350" s="916" t="s">
        <v>257</v>
      </c>
      <c r="E350" s="917"/>
      <c r="F350" s="994">
        <v>180</v>
      </c>
      <c r="G350" s="997">
        <v>0</v>
      </c>
      <c r="H350" s="996">
        <f t="shared" ref="H350" si="382">IF(F350&lt;=30,(0.7*F350+1.45)*G350,((0.7*30+1.45)+0.58*(F350-30))*G350)</f>
        <v>0</v>
      </c>
      <c r="I350" s="592"/>
      <c r="J350" s="1030" t="str">
        <f t="shared" ref="J350" si="383">IF(ISBLANK(I350),"",SUM(H350:I350))</f>
        <v/>
      </c>
      <c r="K350" s="593">
        <f t="shared" si="321"/>
        <v>0</v>
      </c>
      <c r="L350" s="594" t="s">
        <v>783</v>
      </c>
      <c r="M350" s="1068"/>
      <c r="N350" s="1069"/>
      <c r="O350" s="1070">
        <f t="shared" si="347"/>
        <v>0</v>
      </c>
      <c r="P350" s="1071">
        <f t="shared" si="348"/>
        <v>0</v>
      </c>
      <c r="Q350" s="1038"/>
      <c r="R350" s="1068"/>
      <c r="S350" s="1069"/>
      <c r="T350" s="93">
        <f t="shared" ref="T350:T353" si="384">IF(ISBLANK(R350),0,ROUND(K350*R350,2))</f>
        <v>0</v>
      </c>
      <c r="U350" s="95">
        <f t="shared" ref="U350:U353" si="385">IF(ISBLANK(R350),0,ROUND(R350*S350,2))</f>
        <v>0</v>
      </c>
      <c r="V350" s="94"/>
      <c r="W350" s="579" t="str">
        <f>IF(U349&gt;0,"xx",IF(P349&gt;0,"xy",""))</f>
        <v/>
      </c>
      <c r="X350" s="580" t="str">
        <f t="shared" ref="X350:X353" si="386">IF(W350="X","x",IF(W350="xx","x",IF(W350="xy","x",IF(W350="y","x",IF(OR(P350&gt;0,U350&gt;0),"x","")))))</f>
        <v/>
      </c>
      <c r="Y350" s="580" t="str">
        <f t="shared" ref="Y350:Y353" si="387">IF(W350="X","x",IF(W350="y","x",IF(W350="xx","x",IF(U350&gt;0,"x",""))))</f>
        <v/>
      </c>
      <c r="Z350" s="580" t="str">
        <f t="shared" ref="Z350:Z353" si="388">IF(W350="X","x",IF(U350&gt;0,"x",""))</f>
        <v/>
      </c>
    </row>
    <row r="351" spans="1:26" ht="13.5" hidden="1" thickBot="1" x14ac:dyDescent="0.25">
      <c r="A351" s="97" t="s">
        <v>165</v>
      </c>
      <c r="B351" s="1031" t="s">
        <v>165</v>
      </c>
      <c r="C351" s="978"/>
      <c r="D351" s="916" t="s">
        <v>258</v>
      </c>
      <c r="E351" s="917"/>
      <c r="F351" s="994">
        <v>500</v>
      </c>
      <c r="G351" s="997">
        <v>1.4999999999999999E-2</v>
      </c>
      <c r="H351" s="979">
        <f>IF(F351&lt;=30,(0.51*F351+4.28)*G351,((0.51*30+4.28)+0.42*(F351-30))*G351)</f>
        <v>3.2547000000000001</v>
      </c>
      <c r="I351" s="592"/>
      <c r="J351" s="1030"/>
      <c r="K351" s="593">
        <f t="shared" si="321"/>
        <v>0</v>
      </c>
      <c r="L351" s="594" t="s">
        <v>783</v>
      </c>
      <c r="M351" s="1068"/>
      <c r="N351" s="1069"/>
      <c r="O351" s="1070">
        <f t="shared" si="347"/>
        <v>0</v>
      </c>
      <c r="P351" s="1071">
        <f t="shared" si="348"/>
        <v>0</v>
      </c>
      <c r="Q351" s="1038"/>
      <c r="R351" s="1068"/>
      <c r="S351" s="1069"/>
      <c r="T351" s="93">
        <f t="shared" ref="T351" si="389">IF(ISBLANK(R351),0,ROUND(K351*R351,2))</f>
        <v>0</v>
      </c>
      <c r="U351" s="95">
        <f t="shared" ref="U351" si="390">IF(ISBLANK(R351),0,ROUND(R351*S351,2))</f>
        <v>0</v>
      </c>
      <c r="V351" s="94"/>
      <c r="W351" s="579" t="str">
        <f>IF(U349&gt;0,"xx",IF(P349&gt;0,"xy",""))</f>
        <v/>
      </c>
      <c r="X351" s="580" t="str">
        <f t="shared" ref="X351" si="391">IF(W351="X","x",IF(W351="xx","x",IF(W351="xy","x",IF(W351="y","x",IF(OR(P351&gt;0,U351&gt;0),"x","")))))</f>
        <v/>
      </c>
      <c r="Y351" s="580" t="str">
        <f t="shared" ref="Y351" si="392">IF(W351="X","x",IF(W351="y","x",IF(W351="xx","x",IF(U351&gt;0,"x",""))))</f>
        <v/>
      </c>
      <c r="Z351" s="580" t="str">
        <f t="shared" ref="Z351" si="393">IF(W351="X","x",IF(U351&gt;0,"x",""))</f>
        <v/>
      </c>
    </row>
    <row r="352" spans="1:26" ht="13.5" hidden="1" thickBot="1" x14ac:dyDescent="0.25">
      <c r="A352" s="97" t="s">
        <v>165</v>
      </c>
      <c r="B352" s="1031" t="s">
        <v>165</v>
      </c>
      <c r="C352" s="978"/>
      <c r="D352" s="916" t="s">
        <v>271</v>
      </c>
      <c r="E352" s="917"/>
      <c r="F352" s="994">
        <v>0.2</v>
      </c>
      <c r="G352" s="997">
        <v>0.94499999999999995</v>
      </c>
      <c r="H352" s="979">
        <f>IF(F352=0,0,IF(F352&lt;=30,(0.7*F352+1.45)*G352,((0.7*30+1.45)+0.58*(F352-30))*G352))</f>
        <v>1.5025499999999998</v>
      </c>
      <c r="I352" s="592"/>
      <c r="J352" s="1030"/>
      <c r="K352" s="593">
        <f t="shared" si="321"/>
        <v>0</v>
      </c>
      <c r="L352" s="594" t="s">
        <v>783</v>
      </c>
      <c r="M352" s="1068"/>
      <c r="N352" s="1069"/>
      <c r="O352" s="1070">
        <f t="shared" si="347"/>
        <v>0</v>
      </c>
      <c r="P352" s="1071">
        <f t="shared" si="348"/>
        <v>0</v>
      </c>
      <c r="Q352" s="1038"/>
      <c r="R352" s="1068"/>
      <c r="S352" s="1069"/>
      <c r="T352" s="93">
        <f t="shared" si="384"/>
        <v>0</v>
      </c>
      <c r="U352" s="95">
        <f t="shared" si="385"/>
        <v>0</v>
      </c>
      <c r="V352" s="94"/>
      <c r="W352" s="579" t="str">
        <f>IF(U349&gt;0,"xx",IF(P349&gt;0,"xy",""))</f>
        <v/>
      </c>
      <c r="X352" s="580" t="str">
        <f t="shared" si="386"/>
        <v/>
      </c>
      <c r="Y352" s="580" t="str">
        <f t="shared" si="387"/>
        <v/>
      </c>
      <c r="Z352" s="580" t="str">
        <f t="shared" si="388"/>
        <v/>
      </c>
    </row>
    <row r="353" spans="1:26" ht="13.5" hidden="1" thickBot="1" x14ac:dyDescent="0.25">
      <c r="A353" s="97" t="s">
        <v>165</v>
      </c>
      <c r="B353" s="1031" t="s">
        <v>165</v>
      </c>
      <c r="C353" s="978"/>
      <c r="D353" s="916" t="s">
        <v>272</v>
      </c>
      <c r="E353" s="917"/>
      <c r="F353" s="994">
        <v>20</v>
      </c>
      <c r="G353" s="997">
        <v>1</v>
      </c>
      <c r="H353" s="979">
        <f>IF(F353&lt;=30,(0.7*F353+3.5)*G353,((0.7*30+3.5)+0.58*(F353-30))*G353)</f>
        <v>17.5</v>
      </c>
      <c r="I353" s="592"/>
      <c r="J353" s="1030"/>
      <c r="K353" s="593">
        <f t="shared" si="321"/>
        <v>0</v>
      </c>
      <c r="L353" s="594" t="s">
        <v>783</v>
      </c>
      <c r="M353" s="1068"/>
      <c r="N353" s="1069"/>
      <c r="O353" s="1070">
        <f t="shared" si="347"/>
        <v>0</v>
      </c>
      <c r="P353" s="1071">
        <f t="shared" si="348"/>
        <v>0</v>
      </c>
      <c r="Q353" s="1038"/>
      <c r="R353" s="1068"/>
      <c r="S353" s="1069"/>
      <c r="T353" s="93">
        <f t="shared" si="384"/>
        <v>0</v>
      </c>
      <c r="U353" s="95">
        <f t="shared" si="385"/>
        <v>0</v>
      </c>
      <c r="V353" s="94"/>
      <c r="W353" s="579" t="str">
        <f>IF(U349&gt;0,"xx",IF(P349&gt;0,"xy",""))</f>
        <v/>
      </c>
      <c r="X353" s="580" t="str">
        <f t="shared" si="386"/>
        <v/>
      </c>
      <c r="Y353" s="580" t="str">
        <f t="shared" si="387"/>
        <v/>
      </c>
      <c r="Z353" s="580" t="str">
        <f t="shared" si="388"/>
        <v/>
      </c>
    </row>
    <row r="354" spans="1:26" ht="13.5" hidden="1" thickBot="1" x14ac:dyDescent="0.25">
      <c r="A354" s="1008">
        <v>589000</v>
      </c>
      <c r="B354" s="1004" t="s">
        <v>2076</v>
      </c>
      <c r="C354" s="1007" t="s">
        <v>241</v>
      </c>
      <c r="D354" s="914" t="s">
        <v>844</v>
      </c>
      <c r="E354" s="921"/>
      <c r="F354" s="1001">
        <v>500</v>
      </c>
      <c r="G354" s="999">
        <v>1</v>
      </c>
      <c r="H354" s="1000">
        <f>(0.58*F354+28.61)*G354</f>
        <v>318.61</v>
      </c>
      <c r="I354" s="654">
        <f>LIGANTES!$M$15</f>
        <v>4434.49</v>
      </c>
      <c r="J354" s="1051">
        <f>IF(ISBLANK(I354),"",I354*(1+$F$9)/(1+$F$10))+H354</f>
        <v>4631.771828937638</v>
      </c>
      <c r="K354" s="669">
        <f t="shared" si="321"/>
        <v>5637.33</v>
      </c>
      <c r="L354" s="55" t="s">
        <v>20</v>
      </c>
      <c r="M354" s="1052">
        <f>ROUND(M349*G349,2)</f>
        <v>0</v>
      </c>
      <c r="N354" s="1072"/>
      <c r="O354" s="1054">
        <f t="shared" si="347"/>
        <v>0</v>
      </c>
      <c r="P354" s="1055">
        <f t="shared" si="348"/>
        <v>0</v>
      </c>
      <c r="Q354" s="1038"/>
      <c r="R354" s="1056">
        <f>ROUND(R349*G349,2)</f>
        <v>0</v>
      </c>
      <c r="S354" s="1076">
        <f t="shared" si="381"/>
        <v>0</v>
      </c>
      <c r="T354" s="657">
        <f t="shared" si="214"/>
        <v>0</v>
      </c>
      <c r="U354" s="658">
        <f t="shared" si="268"/>
        <v>0</v>
      </c>
      <c r="V354" s="94"/>
      <c r="W354" s="579" t="str">
        <f>IF(U349&gt;0,"xx",IF(P349&gt;0,"xy",""))</f>
        <v/>
      </c>
      <c r="X354" s="580" t="str">
        <f t="shared" si="254"/>
        <v/>
      </c>
      <c r="Y354" s="580" t="str">
        <f t="shared" si="221"/>
        <v/>
      </c>
      <c r="Z354" s="580" t="str">
        <f t="shared" si="240"/>
        <v/>
      </c>
    </row>
    <row r="355" spans="1:26" ht="13.5" hidden="1" thickBot="1" x14ac:dyDescent="0.25">
      <c r="A355" s="1008">
        <v>570310</v>
      </c>
      <c r="B355" s="1064" t="s">
        <v>2130</v>
      </c>
      <c r="C355" s="1065" t="s">
        <v>212</v>
      </c>
      <c r="D355" s="920" t="s">
        <v>1065</v>
      </c>
      <c r="E355" s="915"/>
      <c r="F355" s="991" t="s">
        <v>851</v>
      </c>
      <c r="G355" s="992">
        <v>0.04</v>
      </c>
      <c r="H355" s="993">
        <f>SUM(H356:H359)</f>
        <v>22.257249999999999</v>
      </c>
      <c r="I355" s="648">
        <v>120.3</v>
      </c>
      <c r="J355" s="1041">
        <f t="shared" ref="J355:J385" si="394">IF(ISBLANK(I355),"",SUM(H355:I355))</f>
        <v>142.55725000000001</v>
      </c>
      <c r="K355" s="649">
        <f t="shared" ref="K355:K386" si="395">IF(ISBLANK(I355),0,ROUND(J355*(1+$F$10)*(1+$F$11*E355),2))</f>
        <v>173.51</v>
      </c>
      <c r="L355" s="650" t="s">
        <v>20</v>
      </c>
      <c r="M355" s="1045"/>
      <c r="N355" s="1046"/>
      <c r="O355" s="1066">
        <f t="shared" si="347"/>
        <v>0</v>
      </c>
      <c r="P355" s="1067">
        <f t="shared" si="348"/>
        <v>0</v>
      </c>
      <c r="Q355" s="1038"/>
      <c r="R355" s="1045">
        <f t="shared" si="261"/>
        <v>0</v>
      </c>
      <c r="S355" s="1046">
        <f t="shared" si="381"/>
        <v>0</v>
      </c>
      <c r="T355" s="651">
        <f t="shared" si="214"/>
        <v>0</v>
      </c>
      <c r="U355" s="652">
        <f t="shared" si="268"/>
        <v>0</v>
      </c>
      <c r="V355" s="94"/>
      <c r="X355" s="580" t="str">
        <f t="shared" si="254"/>
        <v/>
      </c>
      <c r="Y355" s="580" t="str">
        <f t="shared" si="221"/>
        <v/>
      </c>
      <c r="Z355" s="580" t="str">
        <f t="shared" si="240"/>
        <v/>
      </c>
    </row>
    <row r="356" spans="1:26" ht="13.5" hidden="1" thickBot="1" x14ac:dyDescent="0.25">
      <c r="A356" s="97" t="s">
        <v>165</v>
      </c>
      <c r="B356" s="1031" t="s">
        <v>165</v>
      </c>
      <c r="C356" s="978"/>
      <c r="D356" s="916" t="s">
        <v>257</v>
      </c>
      <c r="E356" s="917"/>
      <c r="F356" s="994">
        <v>180</v>
      </c>
      <c r="G356" s="997">
        <v>0</v>
      </c>
      <c r="H356" s="996">
        <f t="shared" ref="H356" si="396">IF(F356&lt;=30,(0.7*F356+1.45)*G356,((0.7*30+1.45)+0.58*(F356-30))*G356)</f>
        <v>0</v>
      </c>
      <c r="I356" s="592"/>
      <c r="J356" s="1030" t="str">
        <f t="shared" ref="J356" si="397">IF(ISBLANK(I356),"",SUM(H356:I356))</f>
        <v/>
      </c>
      <c r="K356" s="593">
        <f t="shared" si="395"/>
        <v>0</v>
      </c>
      <c r="L356" s="594" t="s">
        <v>783</v>
      </c>
      <c r="M356" s="1068"/>
      <c r="N356" s="1069"/>
      <c r="O356" s="1070">
        <f t="shared" si="347"/>
        <v>0</v>
      </c>
      <c r="P356" s="1071">
        <f t="shared" si="348"/>
        <v>0</v>
      </c>
      <c r="Q356" s="1038"/>
      <c r="R356" s="1068"/>
      <c r="S356" s="1069"/>
      <c r="T356" s="93">
        <f t="shared" ref="T356:T359" si="398">IF(ISBLANK(R356),0,ROUND(K356*R356,2))</f>
        <v>0</v>
      </c>
      <c r="U356" s="95">
        <f t="shared" si="268"/>
        <v>0</v>
      </c>
      <c r="V356" s="94"/>
      <c r="W356" s="579" t="str">
        <f>IF(U355&gt;0,"xx",IF(P355&gt;0,"xy",""))</f>
        <v/>
      </c>
      <c r="X356" s="580" t="str">
        <f t="shared" ref="X356:X359" si="399">IF(W356="X","x",IF(W356="xx","x",IF(W356="xy","x",IF(W356="y","x",IF(OR(P356&gt;0,U356&gt;0),"x","")))))</f>
        <v/>
      </c>
      <c r="Y356" s="580" t="str">
        <f t="shared" ref="Y356:Y359" si="400">IF(W356="X","x",IF(W356="y","x",IF(W356="xx","x",IF(U356&gt;0,"x",""))))</f>
        <v/>
      </c>
      <c r="Z356" s="580" t="str">
        <f t="shared" ref="Z356:Z359" si="401">IF(W356="X","x",IF(U356&gt;0,"x",""))</f>
        <v/>
      </c>
    </row>
    <row r="357" spans="1:26" ht="13.5" hidden="1" thickBot="1" x14ac:dyDescent="0.25">
      <c r="A357" s="97" t="s">
        <v>165</v>
      </c>
      <c r="B357" s="1031" t="s">
        <v>165</v>
      </c>
      <c r="C357" s="978"/>
      <c r="D357" s="916" t="s">
        <v>258</v>
      </c>
      <c r="E357" s="917"/>
      <c r="F357" s="994">
        <v>500</v>
      </c>
      <c r="G357" s="997">
        <v>1.4999999999999999E-2</v>
      </c>
      <c r="H357" s="979">
        <f>IF(F357&lt;=30,(0.51*F357+4.28)*G357,((0.51*30+4.28)+0.42*(F357-30))*G357)</f>
        <v>3.2547000000000001</v>
      </c>
      <c r="I357" s="592"/>
      <c r="J357" s="1030"/>
      <c r="K357" s="593">
        <f t="shared" si="395"/>
        <v>0</v>
      </c>
      <c r="L357" s="594" t="s">
        <v>783</v>
      </c>
      <c r="M357" s="1068"/>
      <c r="N357" s="1069"/>
      <c r="O357" s="1070">
        <f t="shared" si="347"/>
        <v>0</v>
      </c>
      <c r="P357" s="1071">
        <f t="shared" si="348"/>
        <v>0</v>
      </c>
      <c r="Q357" s="1038"/>
      <c r="R357" s="1068"/>
      <c r="S357" s="1069"/>
      <c r="T357" s="93">
        <f t="shared" ref="T357" si="402">IF(ISBLANK(R357),0,ROUND(K357*R357,2))</f>
        <v>0</v>
      </c>
      <c r="U357" s="95">
        <f t="shared" ref="U357" si="403">IF(ISBLANK(R357),0,ROUND(R357*S357,2))</f>
        <v>0</v>
      </c>
      <c r="V357" s="94"/>
      <c r="W357" s="579" t="str">
        <f>IF(U355&gt;0,"xx",IF(P355&gt;0,"xy",""))</f>
        <v/>
      </c>
      <c r="X357" s="580" t="str">
        <f t="shared" ref="X357" si="404">IF(W357="X","x",IF(W357="xx","x",IF(W357="xy","x",IF(W357="y","x",IF(OR(P357&gt;0,U357&gt;0),"x","")))))</f>
        <v/>
      </c>
      <c r="Y357" s="580" t="str">
        <f t="shared" ref="Y357" si="405">IF(W357="X","x",IF(W357="y","x",IF(W357="xx","x",IF(U357&gt;0,"x",""))))</f>
        <v/>
      </c>
      <c r="Z357" s="580" t="str">
        <f t="shared" ref="Z357" si="406">IF(W357="X","x",IF(U357&gt;0,"x",""))</f>
        <v/>
      </c>
    </row>
    <row r="358" spans="1:26" ht="13.5" hidden="1" thickBot="1" x14ac:dyDescent="0.25">
      <c r="A358" s="97" t="s">
        <v>165</v>
      </c>
      <c r="B358" s="1031" t="s">
        <v>165</v>
      </c>
      <c r="C358" s="978"/>
      <c r="D358" s="916" t="s">
        <v>271</v>
      </c>
      <c r="E358" s="917"/>
      <c r="F358" s="994">
        <v>0.2</v>
      </c>
      <c r="G358" s="997">
        <v>0.94499999999999995</v>
      </c>
      <c r="H358" s="979">
        <f>IF(F358=0,0,IF(F358&lt;=30,(0.7*F358+1.45)*G358,((0.7*30+1.45)+0.58*(F358-30))*G358))</f>
        <v>1.5025499999999998</v>
      </c>
      <c r="I358" s="592"/>
      <c r="J358" s="1030"/>
      <c r="K358" s="593">
        <f t="shared" si="395"/>
        <v>0</v>
      </c>
      <c r="L358" s="594" t="s">
        <v>783</v>
      </c>
      <c r="M358" s="1068"/>
      <c r="N358" s="1069"/>
      <c r="O358" s="1070">
        <f t="shared" si="347"/>
        <v>0</v>
      </c>
      <c r="P358" s="1071">
        <f t="shared" si="348"/>
        <v>0</v>
      </c>
      <c r="Q358" s="1038"/>
      <c r="R358" s="1068"/>
      <c r="S358" s="1069"/>
      <c r="T358" s="93">
        <f t="shared" si="398"/>
        <v>0</v>
      </c>
      <c r="U358" s="95">
        <f t="shared" si="268"/>
        <v>0</v>
      </c>
      <c r="V358" s="94"/>
      <c r="W358" s="579" t="str">
        <f>IF(U355&gt;0,"xx",IF(P355&gt;0,"xy",""))</f>
        <v/>
      </c>
      <c r="X358" s="580" t="str">
        <f t="shared" si="399"/>
        <v/>
      </c>
      <c r="Y358" s="580" t="str">
        <f t="shared" si="400"/>
        <v/>
      </c>
      <c r="Z358" s="580" t="str">
        <f t="shared" si="401"/>
        <v/>
      </c>
    </row>
    <row r="359" spans="1:26" ht="13.5" hidden="1" thickBot="1" x14ac:dyDescent="0.25">
      <c r="A359" s="97" t="s">
        <v>165</v>
      </c>
      <c r="B359" s="1031" t="s">
        <v>165</v>
      </c>
      <c r="C359" s="978"/>
      <c r="D359" s="916" t="s">
        <v>272</v>
      </c>
      <c r="E359" s="917"/>
      <c r="F359" s="994">
        <v>20</v>
      </c>
      <c r="G359" s="997">
        <f>SUM(G355:G358)</f>
        <v>1</v>
      </c>
      <c r="H359" s="979">
        <f>IF(F359&lt;=30,(0.7*F359+3.5)*G359,((0.7*30+3.5)+0.58*(F359-30))*G359)</f>
        <v>17.5</v>
      </c>
      <c r="I359" s="592"/>
      <c r="J359" s="1030"/>
      <c r="K359" s="593">
        <f t="shared" si="395"/>
        <v>0</v>
      </c>
      <c r="L359" s="594" t="s">
        <v>783</v>
      </c>
      <c r="M359" s="1068"/>
      <c r="N359" s="1069"/>
      <c r="O359" s="1070">
        <f t="shared" si="347"/>
        <v>0</v>
      </c>
      <c r="P359" s="1071">
        <f t="shared" si="348"/>
        <v>0</v>
      </c>
      <c r="Q359" s="1038"/>
      <c r="R359" s="1068"/>
      <c r="S359" s="1069"/>
      <c r="T359" s="93">
        <f t="shared" si="398"/>
        <v>0</v>
      </c>
      <c r="U359" s="95">
        <f t="shared" si="268"/>
        <v>0</v>
      </c>
      <c r="V359" s="94"/>
      <c r="W359" s="579" t="str">
        <f>IF(U355&gt;0,"xx",IF(P355&gt;0,"xy",""))</f>
        <v/>
      </c>
      <c r="X359" s="580" t="str">
        <f t="shared" si="399"/>
        <v/>
      </c>
      <c r="Y359" s="580" t="str">
        <f t="shared" si="400"/>
        <v/>
      </c>
      <c r="Z359" s="580" t="str">
        <f t="shared" si="401"/>
        <v/>
      </c>
    </row>
    <row r="360" spans="1:26" ht="13.5" hidden="1" thickBot="1" x14ac:dyDescent="0.25">
      <c r="A360" s="1008">
        <v>589000</v>
      </c>
      <c r="B360" s="1004" t="s">
        <v>2077</v>
      </c>
      <c r="C360" s="1048" t="s">
        <v>241</v>
      </c>
      <c r="D360" s="914" t="s">
        <v>845</v>
      </c>
      <c r="E360" s="919"/>
      <c r="F360" s="1001">
        <v>500</v>
      </c>
      <c r="G360" s="999">
        <v>1</v>
      </c>
      <c r="H360" s="1000">
        <f>(0.58*F360+28.61)*G360</f>
        <v>318.61</v>
      </c>
      <c r="I360" s="654">
        <f>LIGANTES!$M$15</f>
        <v>4434.49</v>
      </c>
      <c r="J360" s="1051">
        <f>IF(ISBLANK(I360),"",I360*(1+$F$9)/(1+$F$10))+H360</f>
        <v>4631.771828937638</v>
      </c>
      <c r="K360" s="655">
        <f t="shared" si="395"/>
        <v>5637.33</v>
      </c>
      <c r="L360" s="656" t="s">
        <v>20</v>
      </c>
      <c r="M360" s="1052">
        <f>ROUND(M355*G355,2)</f>
        <v>0</v>
      </c>
      <c r="N360" s="1072"/>
      <c r="O360" s="1054">
        <f t="shared" si="347"/>
        <v>0</v>
      </c>
      <c r="P360" s="1055">
        <f t="shared" si="348"/>
        <v>0</v>
      </c>
      <c r="Q360" s="1038"/>
      <c r="R360" s="1056">
        <f>ROUND(R355*G355,2)</f>
        <v>0</v>
      </c>
      <c r="S360" s="1076">
        <f t="shared" si="381"/>
        <v>0</v>
      </c>
      <c r="T360" s="657">
        <f t="shared" si="214"/>
        <v>0</v>
      </c>
      <c r="U360" s="658">
        <f t="shared" si="268"/>
        <v>0</v>
      </c>
      <c r="V360" s="94"/>
      <c r="W360" s="579" t="str">
        <f>IF(U355&gt;0,"xx",IF(P355&gt;0,"xy",""))</f>
        <v/>
      </c>
      <c r="X360" s="580" t="str">
        <f t="shared" si="254"/>
        <v/>
      </c>
      <c r="Y360" s="580" t="str">
        <f t="shared" si="221"/>
        <v/>
      </c>
      <c r="Z360" s="580" t="str">
        <f t="shared" si="240"/>
        <v/>
      </c>
    </row>
    <row r="361" spans="1:26" ht="16.5" hidden="1" thickBot="1" x14ac:dyDescent="0.25">
      <c r="A361" s="1008">
        <v>570140</v>
      </c>
      <c r="B361" s="1064">
        <v>570140</v>
      </c>
      <c r="C361" s="1065" t="s">
        <v>212</v>
      </c>
      <c r="D361" s="922" t="s">
        <v>884</v>
      </c>
      <c r="E361" s="915"/>
      <c r="F361" s="991" t="s">
        <v>851</v>
      </c>
      <c r="G361" s="992">
        <v>0.05</v>
      </c>
      <c r="H361" s="993">
        <f>SUM(H362:H365)</f>
        <v>33.14593</v>
      </c>
      <c r="I361" s="648">
        <v>212.23</v>
      </c>
      <c r="J361" s="1041">
        <f t="shared" ref="J361" si="407">IF(ISBLANK(I361),"",SUM(H361:I361))</f>
        <v>245.37592999999998</v>
      </c>
      <c r="K361" s="649">
        <f t="shared" si="395"/>
        <v>298.64999999999998</v>
      </c>
      <c r="L361" s="650" t="s">
        <v>20</v>
      </c>
      <c r="M361" s="1045"/>
      <c r="N361" s="1046"/>
      <c r="O361" s="1066">
        <f t="shared" si="347"/>
        <v>0</v>
      </c>
      <c r="P361" s="1067">
        <f t="shared" si="348"/>
        <v>0</v>
      </c>
      <c r="Q361" s="1038"/>
      <c r="R361" s="1045">
        <f t="shared" ref="R361:R421" si="408">M361</f>
        <v>0</v>
      </c>
      <c r="S361" s="1046">
        <f t="shared" si="381"/>
        <v>0</v>
      </c>
      <c r="T361" s="651">
        <f t="shared" ref="T361:T372" si="409">IF(ISBLANK(R361),0,ROUND(K361*R361,2))</f>
        <v>0</v>
      </c>
      <c r="U361" s="652">
        <f t="shared" ref="U361:U372" si="410">IF(ISBLANK(R361),0,ROUND(R361*S361,2))</f>
        <v>0</v>
      </c>
      <c r="V361" s="94"/>
      <c r="X361" s="580" t="str">
        <f t="shared" ref="X361:X372" si="411">IF(W361="X","x",IF(W361="xx","x",IF(W361="xy","x",IF(W361="y","x",IF(OR(P361&gt;0,U361&gt;0),"x","")))))</f>
        <v/>
      </c>
      <c r="Y361" s="580" t="str">
        <f t="shared" ref="Y361:Y372" si="412">IF(W361="X","x",IF(W361="y","x",IF(W361="xx","x",IF(U361&gt;0,"x",""))))</f>
        <v/>
      </c>
      <c r="Z361" s="580" t="str">
        <f t="shared" ref="Z361:Z372" si="413">IF(W361="X","x",IF(U361&gt;0,"x",""))</f>
        <v/>
      </c>
    </row>
    <row r="362" spans="1:26" ht="13.5" hidden="1" thickBot="1" x14ac:dyDescent="0.25">
      <c r="A362" s="97" t="s">
        <v>165</v>
      </c>
      <c r="B362" s="1031" t="s">
        <v>165</v>
      </c>
      <c r="C362" s="978"/>
      <c r="D362" s="916" t="s">
        <v>257</v>
      </c>
      <c r="E362" s="917"/>
      <c r="F362" s="994">
        <v>180</v>
      </c>
      <c r="G362" s="997">
        <v>0.1007</v>
      </c>
      <c r="H362" s="996">
        <f t="shared" ref="H362" si="414">IF(F362&lt;=30,(0.7*F362+1.45)*G362,((0.7*30+1.45)+0.58*(F362-30))*G362)</f>
        <v>11.021615000000001</v>
      </c>
      <c r="I362" s="592"/>
      <c r="J362" s="1030"/>
      <c r="K362" s="593">
        <f t="shared" si="395"/>
        <v>0</v>
      </c>
      <c r="L362" s="670" t="s">
        <v>783</v>
      </c>
      <c r="M362" s="1068"/>
      <c r="N362" s="1069"/>
      <c r="O362" s="1070">
        <f t="shared" si="347"/>
        <v>0</v>
      </c>
      <c r="P362" s="1071">
        <f t="shared" si="348"/>
        <v>0</v>
      </c>
      <c r="Q362" s="1038"/>
      <c r="R362" s="1068"/>
      <c r="S362" s="1069"/>
      <c r="T362" s="93">
        <f t="shared" si="409"/>
        <v>0</v>
      </c>
      <c r="U362" s="95">
        <f t="shared" si="410"/>
        <v>0</v>
      </c>
      <c r="V362" s="94"/>
      <c r="W362" s="579" t="str">
        <f>IF(U361&gt;0,"xx",IF(P361&gt;0,"xy",""))</f>
        <v/>
      </c>
      <c r="X362" s="580" t="str">
        <f t="shared" si="411"/>
        <v/>
      </c>
      <c r="Y362" s="580" t="str">
        <f t="shared" si="412"/>
        <v/>
      </c>
      <c r="Z362" s="580" t="str">
        <f t="shared" si="413"/>
        <v/>
      </c>
    </row>
    <row r="363" spans="1:26" ht="13.5" hidden="1" thickBot="1" x14ac:dyDescent="0.25">
      <c r="A363" s="97" t="s">
        <v>165</v>
      </c>
      <c r="B363" s="1031" t="s">
        <v>165</v>
      </c>
      <c r="C363" s="978"/>
      <c r="D363" s="916" t="s">
        <v>258</v>
      </c>
      <c r="E363" s="917"/>
      <c r="F363" s="994">
        <v>500</v>
      </c>
      <c r="G363" s="997">
        <v>1.52E-2</v>
      </c>
      <c r="H363" s="979">
        <f>IF(F363&lt;=30,(0.51*F363+4.28)*G363,((0.51*30+4.28)+0.42*(F363-30))*G363)</f>
        <v>3.2980960000000001</v>
      </c>
      <c r="I363" s="592"/>
      <c r="J363" s="1030"/>
      <c r="K363" s="593">
        <f t="shared" si="395"/>
        <v>0</v>
      </c>
      <c r="L363" s="670" t="s">
        <v>783</v>
      </c>
      <c r="M363" s="1068"/>
      <c r="N363" s="1069"/>
      <c r="O363" s="1070">
        <f t="shared" si="347"/>
        <v>0</v>
      </c>
      <c r="P363" s="1071">
        <f t="shared" si="348"/>
        <v>0</v>
      </c>
      <c r="Q363" s="1038"/>
      <c r="R363" s="1068"/>
      <c r="S363" s="1069"/>
      <c r="T363" s="93">
        <f t="shared" si="409"/>
        <v>0</v>
      </c>
      <c r="U363" s="95">
        <f t="shared" si="410"/>
        <v>0</v>
      </c>
      <c r="V363" s="94"/>
      <c r="W363" s="579" t="str">
        <f>IF(U361&gt;0,"xx",IF(P361&gt;0,"xy",""))</f>
        <v/>
      </c>
      <c r="X363" s="580" t="str">
        <f t="shared" si="411"/>
        <v/>
      </c>
      <c r="Y363" s="580" t="str">
        <f t="shared" si="412"/>
        <v/>
      </c>
      <c r="Z363" s="580" t="str">
        <f t="shared" si="413"/>
        <v/>
      </c>
    </row>
    <row r="364" spans="1:26" ht="13.5" hidden="1" thickBot="1" x14ac:dyDescent="0.25">
      <c r="A364" s="97" t="s">
        <v>165</v>
      </c>
      <c r="B364" s="1031" t="s">
        <v>165</v>
      </c>
      <c r="C364" s="978"/>
      <c r="D364" s="916" t="s">
        <v>271</v>
      </c>
      <c r="E364" s="917"/>
      <c r="F364" s="994">
        <v>0.2</v>
      </c>
      <c r="G364" s="997">
        <v>0.83409999999999995</v>
      </c>
      <c r="H364" s="979">
        <f>IF(F364=0,0,IF(F364&lt;=30,(0.7*F364+1.45)*G364,((0.7*30+1.45)+0.58*(F364-30))*G364))</f>
        <v>1.3262189999999998</v>
      </c>
      <c r="I364" s="592"/>
      <c r="J364" s="1030"/>
      <c r="K364" s="593">
        <f t="shared" si="395"/>
        <v>0</v>
      </c>
      <c r="L364" s="670" t="s">
        <v>783</v>
      </c>
      <c r="M364" s="1068"/>
      <c r="N364" s="1069"/>
      <c r="O364" s="1070">
        <f t="shared" si="347"/>
        <v>0</v>
      </c>
      <c r="P364" s="1071">
        <f t="shared" si="348"/>
        <v>0</v>
      </c>
      <c r="Q364" s="1038"/>
      <c r="R364" s="1068"/>
      <c r="S364" s="1069"/>
      <c r="T364" s="93">
        <f t="shared" si="409"/>
        <v>0</v>
      </c>
      <c r="U364" s="95">
        <f t="shared" si="410"/>
        <v>0</v>
      </c>
      <c r="V364" s="94"/>
      <c r="W364" s="579" t="str">
        <f>IF(U361&gt;0,"xx",IF(P361&gt;0,"xy",""))</f>
        <v/>
      </c>
      <c r="X364" s="580" t="str">
        <f t="shared" si="411"/>
        <v/>
      </c>
      <c r="Y364" s="580" t="str">
        <f t="shared" si="412"/>
        <v/>
      </c>
      <c r="Z364" s="580" t="str">
        <f t="shared" si="413"/>
        <v/>
      </c>
    </row>
    <row r="365" spans="1:26" ht="13.5" hidden="1" thickBot="1" x14ac:dyDescent="0.25">
      <c r="A365" s="97" t="s">
        <v>165</v>
      </c>
      <c r="B365" s="1031" t="s">
        <v>165</v>
      </c>
      <c r="C365" s="978"/>
      <c r="D365" s="916" t="s">
        <v>272</v>
      </c>
      <c r="E365" s="917"/>
      <c r="F365" s="994">
        <v>20</v>
      </c>
      <c r="G365" s="997">
        <f>SUM(G361:G364)</f>
        <v>1</v>
      </c>
      <c r="H365" s="979">
        <f>IF(F365&lt;=30,(0.7*F365+3.5)*G365,((0.7*30+3.5)+0.58*(F365-30))*G365)</f>
        <v>17.5</v>
      </c>
      <c r="I365" s="592"/>
      <c r="J365" s="1030"/>
      <c r="K365" s="593">
        <f t="shared" si="395"/>
        <v>0</v>
      </c>
      <c r="L365" s="670" t="s">
        <v>783</v>
      </c>
      <c r="M365" s="1068"/>
      <c r="N365" s="1069"/>
      <c r="O365" s="1070">
        <f t="shared" si="347"/>
        <v>0</v>
      </c>
      <c r="P365" s="1071">
        <f t="shared" si="348"/>
        <v>0</v>
      </c>
      <c r="Q365" s="1038"/>
      <c r="R365" s="1068"/>
      <c r="S365" s="1069"/>
      <c r="T365" s="93">
        <f t="shared" si="409"/>
        <v>0</v>
      </c>
      <c r="U365" s="95">
        <f t="shared" si="410"/>
        <v>0</v>
      </c>
      <c r="V365" s="94"/>
      <c r="W365" s="579" t="str">
        <f>IF(U361&gt;0,"xx",IF(P361&gt;0,"xy",""))</f>
        <v/>
      </c>
      <c r="X365" s="580" t="str">
        <f t="shared" si="411"/>
        <v/>
      </c>
      <c r="Y365" s="580" t="str">
        <f t="shared" si="412"/>
        <v/>
      </c>
      <c r="Z365" s="580" t="str">
        <f t="shared" si="413"/>
        <v/>
      </c>
    </row>
    <row r="366" spans="1:26" ht="13.5" hidden="1" thickBot="1" x14ac:dyDescent="0.25">
      <c r="A366" s="1008">
        <v>589000</v>
      </c>
      <c r="B366" s="1004" t="s">
        <v>2078</v>
      </c>
      <c r="C366" s="1048" t="s">
        <v>241</v>
      </c>
      <c r="D366" s="914" t="s">
        <v>846</v>
      </c>
      <c r="E366" s="919"/>
      <c r="F366" s="998">
        <v>500</v>
      </c>
      <c r="G366" s="999">
        <v>1</v>
      </c>
      <c r="H366" s="1000">
        <f>(0.58*F366+28.61)*G366</f>
        <v>318.61</v>
      </c>
      <c r="I366" s="654">
        <f>LIGANTES!$M$15</f>
        <v>4434.49</v>
      </c>
      <c r="J366" s="1051">
        <f>IF(ISBLANK(I366),"",I366*(1+$F$9)/(1+$F$10))+H366</f>
        <v>4631.771828937638</v>
      </c>
      <c r="K366" s="655">
        <f t="shared" si="395"/>
        <v>5637.33</v>
      </c>
      <c r="L366" s="656" t="s">
        <v>20</v>
      </c>
      <c r="M366" s="1052">
        <f>ROUND(M361*G361,2)</f>
        <v>0</v>
      </c>
      <c r="N366" s="1072"/>
      <c r="O366" s="1054">
        <f t="shared" si="347"/>
        <v>0</v>
      </c>
      <c r="P366" s="1055">
        <f t="shared" si="348"/>
        <v>0</v>
      </c>
      <c r="Q366" s="1038"/>
      <c r="R366" s="1056">
        <f>ROUND(R361*G361,2)</f>
        <v>0</v>
      </c>
      <c r="S366" s="1076">
        <f t="shared" si="381"/>
        <v>0</v>
      </c>
      <c r="T366" s="657">
        <f t="shared" si="409"/>
        <v>0</v>
      </c>
      <c r="U366" s="658">
        <f t="shared" si="410"/>
        <v>0</v>
      </c>
      <c r="V366" s="94"/>
      <c r="W366" s="579" t="str">
        <f>IF(U361&gt;0,"xx",IF(P361&gt;0,"xy",""))</f>
        <v/>
      </c>
      <c r="X366" s="580" t="str">
        <f t="shared" si="411"/>
        <v/>
      </c>
      <c r="Y366" s="580" t="str">
        <f t="shared" si="412"/>
        <v/>
      </c>
      <c r="Z366" s="580" t="str">
        <f t="shared" si="413"/>
        <v/>
      </c>
    </row>
    <row r="367" spans="1:26" ht="16.5" hidden="1" thickBot="1" x14ac:dyDescent="0.25">
      <c r="A367" s="1008">
        <v>570170</v>
      </c>
      <c r="B367" s="1064">
        <v>570170</v>
      </c>
      <c r="C367" s="1065" t="s">
        <v>212</v>
      </c>
      <c r="D367" s="922" t="s">
        <v>2001</v>
      </c>
      <c r="E367" s="915"/>
      <c r="F367" s="991" t="s">
        <v>851</v>
      </c>
      <c r="G367" s="992">
        <v>0.05</v>
      </c>
      <c r="H367" s="993">
        <f>SUM(H368:H371)</f>
        <v>33.14593</v>
      </c>
      <c r="I367" s="648">
        <v>159.44999999999999</v>
      </c>
      <c r="J367" s="1041">
        <f t="shared" ref="J367" si="415">IF(ISBLANK(I367),"",SUM(H367:I367))</f>
        <v>192.59592999999998</v>
      </c>
      <c r="K367" s="649">
        <f t="shared" si="395"/>
        <v>234.41</v>
      </c>
      <c r="L367" s="650" t="s">
        <v>20</v>
      </c>
      <c r="M367" s="1045"/>
      <c r="N367" s="1046"/>
      <c r="O367" s="1066">
        <f t="shared" si="347"/>
        <v>0</v>
      </c>
      <c r="P367" s="1067">
        <f t="shared" si="348"/>
        <v>0</v>
      </c>
      <c r="Q367" s="1038"/>
      <c r="R367" s="1045">
        <f t="shared" si="408"/>
        <v>0</v>
      </c>
      <c r="S367" s="1046">
        <f t="shared" si="381"/>
        <v>0</v>
      </c>
      <c r="T367" s="651">
        <f t="shared" si="409"/>
        <v>0</v>
      </c>
      <c r="U367" s="652">
        <f t="shared" si="410"/>
        <v>0</v>
      </c>
      <c r="V367" s="94"/>
      <c r="X367" s="580" t="str">
        <f t="shared" si="411"/>
        <v/>
      </c>
      <c r="Y367" s="580" t="str">
        <f t="shared" si="412"/>
        <v/>
      </c>
      <c r="Z367" s="580" t="str">
        <f t="shared" si="413"/>
        <v/>
      </c>
    </row>
    <row r="368" spans="1:26" ht="13.5" hidden="1" thickBot="1" x14ac:dyDescent="0.25">
      <c r="A368" s="97" t="s">
        <v>165</v>
      </c>
      <c r="B368" s="1031" t="s">
        <v>165</v>
      </c>
      <c r="C368" s="978"/>
      <c r="D368" s="916" t="s">
        <v>257</v>
      </c>
      <c r="E368" s="917"/>
      <c r="F368" s="994">
        <v>180</v>
      </c>
      <c r="G368" s="997">
        <v>0.1007</v>
      </c>
      <c r="H368" s="996">
        <f t="shared" ref="H368" si="416">IF(F368&lt;=30,(0.7*F368+1.45)*G368,((0.7*30+1.45)+0.58*(F368-30))*G368)</f>
        <v>11.021615000000001</v>
      </c>
      <c r="I368" s="592"/>
      <c r="J368" s="1030"/>
      <c r="K368" s="593">
        <f t="shared" si="395"/>
        <v>0</v>
      </c>
      <c r="L368" s="670" t="s">
        <v>783</v>
      </c>
      <c r="M368" s="1068"/>
      <c r="N368" s="1069"/>
      <c r="O368" s="1070">
        <f t="shared" si="347"/>
        <v>0</v>
      </c>
      <c r="P368" s="1071">
        <f t="shared" si="348"/>
        <v>0</v>
      </c>
      <c r="Q368" s="1038"/>
      <c r="R368" s="1068"/>
      <c r="S368" s="1069"/>
      <c r="T368" s="93">
        <f t="shared" si="409"/>
        <v>0</v>
      </c>
      <c r="U368" s="95">
        <f t="shared" si="410"/>
        <v>0</v>
      </c>
      <c r="V368" s="94"/>
      <c r="W368" s="579" t="str">
        <f>IF(U367&gt;0,"xx",IF(P367&gt;0,"xy",""))</f>
        <v/>
      </c>
      <c r="X368" s="580" t="str">
        <f t="shared" si="411"/>
        <v/>
      </c>
      <c r="Y368" s="580" t="str">
        <f t="shared" si="412"/>
        <v/>
      </c>
      <c r="Z368" s="580" t="str">
        <f t="shared" si="413"/>
        <v/>
      </c>
    </row>
    <row r="369" spans="1:26" ht="13.5" hidden="1" thickBot="1" x14ac:dyDescent="0.25">
      <c r="A369" s="97" t="s">
        <v>165</v>
      </c>
      <c r="B369" s="1031" t="s">
        <v>165</v>
      </c>
      <c r="C369" s="978"/>
      <c r="D369" s="916" t="s">
        <v>258</v>
      </c>
      <c r="E369" s="917"/>
      <c r="F369" s="994">
        <v>500</v>
      </c>
      <c r="G369" s="997">
        <v>1.52E-2</v>
      </c>
      <c r="H369" s="979">
        <f>IF(F369&lt;=30,(0.51*F369+4.28)*G369,((0.51*30+4.28)+0.42*(F369-30))*G369)</f>
        <v>3.2980960000000001</v>
      </c>
      <c r="I369" s="592"/>
      <c r="J369" s="1030"/>
      <c r="K369" s="593">
        <f t="shared" si="395"/>
        <v>0</v>
      </c>
      <c r="L369" s="670" t="s">
        <v>783</v>
      </c>
      <c r="M369" s="1068"/>
      <c r="N369" s="1069"/>
      <c r="O369" s="1070">
        <f t="shared" si="347"/>
        <v>0</v>
      </c>
      <c r="P369" s="1071">
        <f t="shared" si="348"/>
        <v>0</v>
      </c>
      <c r="Q369" s="1038"/>
      <c r="R369" s="1068"/>
      <c r="S369" s="1069"/>
      <c r="T369" s="93">
        <f t="shared" si="409"/>
        <v>0</v>
      </c>
      <c r="U369" s="95">
        <f t="shared" si="410"/>
        <v>0</v>
      </c>
      <c r="V369" s="94"/>
      <c r="W369" s="579" t="str">
        <f>IF(U367&gt;0,"xx",IF(P367&gt;0,"xy",""))</f>
        <v/>
      </c>
      <c r="X369" s="580" t="str">
        <f t="shared" si="411"/>
        <v/>
      </c>
      <c r="Y369" s="580" t="str">
        <f t="shared" si="412"/>
        <v/>
      </c>
      <c r="Z369" s="580" t="str">
        <f t="shared" si="413"/>
        <v/>
      </c>
    </row>
    <row r="370" spans="1:26" ht="13.5" hidden="1" thickBot="1" x14ac:dyDescent="0.25">
      <c r="A370" s="97" t="s">
        <v>165</v>
      </c>
      <c r="B370" s="1031" t="s">
        <v>165</v>
      </c>
      <c r="C370" s="978"/>
      <c r="D370" s="916" t="s">
        <v>271</v>
      </c>
      <c r="E370" s="917"/>
      <c r="F370" s="994">
        <v>0.2</v>
      </c>
      <c r="G370" s="997">
        <v>0.83409999999999995</v>
      </c>
      <c r="H370" s="979">
        <f>IF(F370=0,0,IF(F370&lt;=30,(0.7*F370+1.45)*G370,((0.7*30+1.45)+0.58*(F370-30))*G370))</f>
        <v>1.3262189999999998</v>
      </c>
      <c r="I370" s="592"/>
      <c r="J370" s="1030"/>
      <c r="K370" s="593">
        <f t="shared" si="395"/>
        <v>0</v>
      </c>
      <c r="L370" s="670" t="s">
        <v>783</v>
      </c>
      <c r="M370" s="1068"/>
      <c r="N370" s="1069"/>
      <c r="O370" s="1070">
        <f t="shared" si="347"/>
        <v>0</v>
      </c>
      <c r="P370" s="1071">
        <f t="shared" si="348"/>
        <v>0</v>
      </c>
      <c r="Q370" s="1038"/>
      <c r="R370" s="1068"/>
      <c r="S370" s="1069"/>
      <c r="T370" s="93">
        <f t="shared" si="409"/>
        <v>0</v>
      </c>
      <c r="U370" s="95">
        <f t="shared" si="410"/>
        <v>0</v>
      </c>
      <c r="V370" s="94"/>
      <c r="W370" s="579" t="str">
        <f>IF(U367&gt;0,"xx",IF(P367&gt;0,"xy",""))</f>
        <v/>
      </c>
      <c r="X370" s="580" t="str">
        <f t="shared" si="411"/>
        <v/>
      </c>
      <c r="Y370" s="580" t="str">
        <f t="shared" si="412"/>
        <v/>
      </c>
      <c r="Z370" s="580" t="str">
        <f t="shared" si="413"/>
        <v/>
      </c>
    </row>
    <row r="371" spans="1:26" ht="13.5" hidden="1" thickBot="1" x14ac:dyDescent="0.25">
      <c r="A371" s="97" t="s">
        <v>165</v>
      </c>
      <c r="B371" s="1031" t="s">
        <v>165</v>
      </c>
      <c r="C371" s="978"/>
      <c r="D371" s="916" t="s">
        <v>272</v>
      </c>
      <c r="E371" s="917"/>
      <c r="F371" s="994">
        <v>20</v>
      </c>
      <c r="G371" s="997">
        <f>SUM(G367:G370)</f>
        <v>1</v>
      </c>
      <c r="H371" s="979">
        <f>IF(F371&lt;=30,(0.7*F371+3.5)*G371,((0.7*30+3.5)+0.58*(F371-30))*G371)</f>
        <v>17.5</v>
      </c>
      <c r="I371" s="592"/>
      <c r="J371" s="1030"/>
      <c r="K371" s="593">
        <f t="shared" si="395"/>
        <v>0</v>
      </c>
      <c r="L371" s="670" t="s">
        <v>783</v>
      </c>
      <c r="M371" s="1068"/>
      <c r="N371" s="1069"/>
      <c r="O371" s="1070">
        <f t="shared" si="347"/>
        <v>0</v>
      </c>
      <c r="P371" s="1071">
        <f t="shared" si="348"/>
        <v>0</v>
      </c>
      <c r="Q371" s="1038"/>
      <c r="R371" s="1068"/>
      <c r="S371" s="1069"/>
      <c r="T371" s="93">
        <f t="shared" si="409"/>
        <v>0</v>
      </c>
      <c r="U371" s="95">
        <f t="shared" si="410"/>
        <v>0</v>
      </c>
      <c r="V371" s="94"/>
      <c r="W371" s="579" t="str">
        <f>IF(U367&gt;0,"xx",IF(P367&gt;0,"xy",""))</f>
        <v/>
      </c>
      <c r="X371" s="580" t="str">
        <f t="shared" si="411"/>
        <v/>
      </c>
      <c r="Y371" s="580" t="str">
        <f t="shared" si="412"/>
        <v/>
      </c>
      <c r="Z371" s="580" t="str">
        <f t="shared" si="413"/>
        <v/>
      </c>
    </row>
    <row r="372" spans="1:26" ht="13.5" hidden="1" thickBot="1" x14ac:dyDescent="0.25">
      <c r="A372" s="1008">
        <v>589000</v>
      </c>
      <c r="B372" s="1004" t="s">
        <v>2079</v>
      </c>
      <c r="C372" s="1048" t="s">
        <v>241</v>
      </c>
      <c r="D372" s="914" t="s">
        <v>846</v>
      </c>
      <c r="E372" s="919"/>
      <c r="F372" s="998">
        <v>500</v>
      </c>
      <c r="G372" s="999">
        <v>1</v>
      </c>
      <c r="H372" s="1000">
        <f>(0.58*F372+28.61)*G372</f>
        <v>318.61</v>
      </c>
      <c r="I372" s="654">
        <f>LIGANTES!$M$15</f>
        <v>4434.49</v>
      </c>
      <c r="J372" s="1051">
        <f>IF(ISBLANK(I372),"",I372*(1+$F$9)/(1+$F$10))+H372</f>
        <v>4631.771828937638</v>
      </c>
      <c r="K372" s="655">
        <f t="shared" si="395"/>
        <v>5637.33</v>
      </c>
      <c r="L372" s="656" t="s">
        <v>20</v>
      </c>
      <c r="M372" s="1052">
        <f>ROUND(M367*G367,2)</f>
        <v>0</v>
      </c>
      <c r="N372" s="1072"/>
      <c r="O372" s="1054">
        <f t="shared" si="347"/>
        <v>0</v>
      </c>
      <c r="P372" s="1055">
        <f t="shared" si="348"/>
        <v>0</v>
      </c>
      <c r="Q372" s="1038"/>
      <c r="R372" s="1056">
        <f>ROUND(R367*G367,2)</f>
        <v>0</v>
      </c>
      <c r="S372" s="1076">
        <f t="shared" si="381"/>
        <v>0</v>
      </c>
      <c r="T372" s="657">
        <f t="shared" si="409"/>
        <v>0</v>
      </c>
      <c r="U372" s="658">
        <f t="shared" si="410"/>
        <v>0</v>
      </c>
      <c r="V372" s="94"/>
      <c r="W372" s="579" t="str">
        <f>IF(U367&gt;0,"xx",IF(P367&gt;0,"xy",""))</f>
        <v/>
      </c>
      <c r="X372" s="580" t="str">
        <f t="shared" si="411"/>
        <v/>
      </c>
      <c r="Y372" s="580" t="str">
        <f t="shared" si="412"/>
        <v/>
      </c>
      <c r="Z372" s="580" t="str">
        <f t="shared" si="413"/>
        <v/>
      </c>
    </row>
    <row r="373" spans="1:26" ht="13.5" hidden="1" thickBot="1" x14ac:dyDescent="0.25">
      <c r="A373" s="1008">
        <v>570200</v>
      </c>
      <c r="B373" s="1064">
        <v>570200</v>
      </c>
      <c r="C373" s="1065" t="s">
        <v>212</v>
      </c>
      <c r="D373" s="327" t="s">
        <v>2002</v>
      </c>
      <c r="E373" s="915"/>
      <c r="F373" s="991" t="s">
        <v>851</v>
      </c>
      <c r="G373" s="992">
        <v>4.4999999999999998E-2</v>
      </c>
      <c r="H373" s="993">
        <f>SUM(H374:H377)</f>
        <v>20.63635</v>
      </c>
      <c r="I373" s="648">
        <v>137.49</v>
      </c>
      <c r="J373" s="1041">
        <f t="shared" ref="J373" si="417">IF(ISBLANK(I373),"",SUM(H373:I373))</f>
        <v>158.12635</v>
      </c>
      <c r="K373" s="649">
        <f t="shared" si="395"/>
        <v>192.46</v>
      </c>
      <c r="L373" s="650" t="s">
        <v>20</v>
      </c>
      <c r="M373" s="1045"/>
      <c r="N373" s="1046"/>
      <c r="O373" s="1066">
        <f t="shared" si="347"/>
        <v>0</v>
      </c>
      <c r="P373" s="1067">
        <f t="shared" si="348"/>
        <v>0</v>
      </c>
      <c r="Q373" s="1038"/>
      <c r="R373" s="1045">
        <f t="shared" si="408"/>
        <v>0</v>
      </c>
      <c r="S373" s="1046">
        <f t="shared" si="381"/>
        <v>0</v>
      </c>
      <c r="T373" s="651">
        <f t="shared" si="214"/>
        <v>0</v>
      </c>
      <c r="U373" s="652">
        <f t="shared" si="268"/>
        <v>0</v>
      </c>
      <c r="V373" s="94"/>
      <c r="X373" s="580" t="str">
        <f t="shared" si="254"/>
        <v/>
      </c>
      <c r="Y373" s="580" t="str">
        <f t="shared" si="221"/>
        <v/>
      </c>
      <c r="Z373" s="580" t="str">
        <f t="shared" si="240"/>
        <v/>
      </c>
    </row>
    <row r="374" spans="1:26" ht="13.5" hidden="1" thickBot="1" x14ac:dyDescent="0.25">
      <c r="A374" s="97" t="s">
        <v>165</v>
      </c>
      <c r="B374" s="1031" t="s">
        <v>165</v>
      </c>
      <c r="C374" s="978"/>
      <c r="D374" s="916" t="s">
        <v>257</v>
      </c>
      <c r="E374" s="917"/>
      <c r="F374" s="994">
        <v>180</v>
      </c>
      <c r="G374" s="997">
        <v>1.4999999999999999E-2</v>
      </c>
      <c r="H374" s="996">
        <f t="shared" ref="H374" si="418">IF(F374&lt;=30,(0.7*F374+1.45)*G374,((0.7*30+1.45)+0.58*(F374-30))*G374)</f>
        <v>1.64175</v>
      </c>
      <c r="I374" s="592"/>
      <c r="J374" s="1030"/>
      <c r="K374" s="593">
        <f t="shared" si="395"/>
        <v>0</v>
      </c>
      <c r="L374" s="670" t="s">
        <v>783</v>
      </c>
      <c r="M374" s="1068"/>
      <c r="N374" s="1069"/>
      <c r="O374" s="1070">
        <f t="shared" si="347"/>
        <v>0</v>
      </c>
      <c r="P374" s="1071">
        <f t="shared" si="348"/>
        <v>0</v>
      </c>
      <c r="Q374" s="1038"/>
      <c r="R374" s="1068"/>
      <c r="S374" s="1069"/>
      <c r="T374" s="93">
        <f t="shared" si="214"/>
        <v>0</v>
      </c>
      <c r="U374" s="95">
        <f t="shared" si="268"/>
        <v>0</v>
      </c>
      <c r="V374" s="94"/>
      <c r="W374" s="579" t="str">
        <f>IF(U373&gt;0,"xx",IF(P373&gt;0,"xy",""))</f>
        <v/>
      </c>
      <c r="X374" s="580" t="str">
        <f t="shared" si="254"/>
        <v/>
      </c>
      <c r="Y374" s="580" t="str">
        <f t="shared" si="221"/>
        <v/>
      </c>
      <c r="Z374" s="580" t="str">
        <f t="shared" si="240"/>
        <v/>
      </c>
    </row>
    <row r="375" spans="1:26" ht="13.5" hidden="1" thickBot="1" x14ac:dyDescent="0.25">
      <c r="A375" s="97" t="s">
        <v>165</v>
      </c>
      <c r="B375" s="1031" t="s">
        <v>165</v>
      </c>
      <c r="C375" s="978"/>
      <c r="D375" s="916" t="s">
        <v>258</v>
      </c>
      <c r="E375" s="917"/>
      <c r="F375" s="994">
        <v>500</v>
      </c>
      <c r="G375" s="997"/>
      <c r="H375" s="979">
        <f>IF(F375&lt;=30,(0.51*F375+4.28)*G375,((0.51*30+4.28)+0.42*(F375-30))*G375)</f>
        <v>0</v>
      </c>
      <c r="I375" s="592"/>
      <c r="J375" s="1030" t="str">
        <f t="shared" ref="J375" si="419">IF(ISBLANK(I375),"",SUM(H375:I375))</f>
        <v/>
      </c>
      <c r="K375" s="593">
        <f t="shared" si="395"/>
        <v>0</v>
      </c>
      <c r="L375" s="670" t="s">
        <v>783</v>
      </c>
      <c r="M375" s="1068"/>
      <c r="N375" s="1069"/>
      <c r="O375" s="1070">
        <f t="shared" si="347"/>
        <v>0</v>
      </c>
      <c r="P375" s="1071">
        <f t="shared" si="348"/>
        <v>0</v>
      </c>
      <c r="Q375" s="1038"/>
      <c r="R375" s="1068"/>
      <c r="S375" s="1069"/>
      <c r="T375" s="93">
        <f t="shared" si="214"/>
        <v>0</v>
      </c>
      <c r="U375" s="95">
        <f t="shared" si="268"/>
        <v>0</v>
      </c>
      <c r="V375" s="94"/>
      <c r="W375" s="579" t="str">
        <f>IF(U373&gt;0,"xx",IF(P373&gt;0,"xy",""))</f>
        <v/>
      </c>
      <c r="X375" s="580" t="str">
        <f t="shared" si="254"/>
        <v/>
      </c>
      <c r="Y375" s="580" t="str">
        <f t="shared" si="221"/>
        <v/>
      </c>
      <c r="Z375" s="580" t="str">
        <f t="shared" si="240"/>
        <v/>
      </c>
    </row>
    <row r="376" spans="1:26" ht="13.5" hidden="1" thickBot="1" x14ac:dyDescent="0.25">
      <c r="A376" s="97" t="s">
        <v>165</v>
      </c>
      <c r="B376" s="1031" t="s">
        <v>165</v>
      </c>
      <c r="C376" s="978"/>
      <c r="D376" s="916" t="s">
        <v>271</v>
      </c>
      <c r="E376" s="917"/>
      <c r="F376" s="994">
        <v>0.2</v>
      </c>
      <c r="G376" s="997">
        <v>0.94</v>
      </c>
      <c r="H376" s="979">
        <f>IF(F376=0,0,IF(F376&lt;=30,(0.7*F376+1.45)*G376,((0.7*30+1.45)+0.58*(F376-30))*G376))</f>
        <v>1.4945999999999997</v>
      </c>
      <c r="I376" s="592"/>
      <c r="J376" s="1030"/>
      <c r="K376" s="593">
        <f t="shared" si="395"/>
        <v>0</v>
      </c>
      <c r="L376" s="670" t="s">
        <v>783</v>
      </c>
      <c r="M376" s="1068"/>
      <c r="N376" s="1069"/>
      <c r="O376" s="1070">
        <f t="shared" si="347"/>
        <v>0</v>
      </c>
      <c r="P376" s="1071">
        <f t="shared" si="348"/>
        <v>0</v>
      </c>
      <c r="Q376" s="1038"/>
      <c r="R376" s="1068"/>
      <c r="S376" s="1069"/>
      <c r="T376" s="93">
        <f t="shared" si="214"/>
        <v>0</v>
      </c>
      <c r="U376" s="95">
        <f t="shared" si="268"/>
        <v>0</v>
      </c>
      <c r="V376" s="94"/>
      <c r="W376" s="579" t="str">
        <f>IF(U373&gt;0,"xx",IF(P373&gt;0,"xy",""))</f>
        <v/>
      </c>
      <c r="X376" s="580" t="str">
        <f t="shared" si="254"/>
        <v/>
      </c>
      <c r="Y376" s="580" t="str">
        <f t="shared" si="221"/>
        <v/>
      </c>
      <c r="Z376" s="580" t="str">
        <f t="shared" si="240"/>
        <v/>
      </c>
    </row>
    <row r="377" spans="1:26" ht="13.5" hidden="1" thickBot="1" x14ac:dyDescent="0.25">
      <c r="A377" s="97" t="s">
        <v>165</v>
      </c>
      <c r="B377" s="1031" t="s">
        <v>165</v>
      </c>
      <c r="C377" s="978"/>
      <c r="D377" s="916" t="s">
        <v>272</v>
      </c>
      <c r="E377" s="917"/>
      <c r="F377" s="994">
        <v>20</v>
      </c>
      <c r="G377" s="997">
        <f>SUM(G373:G376)</f>
        <v>1</v>
      </c>
      <c r="H377" s="979">
        <f>IF(F377&lt;=30,(0.7*F377+3.5)*G377,((0.7*30+3.5)+0.58*(F377-30))*G377)</f>
        <v>17.5</v>
      </c>
      <c r="I377" s="592"/>
      <c r="J377" s="1030"/>
      <c r="K377" s="593">
        <f t="shared" si="395"/>
        <v>0</v>
      </c>
      <c r="L377" s="670" t="s">
        <v>783</v>
      </c>
      <c r="M377" s="1068"/>
      <c r="N377" s="1069"/>
      <c r="O377" s="1070">
        <f t="shared" si="347"/>
        <v>0</v>
      </c>
      <c r="P377" s="1071">
        <f t="shared" si="348"/>
        <v>0</v>
      </c>
      <c r="Q377" s="1038"/>
      <c r="R377" s="1068"/>
      <c r="S377" s="1069"/>
      <c r="T377" s="93">
        <f t="shared" si="214"/>
        <v>0</v>
      </c>
      <c r="U377" s="95">
        <f t="shared" si="268"/>
        <v>0</v>
      </c>
      <c r="V377" s="94"/>
      <c r="W377" s="579" t="str">
        <f>IF(U373&gt;0,"xx",IF(P373&gt;0,"xy",""))</f>
        <v/>
      </c>
      <c r="X377" s="580" t="str">
        <f t="shared" si="254"/>
        <v/>
      </c>
      <c r="Y377" s="580" t="str">
        <f t="shared" si="221"/>
        <v/>
      </c>
      <c r="Z377" s="580" t="str">
        <f t="shared" si="240"/>
        <v/>
      </c>
    </row>
    <row r="378" spans="1:26" ht="13.5" hidden="1" thickBot="1" x14ac:dyDescent="0.25">
      <c r="A378" s="1008">
        <v>589000</v>
      </c>
      <c r="B378" s="1004" t="s">
        <v>2080</v>
      </c>
      <c r="C378" s="1048" t="s">
        <v>241</v>
      </c>
      <c r="D378" s="914" t="s">
        <v>846</v>
      </c>
      <c r="E378" s="919"/>
      <c r="F378" s="998">
        <v>500</v>
      </c>
      <c r="G378" s="999">
        <v>1</v>
      </c>
      <c r="H378" s="1000">
        <f>(0.58*F378+28.61)*G378</f>
        <v>318.61</v>
      </c>
      <c r="I378" s="654">
        <f>LIGANTES!$M$15</f>
        <v>4434.49</v>
      </c>
      <c r="J378" s="1051">
        <f>IF(ISBLANK(I378),"",I378*(1+$F$9)/(1+$F$10))+H378</f>
        <v>4631.771828937638</v>
      </c>
      <c r="K378" s="655">
        <f t="shared" si="395"/>
        <v>5637.33</v>
      </c>
      <c r="L378" s="656" t="s">
        <v>20</v>
      </c>
      <c r="M378" s="1052">
        <f>ROUND(M373*G373,2)</f>
        <v>0</v>
      </c>
      <c r="N378" s="1072"/>
      <c r="O378" s="1054">
        <f t="shared" si="347"/>
        <v>0</v>
      </c>
      <c r="P378" s="1055">
        <f t="shared" si="348"/>
        <v>0</v>
      </c>
      <c r="Q378" s="1038"/>
      <c r="R378" s="1056">
        <f>ROUND(R373*G373,2)</f>
        <v>0</v>
      </c>
      <c r="S378" s="1076">
        <f t="shared" si="381"/>
        <v>0</v>
      </c>
      <c r="T378" s="657">
        <f t="shared" si="214"/>
        <v>0</v>
      </c>
      <c r="U378" s="658">
        <f t="shared" si="268"/>
        <v>0</v>
      </c>
      <c r="V378" s="94"/>
      <c r="W378" s="579" t="str">
        <f>IF(U373&gt;0,"xx",IF(P373&gt;0,"xy",""))</f>
        <v/>
      </c>
      <c r="X378" s="580" t="str">
        <f t="shared" si="254"/>
        <v/>
      </c>
      <c r="Y378" s="580" t="str">
        <f t="shared" si="221"/>
        <v/>
      </c>
      <c r="Z378" s="580" t="str">
        <f t="shared" si="240"/>
        <v/>
      </c>
    </row>
    <row r="379" spans="1:26" ht="13.5" hidden="1" thickBot="1" x14ac:dyDescent="0.25">
      <c r="A379" s="1008">
        <v>570210</v>
      </c>
      <c r="B379" s="1064">
        <v>570210</v>
      </c>
      <c r="C379" s="1065" t="s">
        <v>212</v>
      </c>
      <c r="D379" s="327" t="s">
        <v>2003</v>
      </c>
      <c r="E379" s="915"/>
      <c r="F379" s="991" t="s">
        <v>851</v>
      </c>
      <c r="G379" s="992">
        <v>4.4999999999999998E-2</v>
      </c>
      <c r="H379" s="993">
        <f>SUM(H380:H383)</f>
        <v>18.946480000000001</v>
      </c>
      <c r="I379" s="648">
        <v>122.54</v>
      </c>
      <c r="J379" s="1041">
        <f t="shared" ref="J379" si="420">IF(ISBLANK(I379),"",SUM(H379:I379))</f>
        <v>141.48648</v>
      </c>
      <c r="K379" s="649">
        <f t="shared" si="395"/>
        <v>172.2</v>
      </c>
      <c r="L379" s="650" t="s">
        <v>20</v>
      </c>
      <c r="M379" s="1045"/>
      <c r="N379" s="1046"/>
      <c r="O379" s="1066">
        <f t="shared" si="347"/>
        <v>0</v>
      </c>
      <c r="P379" s="1067">
        <f t="shared" si="348"/>
        <v>0</v>
      </c>
      <c r="Q379" s="1038"/>
      <c r="R379" s="1045">
        <f t="shared" si="408"/>
        <v>0</v>
      </c>
      <c r="S379" s="1046">
        <f t="shared" si="381"/>
        <v>0</v>
      </c>
      <c r="T379" s="651">
        <f t="shared" ref="T379:T384" si="421">IF(ISBLANK(R379),0,ROUND(K379*R379,2))</f>
        <v>0</v>
      </c>
      <c r="U379" s="652">
        <f t="shared" ref="U379:U384" si="422">IF(ISBLANK(R379),0,ROUND(R379*S379,2))</f>
        <v>0</v>
      </c>
      <c r="V379" s="94"/>
      <c r="X379" s="580" t="str">
        <f t="shared" ref="X379:X384" si="423">IF(W379="X","x",IF(W379="xx","x",IF(W379="xy","x",IF(W379="y","x",IF(OR(P379&gt;0,U379&gt;0),"x","")))))</f>
        <v/>
      </c>
      <c r="Y379" s="580" t="str">
        <f t="shared" ref="Y379:Y384" si="424">IF(W379="X","x",IF(W379="y","x",IF(W379="xx","x",IF(U379&gt;0,"x",""))))</f>
        <v/>
      </c>
      <c r="Z379" s="580" t="str">
        <f t="shared" ref="Z379:Z384" si="425">IF(W379="X","x",IF(U379&gt;0,"x",""))</f>
        <v/>
      </c>
    </row>
    <row r="380" spans="1:26" ht="13.5" hidden="1" thickBot="1" x14ac:dyDescent="0.25">
      <c r="A380" s="97" t="s">
        <v>165</v>
      </c>
      <c r="B380" s="1031" t="s">
        <v>165</v>
      </c>
      <c r="C380" s="978"/>
      <c r="D380" s="916" t="s">
        <v>257</v>
      </c>
      <c r="E380" s="917"/>
      <c r="F380" s="994">
        <v>180</v>
      </c>
      <c r="G380" s="997">
        <v>1.4999999999999999E-2</v>
      </c>
      <c r="H380" s="996">
        <f>IF(F380&lt;=30,(0.66*F380+1.38)*G380,((0.66*30+1.38)+0.55*(F380-30))*G380)</f>
        <v>1.5552000000000001</v>
      </c>
      <c r="I380" s="592"/>
      <c r="J380" s="1030"/>
      <c r="K380" s="593">
        <f t="shared" si="395"/>
        <v>0</v>
      </c>
      <c r="L380" s="670" t="s">
        <v>783</v>
      </c>
      <c r="M380" s="1068"/>
      <c r="N380" s="1069"/>
      <c r="O380" s="1070">
        <f t="shared" si="347"/>
        <v>0</v>
      </c>
      <c r="P380" s="1071">
        <f t="shared" si="348"/>
        <v>0</v>
      </c>
      <c r="Q380" s="1038"/>
      <c r="R380" s="1068"/>
      <c r="S380" s="1069"/>
      <c r="T380" s="93">
        <f t="shared" si="421"/>
        <v>0</v>
      </c>
      <c r="U380" s="95">
        <f t="shared" si="422"/>
        <v>0</v>
      </c>
      <c r="V380" s="94"/>
      <c r="W380" s="579" t="str">
        <f>IF(U379&gt;0,"xx",IF(P379&gt;0,"xy",""))</f>
        <v/>
      </c>
      <c r="X380" s="580" t="str">
        <f t="shared" si="423"/>
        <v/>
      </c>
      <c r="Y380" s="580" t="str">
        <f t="shared" si="424"/>
        <v/>
      </c>
      <c r="Z380" s="580" t="str">
        <f t="shared" si="425"/>
        <v/>
      </c>
    </row>
    <row r="381" spans="1:26" ht="13.5" hidden="1" thickBot="1" x14ac:dyDescent="0.25">
      <c r="A381" s="97" t="s">
        <v>165</v>
      </c>
      <c r="B381" s="1031" t="s">
        <v>165</v>
      </c>
      <c r="C381" s="978"/>
      <c r="D381" s="916" t="s">
        <v>258</v>
      </c>
      <c r="E381" s="917"/>
      <c r="F381" s="994">
        <v>500</v>
      </c>
      <c r="G381" s="997"/>
      <c r="H381" s="979">
        <f>IF(F381&lt;=30,(0.48*F381+4.05)*G381,((0.48*30+4.05)+0.4*(F381-30))*G381)</f>
        <v>0</v>
      </c>
      <c r="I381" s="592"/>
      <c r="J381" s="1030" t="str">
        <f t="shared" ref="J381" si="426">IF(ISBLANK(I381),"",SUM(H381:I381))</f>
        <v/>
      </c>
      <c r="K381" s="593">
        <f t="shared" si="395"/>
        <v>0</v>
      </c>
      <c r="L381" s="670" t="s">
        <v>783</v>
      </c>
      <c r="M381" s="1068"/>
      <c r="N381" s="1069"/>
      <c r="O381" s="1070">
        <f t="shared" si="347"/>
        <v>0</v>
      </c>
      <c r="P381" s="1071">
        <f t="shared" si="348"/>
        <v>0</v>
      </c>
      <c r="Q381" s="1038"/>
      <c r="R381" s="1068"/>
      <c r="S381" s="1069"/>
      <c r="T381" s="93">
        <f t="shared" si="421"/>
        <v>0</v>
      </c>
      <c r="U381" s="95">
        <f t="shared" si="422"/>
        <v>0</v>
      </c>
      <c r="V381" s="94"/>
      <c r="W381" s="579" t="str">
        <f>IF(U379&gt;0,"xx",IF(P379&gt;0,"xy",""))</f>
        <v/>
      </c>
      <c r="X381" s="580" t="str">
        <f t="shared" si="423"/>
        <v/>
      </c>
      <c r="Y381" s="580" t="str">
        <f t="shared" si="424"/>
        <v/>
      </c>
      <c r="Z381" s="580" t="str">
        <f t="shared" si="425"/>
        <v/>
      </c>
    </row>
    <row r="382" spans="1:26" ht="13.5" hidden="1" thickBot="1" x14ac:dyDescent="0.25">
      <c r="A382" s="97" t="s">
        <v>165</v>
      </c>
      <c r="B382" s="1031" t="s">
        <v>165</v>
      </c>
      <c r="C382" s="978"/>
      <c r="D382" s="916" t="s">
        <v>271</v>
      </c>
      <c r="E382" s="917"/>
      <c r="F382" s="994">
        <v>0.2</v>
      </c>
      <c r="G382" s="997">
        <v>0.94</v>
      </c>
      <c r="H382" s="979">
        <f>IF(F382=0,0,IF(F382&lt;=30,(0.66*F382+1.38)*G382,((0.66*30+1.38)+0.55*(F382-30))*G382))</f>
        <v>1.4212799999999999</v>
      </c>
      <c r="I382" s="592"/>
      <c r="J382" s="1030"/>
      <c r="K382" s="593">
        <f t="shared" si="395"/>
        <v>0</v>
      </c>
      <c r="L382" s="670" t="s">
        <v>783</v>
      </c>
      <c r="M382" s="1068"/>
      <c r="N382" s="1069"/>
      <c r="O382" s="1070">
        <f t="shared" si="347"/>
        <v>0</v>
      </c>
      <c r="P382" s="1071">
        <f t="shared" si="348"/>
        <v>0</v>
      </c>
      <c r="Q382" s="1038"/>
      <c r="R382" s="1068"/>
      <c r="S382" s="1069"/>
      <c r="T382" s="93">
        <f t="shared" si="421"/>
        <v>0</v>
      </c>
      <c r="U382" s="95">
        <f t="shared" si="422"/>
        <v>0</v>
      </c>
      <c r="V382" s="94"/>
      <c r="W382" s="579" t="str">
        <f>IF(U379&gt;0,"xx",IF(P379&gt;0,"xy",""))</f>
        <v/>
      </c>
      <c r="X382" s="580" t="str">
        <f t="shared" si="423"/>
        <v/>
      </c>
      <c r="Y382" s="580" t="str">
        <f t="shared" si="424"/>
        <v/>
      </c>
      <c r="Z382" s="580" t="str">
        <f t="shared" si="425"/>
        <v/>
      </c>
    </row>
    <row r="383" spans="1:26" ht="13.5" hidden="1" thickBot="1" x14ac:dyDescent="0.25">
      <c r="A383" s="97" t="s">
        <v>165</v>
      </c>
      <c r="B383" s="1031" t="s">
        <v>165</v>
      </c>
      <c r="C383" s="978"/>
      <c r="D383" s="916" t="s">
        <v>272</v>
      </c>
      <c r="E383" s="917"/>
      <c r="F383" s="994">
        <v>20</v>
      </c>
      <c r="G383" s="997">
        <f>SUM(G379:G382)</f>
        <v>1</v>
      </c>
      <c r="H383" s="979">
        <f>IF(F383&lt;=30,(0.66*F383+2.77)*G383,((0.66*30+2.77)+0.55*(F383-30))*G383)</f>
        <v>15.97</v>
      </c>
      <c r="I383" s="592"/>
      <c r="J383" s="1030"/>
      <c r="K383" s="593">
        <f t="shared" si="395"/>
        <v>0</v>
      </c>
      <c r="L383" s="670" t="s">
        <v>783</v>
      </c>
      <c r="M383" s="1068"/>
      <c r="N383" s="1069"/>
      <c r="O383" s="1070">
        <f t="shared" si="347"/>
        <v>0</v>
      </c>
      <c r="P383" s="1071">
        <f t="shared" si="348"/>
        <v>0</v>
      </c>
      <c r="Q383" s="1038"/>
      <c r="R383" s="1068"/>
      <c r="S383" s="1069"/>
      <c r="T383" s="93">
        <f t="shared" si="421"/>
        <v>0</v>
      </c>
      <c r="U383" s="95">
        <f t="shared" si="422"/>
        <v>0</v>
      </c>
      <c r="V383" s="94"/>
      <c r="W383" s="579" t="str">
        <f>IF(U379&gt;0,"xx",IF(P379&gt;0,"xy",""))</f>
        <v/>
      </c>
      <c r="X383" s="580" t="str">
        <f t="shared" si="423"/>
        <v/>
      </c>
      <c r="Y383" s="580" t="str">
        <f t="shared" si="424"/>
        <v/>
      </c>
      <c r="Z383" s="580" t="str">
        <f t="shared" si="425"/>
        <v/>
      </c>
    </row>
    <row r="384" spans="1:26" ht="13.5" hidden="1" thickBot="1" x14ac:dyDescent="0.25">
      <c r="A384" s="1008">
        <v>589000</v>
      </c>
      <c r="B384" s="1004" t="s">
        <v>2081</v>
      </c>
      <c r="C384" s="1048" t="s">
        <v>241</v>
      </c>
      <c r="D384" s="914" t="s">
        <v>846</v>
      </c>
      <c r="E384" s="919"/>
      <c r="F384" s="998">
        <v>500</v>
      </c>
      <c r="G384" s="999">
        <v>1</v>
      </c>
      <c r="H384" s="1000">
        <f>(0.58*F384+28.61)*G384</f>
        <v>318.61</v>
      </c>
      <c r="I384" s="654">
        <f>LIGANTES!$M$15</f>
        <v>4434.49</v>
      </c>
      <c r="J384" s="1051">
        <f>IF(ISBLANK(I384),"",I384*(1+$F$9)/(1+$F$10))+H384</f>
        <v>4631.771828937638</v>
      </c>
      <c r="K384" s="655">
        <f t="shared" si="395"/>
        <v>5637.33</v>
      </c>
      <c r="L384" s="656" t="s">
        <v>20</v>
      </c>
      <c r="M384" s="1052">
        <f>ROUND(M379*G379,2)</f>
        <v>0</v>
      </c>
      <c r="N384" s="1072"/>
      <c r="O384" s="1054">
        <f t="shared" si="347"/>
        <v>0</v>
      </c>
      <c r="P384" s="1055">
        <f t="shared" si="348"/>
        <v>0</v>
      </c>
      <c r="Q384" s="1038"/>
      <c r="R384" s="1056">
        <f>ROUND(R379*G379,2)</f>
        <v>0</v>
      </c>
      <c r="S384" s="1076">
        <f t="shared" si="381"/>
        <v>0</v>
      </c>
      <c r="T384" s="657">
        <f t="shared" si="421"/>
        <v>0</v>
      </c>
      <c r="U384" s="658">
        <f t="shared" si="422"/>
        <v>0</v>
      </c>
      <c r="V384" s="94"/>
      <c r="W384" s="579" t="str">
        <f>IF(U379&gt;0,"xx",IF(P379&gt;0,"xy",""))</f>
        <v/>
      </c>
      <c r="X384" s="580" t="str">
        <f t="shared" si="423"/>
        <v/>
      </c>
      <c r="Y384" s="580" t="str">
        <f t="shared" si="424"/>
        <v/>
      </c>
      <c r="Z384" s="580" t="str">
        <f t="shared" si="425"/>
        <v/>
      </c>
    </row>
    <row r="385" spans="1:26" ht="13.5" hidden="1" thickBot="1" x14ac:dyDescent="0.25">
      <c r="A385" s="1008">
        <v>570000</v>
      </c>
      <c r="B385" s="1064" t="s">
        <v>2004</v>
      </c>
      <c r="C385" s="1065" t="s">
        <v>212</v>
      </c>
      <c r="D385" s="327" t="s">
        <v>2005</v>
      </c>
      <c r="E385" s="915"/>
      <c r="F385" s="991" t="s">
        <v>851</v>
      </c>
      <c r="G385" s="992">
        <v>5.7000000000000002E-2</v>
      </c>
      <c r="H385" s="993">
        <f>SUM(H386:H389)</f>
        <v>33.016220000000004</v>
      </c>
      <c r="I385" s="648">
        <v>141.35</v>
      </c>
      <c r="J385" s="1041">
        <f t="shared" si="394"/>
        <v>174.36622</v>
      </c>
      <c r="K385" s="649">
        <f t="shared" si="395"/>
        <v>212.22</v>
      </c>
      <c r="L385" s="650" t="s">
        <v>20</v>
      </c>
      <c r="M385" s="1045"/>
      <c r="N385" s="1046"/>
      <c r="O385" s="1066">
        <f t="shared" si="347"/>
        <v>0</v>
      </c>
      <c r="P385" s="1067">
        <f t="shared" si="348"/>
        <v>0</v>
      </c>
      <c r="Q385" s="1038"/>
      <c r="R385" s="1045">
        <f t="shared" si="408"/>
        <v>0</v>
      </c>
      <c r="S385" s="1046">
        <f t="shared" si="381"/>
        <v>0</v>
      </c>
      <c r="T385" s="651">
        <f t="shared" si="214"/>
        <v>0</v>
      </c>
      <c r="U385" s="652">
        <f t="shared" ref="U385:U440" si="427">IF(ISBLANK(R385),0,ROUND(R385*S385,2))</f>
        <v>0</v>
      </c>
      <c r="V385" s="94"/>
      <c r="X385" s="580" t="str">
        <f t="shared" si="254"/>
        <v/>
      </c>
      <c r="Y385" s="580" t="str">
        <f t="shared" si="221"/>
        <v/>
      </c>
      <c r="Z385" s="580" t="str">
        <f t="shared" si="240"/>
        <v/>
      </c>
    </row>
    <row r="386" spans="1:26" ht="13.5" hidden="1" thickBot="1" x14ac:dyDescent="0.25">
      <c r="A386" s="97" t="s">
        <v>165</v>
      </c>
      <c r="B386" s="1031" t="s">
        <v>165</v>
      </c>
      <c r="C386" s="978"/>
      <c r="D386" s="916" t="s">
        <v>257</v>
      </c>
      <c r="E386" s="917"/>
      <c r="F386" s="994">
        <v>180</v>
      </c>
      <c r="G386" s="997">
        <v>0.1</v>
      </c>
      <c r="H386" s="996">
        <f t="shared" ref="H386" si="428">IF(F386&lt;=30,(0.7*F386+1.45)*G386,((0.7*30+1.45)+0.58*(F386-30))*G386)</f>
        <v>10.945</v>
      </c>
      <c r="I386" s="592"/>
      <c r="J386" s="1030"/>
      <c r="K386" s="593">
        <f t="shared" si="395"/>
        <v>0</v>
      </c>
      <c r="L386" s="594" t="s">
        <v>783</v>
      </c>
      <c r="M386" s="1068"/>
      <c r="N386" s="1069"/>
      <c r="O386" s="1070">
        <f t="shared" si="347"/>
        <v>0</v>
      </c>
      <c r="P386" s="1071">
        <f t="shared" si="348"/>
        <v>0</v>
      </c>
      <c r="Q386" s="1038"/>
      <c r="R386" s="1068"/>
      <c r="S386" s="1069"/>
      <c r="T386" s="93">
        <f t="shared" si="214"/>
        <v>0</v>
      </c>
      <c r="U386" s="95">
        <f t="shared" ref="U386:U389" si="429">IF(ISBLANK(R386),0,ROUND(R386*S386,2))</f>
        <v>0</v>
      </c>
      <c r="V386" s="94"/>
      <c r="W386" s="579" t="str">
        <f>IF(U385&gt;0,"xx",IF(P385&gt;0,"xy",""))</f>
        <v/>
      </c>
      <c r="X386" s="580" t="str">
        <f t="shared" ref="X386:X389" si="430">IF(W386="X","x",IF(W386="xx","x",IF(W386="xy","x",IF(W386="y","x",IF(OR(P386&gt;0,U386&gt;0),"x","")))))</f>
        <v/>
      </c>
      <c r="Y386" s="580" t="str">
        <f t="shared" ref="Y386:Y389" si="431">IF(W386="X","x",IF(W386="y","x",IF(W386="xx","x",IF(U386&gt;0,"x",""))))</f>
        <v/>
      </c>
      <c r="Z386" s="580" t="str">
        <f t="shared" ref="Z386:Z389" si="432">IF(W386="X","x",IF(U386&gt;0,"x",""))</f>
        <v/>
      </c>
    </row>
    <row r="387" spans="1:26" ht="13.5" hidden="1" thickBot="1" x14ac:dyDescent="0.25">
      <c r="A387" s="97" t="s">
        <v>165</v>
      </c>
      <c r="B387" s="1031" t="s">
        <v>165</v>
      </c>
      <c r="C387" s="978"/>
      <c r="D387" s="916" t="s">
        <v>258</v>
      </c>
      <c r="E387" s="917"/>
      <c r="F387" s="994">
        <v>500</v>
      </c>
      <c r="G387" s="997">
        <v>1.4999999999999999E-2</v>
      </c>
      <c r="H387" s="979">
        <f>IF(F387&lt;=30,(0.51*F387+4.28)*G387,((0.51*30+4.28)+0.42*(F387-30))*G387)</f>
        <v>3.2547000000000001</v>
      </c>
      <c r="I387" s="592"/>
      <c r="J387" s="1030"/>
      <c r="K387" s="593">
        <f t="shared" ref="K387:K418" si="433">IF(ISBLANK(I387),0,ROUND(J387*(1+$F$10)*(1+$F$11*E387),2))</f>
        <v>0</v>
      </c>
      <c r="L387" s="594" t="s">
        <v>783</v>
      </c>
      <c r="M387" s="1068"/>
      <c r="N387" s="1069"/>
      <c r="O387" s="1070">
        <f t="shared" si="347"/>
        <v>0</v>
      </c>
      <c r="P387" s="1071">
        <f t="shared" si="348"/>
        <v>0</v>
      </c>
      <c r="Q387" s="1038"/>
      <c r="R387" s="1068"/>
      <c r="S387" s="1069"/>
      <c r="T387" s="93">
        <f t="shared" si="214"/>
        <v>0</v>
      </c>
      <c r="U387" s="95">
        <f t="shared" si="429"/>
        <v>0</v>
      </c>
      <c r="V387" s="94"/>
      <c r="W387" s="579" t="str">
        <f>IF(U385&gt;0,"xx",IF(P385&gt;0,"xy",""))</f>
        <v/>
      </c>
      <c r="X387" s="580" t="str">
        <f t="shared" si="430"/>
        <v/>
      </c>
      <c r="Y387" s="580" t="str">
        <f t="shared" si="431"/>
        <v/>
      </c>
      <c r="Z387" s="580" t="str">
        <f t="shared" si="432"/>
        <v/>
      </c>
    </row>
    <row r="388" spans="1:26" ht="13.5" hidden="1" thickBot="1" x14ac:dyDescent="0.25">
      <c r="A388" s="97" t="s">
        <v>165</v>
      </c>
      <c r="B388" s="1031" t="s">
        <v>165</v>
      </c>
      <c r="C388" s="978"/>
      <c r="D388" s="916" t="s">
        <v>271</v>
      </c>
      <c r="E388" s="917"/>
      <c r="F388" s="994">
        <v>0.2</v>
      </c>
      <c r="G388" s="997">
        <v>0.82799999999999996</v>
      </c>
      <c r="H388" s="979">
        <f>IF(F388=0,0,IF(F388&lt;=30,(0.7*F388+1.45)*G388,((0.7*30+1.45)+0.58*(F388-30))*G388))</f>
        <v>1.3165199999999999</v>
      </c>
      <c r="I388" s="592"/>
      <c r="J388" s="1030"/>
      <c r="K388" s="593">
        <f t="shared" si="433"/>
        <v>0</v>
      </c>
      <c r="L388" s="594" t="s">
        <v>783</v>
      </c>
      <c r="M388" s="1068"/>
      <c r="N388" s="1069"/>
      <c r="O388" s="1070">
        <f t="shared" si="347"/>
        <v>0</v>
      </c>
      <c r="P388" s="1071">
        <f t="shared" si="348"/>
        <v>0</v>
      </c>
      <c r="Q388" s="1038"/>
      <c r="R388" s="1068"/>
      <c r="S388" s="1069"/>
      <c r="T388" s="93">
        <f t="shared" si="214"/>
        <v>0</v>
      </c>
      <c r="U388" s="95">
        <f t="shared" si="429"/>
        <v>0</v>
      </c>
      <c r="V388" s="94"/>
      <c r="W388" s="579" t="str">
        <f>IF(U385&gt;0,"xx",IF(P385&gt;0,"xy",""))</f>
        <v/>
      </c>
      <c r="X388" s="580" t="str">
        <f t="shared" si="430"/>
        <v/>
      </c>
      <c r="Y388" s="580" t="str">
        <f t="shared" si="431"/>
        <v/>
      </c>
      <c r="Z388" s="580" t="str">
        <f t="shared" si="432"/>
        <v/>
      </c>
    </row>
    <row r="389" spans="1:26" ht="13.5" hidden="1" thickBot="1" x14ac:dyDescent="0.25">
      <c r="A389" s="97" t="s">
        <v>165</v>
      </c>
      <c r="B389" s="1031" t="s">
        <v>165</v>
      </c>
      <c r="C389" s="978"/>
      <c r="D389" s="916" t="s">
        <v>272</v>
      </c>
      <c r="E389" s="917"/>
      <c r="F389" s="994">
        <v>20</v>
      </c>
      <c r="G389" s="997">
        <f>SUM(G385:G388)</f>
        <v>1</v>
      </c>
      <c r="H389" s="979">
        <f>IF(F389&lt;=30,(0.7*F389+3.5)*G389,((0.7*30+3.5)+0.58*(F389-30))*G389)</f>
        <v>17.5</v>
      </c>
      <c r="I389" s="592"/>
      <c r="J389" s="1030"/>
      <c r="K389" s="593">
        <f t="shared" si="433"/>
        <v>0</v>
      </c>
      <c r="L389" s="594" t="s">
        <v>783</v>
      </c>
      <c r="M389" s="1068"/>
      <c r="N389" s="1069"/>
      <c r="O389" s="1070">
        <f t="shared" si="347"/>
        <v>0</v>
      </c>
      <c r="P389" s="1071">
        <f t="shared" si="348"/>
        <v>0</v>
      </c>
      <c r="Q389" s="1038"/>
      <c r="R389" s="1068"/>
      <c r="S389" s="1069"/>
      <c r="T389" s="93">
        <f t="shared" si="214"/>
        <v>0</v>
      </c>
      <c r="U389" s="95">
        <f t="shared" si="429"/>
        <v>0</v>
      </c>
      <c r="V389" s="94"/>
      <c r="W389" s="579" t="str">
        <f>IF(U385&gt;0,"xx",IF(P385&gt;0,"xy",""))</f>
        <v/>
      </c>
      <c r="X389" s="580" t="str">
        <f t="shared" si="430"/>
        <v/>
      </c>
      <c r="Y389" s="580" t="str">
        <f t="shared" si="431"/>
        <v/>
      </c>
      <c r="Z389" s="580" t="str">
        <f t="shared" si="432"/>
        <v/>
      </c>
    </row>
    <row r="390" spans="1:26" ht="13.5" hidden="1" thickBot="1" x14ac:dyDescent="0.25">
      <c r="A390" s="1008">
        <v>589000</v>
      </c>
      <c r="B390" s="1004" t="s">
        <v>2082</v>
      </c>
      <c r="C390" s="1048" t="s">
        <v>241</v>
      </c>
      <c r="D390" s="914" t="s">
        <v>846</v>
      </c>
      <c r="E390" s="919"/>
      <c r="F390" s="998">
        <v>500</v>
      </c>
      <c r="G390" s="999">
        <v>1</v>
      </c>
      <c r="H390" s="1000">
        <f>(0.58*F390+28.61)*G390</f>
        <v>318.61</v>
      </c>
      <c r="I390" s="654">
        <f>LIGANTES!$M$15</f>
        <v>4434.49</v>
      </c>
      <c r="J390" s="1051">
        <f>IF(ISBLANK(I390),"",I390*(1+$F$9)/(1+$F$10))+H390</f>
        <v>4631.771828937638</v>
      </c>
      <c r="K390" s="655">
        <f t="shared" si="433"/>
        <v>5637.33</v>
      </c>
      <c r="L390" s="656" t="s">
        <v>20</v>
      </c>
      <c r="M390" s="1052">
        <f>ROUND(M385*G385,2)</f>
        <v>0</v>
      </c>
      <c r="N390" s="1072"/>
      <c r="O390" s="1054">
        <f t="shared" ref="O390:O440" si="434">IF(ISBLANK(M390),0,ROUND(K390*M390,2))</f>
        <v>0</v>
      </c>
      <c r="P390" s="1055">
        <f t="shared" si="348"/>
        <v>0</v>
      </c>
      <c r="Q390" s="1038"/>
      <c r="R390" s="1056">
        <f>ROUND(R385*G385,2)</f>
        <v>0</v>
      </c>
      <c r="S390" s="1076">
        <f t="shared" si="381"/>
        <v>0</v>
      </c>
      <c r="T390" s="657">
        <f t="shared" si="214"/>
        <v>0</v>
      </c>
      <c r="U390" s="658">
        <f t="shared" si="427"/>
        <v>0</v>
      </c>
      <c r="V390" s="94"/>
      <c r="W390" s="579" t="str">
        <f>IF(U385&gt;0,"xx",IF(P385&gt;0,"xy",""))</f>
        <v/>
      </c>
      <c r="X390" s="580" t="str">
        <f t="shared" si="254"/>
        <v/>
      </c>
      <c r="Y390" s="580" t="str">
        <f t="shared" si="221"/>
        <v/>
      </c>
      <c r="Z390" s="580" t="str">
        <f t="shared" si="240"/>
        <v/>
      </c>
    </row>
    <row r="391" spans="1:26" x14ac:dyDescent="0.2">
      <c r="A391" s="1008">
        <v>570000</v>
      </c>
      <c r="B391" s="1143" t="s">
        <v>2006</v>
      </c>
      <c r="C391" s="1144" t="s">
        <v>212</v>
      </c>
      <c r="D391" s="1145" t="s">
        <v>2007</v>
      </c>
      <c r="E391" s="1146"/>
      <c r="F391" s="991" t="s">
        <v>851</v>
      </c>
      <c r="G391" s="992">
        <v>0.05</v>
      </c>
      <c r="H391" s="993">
        <f>SUM(H392:H395)</f>
        <v>64.809516000000002</v>
      </c>
      <c r="I391" s="648">
        <v>141.35</v>
      </c>
      <c r="J391" s="1041">
        <f t="shared" ref="J391" si="435">IF(ISBLANK(I391),"",SUM(H391:I391))</f>
        <v>206.159516</v>
      </c>
      <c r="K391" s="649">
        <f t="shared" si="433"/>
        <v>250.92</v>
      </c>
      <c r="L391" s="650" t="s">
        <v>20</v>
      </c>
      <c r="M391" s="1045">
        <v>1173.3</v>
      </c>
      <c r="N391" s="1046">
        <v>260.44</v>
      </c>
      <c r="O391" s="1066">
        <f t="shared" si="434"/>
        <v>294404.44</v>
      </c>
      <c r="P391" s="1067">
        <f t="shared" si="348"/>
        <v>305574.25</v>
      </c>
      <c r="Q391" s="1038"/>
      <c r="R391" s="1135">
        <f t="shared" si="408"/>
        <v>1173.3</v>
      </c>
      <c r="S391" s="1136">
        <f>K391</f>
        <v>250.92</v>
      </c>
      <c r="T391" s="1137">
        <f t="shared" ref="T391:T402" si="436">IF(ISBLANK(R391),0,ROUND(K391*R391,2))</f>
        <v>294404.44</v>
      </c>
      <c r="U391" s="1138">
        <f t="shared" ref="U391:U402" si="437">IF(ISBLANK(R391),0,ROUND(R391*S391,2))</f>
        <v>294404.44</v>
      </c>
      <c r="V391" s="1114"/>
      <c r="X391" s="580" t="str">
        <f t="shared" ref="X391:X402" si="438">IF(W391="X","x",IF(W391="xx","x",IF(W391="xy","x",IF(W391="y","x",IF(OR(P391&gt;0,U391&gt;0),"x","")))))</f>
        <v>x</v>
      </c>
      <c r="Y391" s="580" t="str">
        <f t="shared" ref="Y391:Y402" si="439">IF(W391="X","x",IF(W391="y","x",IF(W391="xx","x",IF(U391&gt;0,"x",""))))</f>
        <v>x</v>
      </c>
      <c r="Z391" s="580" t="str">
        <f t="shared" ref="Z391:Z402" si="440">IF(W391="X","x",IF(U391&gt;0,"x",""))</f>
        <v>x</v>
      </c>
    </row>
    <row r="392" spans="1:26" hidden="1" x14ac:dyDescent="0.2">
      <c r="A392" s="97" t="s">
        <v>165</v>
      </c>
      <c r="B392" s="1031" t="s">
        <v>165</v>
      </c>
      <c r="C392" s="978"/>
      <c r="D392" s="916" t="s">
        <v>257</v>
      </c>
      <c r="E392" s="917"/>
      <c r="F392" s="1089">
        <v>6.5</v>
      </c>
      <c r="G392" s="997">
        <v>0.1007</v>
      </c>
      <c r="H392" s="996">
        <f t="shared" ref="H392" si="441">IF(F392&lt;=30,(0.7*F392+1.45)*G392,((0.7*30+1.45)+0.58*(F392-30))*G392)</f>
        <v>0.60419999999999996</v>
      </c>
      <c r="I392" s="592"/>
      <c r="J392" s="1030"/>
      <c r="K392" s="593">
        <f t="shared" si="433"/>
        <v>0</v>
      </c>
      <c r="L392" s="594" t="s">
        <v>783</v>
      </c>
      <c r="M392" s="1068"/>
      <c r="N392" s="1069"/>
      <c r="O392" s="1070">
        <f t="shared" si="434"/>
        <v>0</v>
      </c>
      <c r="P392" s="1071">
        <f t="shared" ref="P392:P440" si="442">IF(ISBLANK(N392),0,ROUND(M392*N392,2))</f>
        <v>0</v>
      </c>
      <c r="Q392" s="1038"/>
      <c r="R392" s="1068"/>
      <c r="S392" s="1069"/>
      <c r="T392" s="93">
        <f t="shared" si="436"/>
        <v>0</v>
      </c>
      <c r="U392" s="95">
        <f t="shared" si="437"/>
        <v>0</v>
      </c>
      <c r="V392" s="94"/>
      <c r="W392" s="579" t="str">
        <f>IF(U391&gt;0,"xx",IF(P391&gt;0,"xy",""))</f>
        <v>xx</v>
      </c>
      <c r="X392" s="580" t="str">
        <f t="shared" si="438"/>
        <v>x</v>
      </c>
      <c r="Y392" s="580" t="str">
        <f t="shared" si="439"/>
        <v>x</v>
      </c>
      <c r="Z392" s="580" t="str">
        <f t="shared" si="440"/>
        <v/>
      </c>
    </row>
    <row r="393" spans="1:26" hidden="1" x14ac:dyDescent="0.2">
      <c r="A393" s="97" t="s">
        <v>165</v>
      </c>
      <c r="B393" s="1031" t="s">
        <v>165</v>
      </c>
      <c r="C393" s="978"/>
      <c r="D393" s="916" t="s">
        <v>258</v>
      </c>
      <c r="E393" s="917"/>
      <c r="F393" s="1089">
        <v>135</v>
      </c>
      <c r="G393" s="997">
        <v>1.52E-2</v>
      </c>
      <c r="H393" s="979">
        <f>IF(F393&lt;=30,(0.51*F393+4.28)*G393,((0.51*30+4.28)+0.42*(F393-30))*G393)</f>
        <v>0.96793600000000013</v>
      </c>
      <c r="I393" s="592"/>
      <c r="J393" s="1030"/>
      <c r="K393" s="593">
        <f t="shared" si="433"/>
        <v>0</v>
      </c>
      <c r="L393" s="594" t="s">
        <v>783</v>
      </c>
      <c r="M393" s="1068"/>
      <c r="N393" s="1069"/>
      <c r="O393" s="1070">
        <f t="shared" si="434"/>
        <v>0</v>
      </c>
      <c r="P393" s="1071">
        <f t="shared" si="442"/>
        <v>0</v>
      </c>
      <c r="Q393" s="1038"/>
      <c r="R393" s="1068"/>
      <c r="S393" s="1069"/>
      <c r="T393" s="93">
        <f t="shared" si="436"/>
        <v>0</v>
      </c>
      <c r="U393" s="95">
        <f t="shared" si="437"/>
        <v>0</v>
      </c>
      <c r="V393" s="94"/>
      <c r="W393" s="579" t="str">
        <f>IF(U391&gt;0,"xx",IF(P391&gt;0,"xy",""))</f>
        <v>xx</v>
      </c>
      <c r="X393" s="580" t="str">
        <f t="shared" si="438"/>
        <v>x</v>
      </c>
      <c r="Y393" s="580" t="str">
        <f t="shared" si="439"/>
        <v>x</v>
      </c>
      <c r="Z393" s="580" t="str">
        <f t="shared" si="440"/>
        <v/>
      </c>
    </row>
    <row r="394" spans="1:26" hidden="1" x14ac:dyDescent="0.2">
      <c r="A394" s="97" t="s">
        <v>165</v>
      </c>
      <c r="B394" s="1031" t="s">
        <v>165</v>
      </c>
      <c r="C394" s="978"/>
      <c r="D394" s="916" t="s">
        <v>271</v>
      </c>
      <c r="E394" s="917"/>
      <c r="F394" s="1089">
        <v>0.5</v>
      </c>
      <c r="G394" s="997">
        <v>0.83409999999999995</v>
      </c>
      <c r="H394" s="979">
        <f>IF(F394=0,0,IF(F394&lt;=30,(0.7*F394+1.45)*G394,((0.7*30+1.45)+0.58*(F394-30))*G394))</f>
        <v>1.5013799999999997</v>
      </c>
      <c r="I394" s="592"/>
      <c r="J394" s="1030"/>
      <c r="K394" s="593">
        <f t="shared" si="433"/>
        <v>0</v>
      </c>
      <c r="L394" s="594" t="s">
        <v>783</v>
      </c>
      <c r="M394" s="1068"/>
      <c r="N394" s="1069"/>
      <c r="O394" s="1070">
        <f t="shared" si="434"/>
        <v>0</v>
      </c>
      <c r="P394" s="1071">
        <f t="shared" si="442"/>
        <v>0</v>
      </c>
      <c r="Q394" s="1038"/>
      <c r="R394" s="1068"/>
      <c r="S394" s="1069"/>
      <c r="T394" s="93">
        <f t="shared" si="436"/>
        <v>0</v>
      </c>
      <c r="U394" s="95">
        <f t="shared" si="437"/>
        <v>0</v>
      </c>
      <c r="V394" s="94"/>
      <c r="W394" s="579" t="str">
        <f>IF(U391&gt;0,"xx",IF(P391&gt;0,"xy",""))</f>
        <v>xx</v>
      </c>
      <c r="X394" s="580" t="str">
        <f t="shared" si="438"/>
        <v>x</v>
      </c>
      <c r="Y394" s="580" t="str">
        <f t="shared" si="439"/>
        <v>x</v>
      </c>
      <c r="Z394" s="580" t="str">
        <f t="shared" si="440"/>
        <v/>
      </c>
    </row>
    <row r="395" spans="1:26" hidden="1" x14ac:dyDescent="0.2">
      <c r="A395" s="97" t="s">
        <v>165</v>
      </c>
      <c r="B395" s="1031" t="s">
        <v>165</v>
      </c>
      <c r="C395" s="978"/>
      <c r="D395" s="916" t="s">
        <v>272</v>
      </c>
      <c r="E395" s="917"/>
      <c r="F395" s="1089">
        <v>94.2</v>
      </c>
      <c r="G395" s="997">
        <f>SUM(G391:G394)</f>
        <v>1</v>
      </c>
      <c r="H395" s="979">
        <f>IF(F395&lt;=30,(0.7*F395+3.5)*G395,((0.7*30+3.5)+0.58*(F395-30))*G395)</f>
        <v>61.735999999999997</v>
      </c>
      <c r="I395" s="592"/>
      <c r="J395" s="1030"/>
      <c r="K395" s="593">
        <f t="shared" si="433"/>
        <v>0</v>
      </c>
      <c r="L395" s="594" t="s">
        <v>783</v>
      </c>
      <c r="M395" s="1068"/>
      <c r="N395" s="1069"/>
      <c r="O395" s="1070">
        <f t="shared" si="434"/>
        <v>0</v>
      </c>
      <c r="P395" s="1071">
        <f t="shared" si="442"/>
        <v>0</v>
      </c>
      <c r="Q395" s="1038"/>
      <c r="R395" s="1068"/>
      <c r="S395" s="1069"/>
      <c r="T395" s="93">
        <f t="shared" si="436"/>
        <v>0</v>
      </c>
      <c r="U395" s="95">
        <f t="shared" si="437"/>
        <v>0</v>
      </c>
      <c r="V395" s="94"/>
      <c r="W395" s="579" t="str">
        <f>IF(U391&gt;0,"xx",IF(P391&gt;0,"xy",""))</f>
        <v>xx</v>
      </c>
      <c r="X395" s="580" t="str">
        <f t="shared" si="438"/>
        <v>x</v>
      </c>
      <c r="Y395" s="580" t="str">
        <f t="shared" si="439"/>
        <v>x</v>
      </c>
      <c r="Z395" s="580" t="str">
        <f t="shared" si="440"/>
        <v/>
      </c>
    </row>
    <row r="396" spans="1:26" ht="13.5" thickBot="1" x14ac:dyDescent="0.25">
      <c r="A396" s="1008">
        <v>589000</v>
      </c>
      <c r="B396" s="1147" t="s">
        <v>2083</v>
      </c>
      <c r="C396" s="1132" t="s">
        <v>241</v>
      </c>
      <c r="D396" s="1148" t="s">
        <v>846</v>
      </c>
      <c r="E396" s="1149"/>
      <c r="F396" s="1090">
        <v>94.2</v>
      </c>
      <c r="G396" s="999">
        <v>1</v>
      </c>
      <c r="H396" s="1000">
        <f>(0.58*F396+28.61)*G396</f>
        <v>83.245999999999995</v>
      </c>
      <c r="I396" s="654">
        <f>LIGANTES!$M$15</f>
        <v>4434.49</v>
      </c>
      <c r="J396" s="1051">
        <f>IF(ISBLANK(I396),"",I396*(1+$F$9)/(1+$F$10))+H396</f>
        <v>4396.4078289376384</v>
      </c>
      <c r="K396" s="655">
        <f t="shared" si="433"/>
        <v>5350.87</v>
      </c>
      <c r="L396" s="656" t="s">
        <v>20</v>
      </c>
      <c r="M396" s="1052">
        <f>ROUND(M391*G391,2)</f>
        <v>58.67</v>
      </c>
      <c r="N396" s="1072">
        <v>5574.04</v>
      </c>
      <c r="O396" s="1054">
        <f t="shared" si="434"/>
        <v>313935.53999999998</v>
      </c>
      <c r="P396" s="1055">
        <f t="shared" si="442"/>
        <v>327028.93</v>
      </c>
      <c r="Q396" s="1038"/>
      <c r="R396" s="1139">
        <f>ROUND(R391*G391,2)</f>
        <v>58.67</v>
      </c>
      <c r="S396" s="1150">
        <f>K396</f>
        <v>5350.87</v>
      </c>
      <c r="T396" s="1141">
        <f t="shared" si="436"/>
        <v>313935.53999999998</v>
      </c>
      <c r="U396" s="1142">
        <f t="shared" si="437"/>
        <v>313935.53999999998</v>
      </c>
      <c r="V396" s="1114"/>
      <c r="W396" s="579" t="str">
        <f>IF(U391&gt;0,"xx",IF(P391&gt;0,"xy",""))</f>
        <v>xx</v>
      </c>
      <c r="X396" s="580" t="str">
        <f t="shared" si="438"/>
        <v>x</v>
      </c>
      <c r="Y396" s="580" t="str">
        <f t="shared" si="439"/>
        <v>x</v>
      </c>
      <c r="Z396" s="580" t="str">
        <f t="shared" si="440"/>
        <v>x</v>
      </c>
    </row>
    <row r="397" spans="1:26" ht="13.5" hidden="1" thickBot="1" x14ac:dyDescent="0.25">
      <c r="A397" s="1008">
        <v>570000</v>
      </c>
      <c r="B397" s="1064" t="s">
        <v>2008</v>
      </c>
      <c r="C397" s="1065" t="s">
        <v>212</v>
      </c>
      <c r="D397" s="327" t="s">
        <v>2009</v>
      </c>
      <c r="E397" s="915"/>
      <c r="F397" s="991" t="s">
        <v>851</v>
      </c>
      <c r="G397" s="992">
        <v>5.5E-2</v>
      </c>
      <c r="H397" s="993">
        <f>SUM(H398:H401)</f>
        <v>33.062511000000001</v>
      </c>
      <c r="I397" s="648">
        <v>141.35</v>
      </c>
      <c r="J397" s="1041">
        <f t="shared" ref="J397" si="443">IF(ISBLANK(I397),"",SUM(H397:I397))</f>
        <v>174.41251099999999</v>
      </c>
      <c r="K397" s="649">
        <f t="shared" si="433"/>
        <v>212.28</v>
      </c>
      <c r="L397" s="650" t="s">
        <v>20</v>
      </c>
      <c r="M397" s="1045"/>
      <c r="N397" s="1046"/>
      <c r="O397" s="1066">
        <f t="shared" si="434"/>
        <v>0</v>
      </c>
      <c r="P397" s="1067">
        <f t="shared" si="442"/>
        <v>0</v>
      </c>
      <c r="Q397" s="1038"/>
      <c r="R397" s="1045">
        <f t="shared" si="408"/>
        <v>0</v>
      </c>
      <c r="S397" s="1046">
        <f t="shared" si="381"/>
        <v>0</v>
      </c>
      <c r="T397" s="651">
        <f t="shared" si="436"/>
        <v>0</v>
      </c>
      <c r="U397" s="652">
        <f t="shared" si="437"/>
        <v>0</v>
      </c>
      <c r="V397" s="94"/>
      <c r="X397" s="580" t="str">
        <f t="shared" si="438"/>
        <v/>
      </c>
      <c r="Y397" s="580" t="str">
        <f t="shared" si="439"/>
        <v/>
      </c>
      <c r="Z397" s="580" t="str">
        <f t="shared" si="440"/>
        <v/>
      </c>
    </row>
    <row r="398" spans="1:26" ht="13.5" hidden="1" thickBot="1" x14ac:dyDescent="0.25">
      <c r="A398" s="97" t="s">
        <v>165</v>
      </c>
      <c r="B398" s="1031" t="s">
        <v>165</v>
      </c>
      <c r="C398" s="978"/>
      <c r="D398" s="916" t="s">
        <v>257</v>
      </c>
      <c r="E398" s="917"/>
      <c r="F398" s="994">
        <v>180</v>
      </c>
      <c r="G398" s="997">
        <v>0.1002</v>
      </c>
      <c r="H398" s="996">
        <f t="shared" ref="H398" si="444">IF(F398&lt;=30,(0.7*F398+1.45)*G398,((0.7*30+1.45)+0.58*(F398-30))*G398)</f>
        <v>10.966889999999999</v>
      </c>
      <c r="I398" s="592"/>
      <c r="J398" s="1030"/>
      <c r="K398" s="593">
        <f t="shared" si="433"/>
        <v>0</v>
      </c>
      <c r="L398" s="594" t="s">
        <v>783</v>
      </c>
      <c r="M398" s="1068"/>
      <c r="N398" s="1069"/>
      <c r="O398" s="1070">
        <f t="shared" si="434"/>
        <v>0</v>
      </c>
      <c r="P398" s="1071">
        <f t="shared" si="442"/>
        <v>0</v>
      </c>
      <c r="Q398" s="1038"/>
      <c r="R398" s="1068"/>
      <c r="S398" s="1069"/>
      <c r="T398" s="93">
        <f t="shared" si="436"/>
        <v>0</v>
      </c>
      <c r="U398" s="95">
        <f t="shared" si="437"/>
        <v>0</v>
      </c>
      <c r="V398" s="94"/>
      <c r="W398" s="579" t="str">
        <f>IF(U397&gt;0,"xx",IF(P397&gt;0,"xy",""))</f>
        <v/>
      </c>
      <c r="X398" s="580" t="str">
        <f t="shared" si="438"/>
        <v/>
      </c>
      <c r="Y398" s="580" t="str">
        <f t="shared" si="439"/>
        <v/>
      </c>
      <c r="Z398" s="580" t="str">
        <f t="shared" si="440"/>
        <v/>
      </c>
    </row>
    <row r="399" spans="1:26" ht="13.5" hidden="1" thickBot="1" x14ac:dyDescent="0.25">
      <c r="A399" s="97" t="s">
        <v>165</v>
      </c>
      <c r="B399" s="1031" t="s">
        <v>165</v>
      </c>
      <c r="C399" s="978"/>
      <c r="D399" s="916" t="s">
        <v>258</v>
      </c>
      <c r="E399" s="917"/>
      <c r="F399" s="994">
        <v>500</v>
      </c>
      <c r="G399" s="997">
        <v>1.5100000000000001E-2</v>
      </c>
      <c r="H399" s="979">
        <f>IF(F399&lt;=30,(0.51*F399+4.28)*G399,((0.51*30+4.28)+0.42*(F399-30))*G399)</f>
        <v>3.2763980000000004</v>
      </c>
      <c r="I399" s="592"/>
      <c r="J399" s="1030"/>
      <c r="K399" s="593">
        <f t="shared" si="433"/>
        <v>0</v>
      </c>
      <c r="L399" s="594" t="s">
        <v>783</v>
      </c>
      <c r="M399" s="1068"/>
      <c r="N399" s="1069"/>
      <c r="O399" s="1070">
        <f t="shared" si="434"/>
        <v>0</v>
      </c>
      <c r="P399" s="1071">
        <f t="shared" si="442"/>
        <v>0</v>
      </c>
      <c r="Q399" s="1038"/>
      <c r="R399" s="1068"/>
      <c r="S399" s="1069"/>
      <c r="T399" s="93">
        <f t="shared" si="436"/>
        <v>0</v>
      </c>
      <c r="U399" s="95">
        <f t="shared" si="437"/>
        <v>0</v>
      </c>
      <c r="V399" s="94"/>
      <c r="W399" s="579" t="str">
        <f>IF(U397&gt;0,"xx",IF(P397&gt;0,"xy",""))</f>
        <v/>
      </c>
      <c r="X399" s="580" t="str">
        <f t="shared" si="438"/>
        <v/>
      </c>
      <c r="Y399" s="580" t="str">
        <f t="shared" si="439"/>
        <v/>
      </c>
      <c r="Z399" s="580" t="str">
        <f t="shared" si="440"/>
        <v/>
      </c>
    </row>
    <row r="400" spans="1:26" ht="13.5" hidden="1" thickBot="1" x14ac:dyDescent="0.25">
      <c r="A400" s="97" t="s">
        <v>165</v>
      </c>
      <c r="B400" s="1031" t="s">
        <v>165</v>
      </c>
      <c r="C400" s="978"/>
      <c r="D400" s="916" t="s">
        <v>271</v>
      </c>
      <c r="E400" s="917"/>
      <c r="F400" s="994">
        <v>0.2</v>
      </c>
      <c r="G400" s="997">
        <v>0.82969999999999999</v>
      </c>
      <c r="H400" s="979">
        <f>IF(F400=0,0,IF(F400&lt;=30,(0.7*F400+1.45)*G400,((0.7*30+1.45)+0.58*(F400-30))*G400))</f>
        <v>1.3192229999999998</v>
      </c>
      <c r="I400" s="592"/>
      <c r="J400" s="1030"/>
      <c r="K400" s="593">
        <f t="shared" si="433"/>
        <v>0</v>
      </c>
      <c r="L400" s="594" t="s">
        <v>783</v>
      </c>
      <c r="M400" s="1068"/>
      <c r="N400" s="1069"/>
      <c r="O400" s="1070">
        <f t="shared" si="434"/>
        <v>0</v>
      </c>
      <c r="P400" s="1071">
        <f t="shared" si="442"/>
        <v>0</v>
      </c>
      <c r="Q400" s="1038"/>
      <c r="R400" s="1068"/>
      <c r="S400" s="1069"/>
      <c r="T400" s="93">
        <f t="shared" si="436"/>
        <v>0</v>
      </c>
      <c r="U400" s="95">
        <f t="shared" si="437"/>
        <v>0</v>
      </c>
      <c r="V400" s="94"/>
      <c r="W400" s="579" t="str">
        <f>IF(U397&gt;0,"xx",IF(P397&gt;0,"xy",""))</f>
        <v/>
      </c>
      <c r="X400" s="580" t="str">
        <f t="shared" si="438"/>
        <v/>
      </c>
      <c r="Y400" s="580" t="str">
        <f t="shared" si="439"/>
        <v/>
      </c>
      <c r="Z400" s="580" t="str">
        <f t="shared" si="440"/>
        <v/>
      </c>
    </row>
    <row r="401" spans="1:26" ht="13.5" hidden="1" thickBot="1" x14ac:dyDescent="0.25">
      <c r="A401" s="97" t="s">
        <v>165</v>
      </c>
      <c r="B401" s="1031" t="s">
        <v>165</v>
      </c>
      <c r="C401" s="978"/>
      <c r="D401" s="916" t="s">
        <v>272</v>
      </c>
      <c r="E401" s="917"/>
      <c r="F401" s="994">
        <v>20</v>
      </c>
      <c r="G401" s="997">
        <f>SUM(G397:G400)</f>
        <v>1</v>
      </c>
      <c r="H401" s="979">
        <f>IF(F401&lt;=30,(0.7*F401+3.5)*G401,((0.7*30+3.5)+0.58*(F401-30))*G401)</f>
        <v>17.5</v>
      </c>
      <c r="I401" s="592"/>
      <c r="J401" s="1030"/>
      <c r="K401" s="593">
        <f t="shared" si="433"/>
        <v>0</v>
      </c>
      <c r="L401" s="594" t="s">
        <v>783</v>
      </c>
      <c r="M401" s="1068"/>
      <c r="N401" s="1069"/>
      <c r="O401" s="1070">
        <f t="shared" si="434"/>
        <v>0</v>
      </c>
      <c r="P401" s="1071">
        <f t="shared" si="442"/>
        <v>0</v>
      </c>
      <c r="Q401" s="1038"/>
      <c r="R401" s="1068"/>
      <c r="S401" s="1069"/>
      <c r="T401" s="93">
        <f t="shared" si="436"/>
        <v>0</v>
      </c>
      <c r="U401" s="95">
        <f t="shared" si="437"/>
        <v>0</v>
      </c>
      <c r="V401" s="94"/>
      <c r="W401" s="579" t="str">
        <f>IF(U397&gt;0,"xx",IF(P397&gt;0,"xy",""))</f>
        <v/>
      </c>
      <c r="X401" s="580" t="str">
        <f t="shared" si="438"/>
        <v/>
      </c>
      <c r="Y401" s="580" t="str">
        <f t="shared" si="439"/>
        <v/>
      </c>
      <c r="Z401" s="580" t="str">
        <f t="shared" si="440"/>
        <v/>
      </c>
    </row>
    <row r="402" spans="1:26" ht="13.5" hidden="1" thickBot="1" x14ac:dyDescent="0.25">
      <c r="A402" s="1008">
        <v>589000</v>
      </c>
      <c r="B402" s="1004" t="s">
        <v>2084</v>
      </c>
      <c r="C402" s="1048" t="s">
        <v>241</v>
      </c>
      <c r="D402" s="914" t="s">
        <v>846</v>
      </c>
      <c r="E402" s="919"/>
      <c r="F402" s="998">
        <v>500</v>
      </c>
      <c r="G402" s="999">
        <v>1</v>
      </c>
      <c r="H402" s="1000">
        <f>(0.58*F402+28.61)*G402</f>
        <v>318.61</v>
      </c>
      <c r="I402" s="654">
        <f>LIGANTES!$M$15</f>
        <v>4434.49</v>
      </c>
      <c r="J402" s="1051">
        <f>IF(ISBLANK(I402),"",I402*(1+$F$9)/(1+$F$10))+H402</f>
        <v>4631.771828937638</v>
      </c>
      <c r="K402" s="655">
        <f t="shared" si="433"/>
        <v>5637.33</v>
      </c>
      <c r="L402" s="656" t="s">
        <v>20</v>
      </c>
      <c r="M402" s="1052">
        <f>ROUND(M397*G397,2)</f>
        <v>0</v>
      </c>
      <c r="N402" s="1072"/>
      <c r="O402" s="1054">
        <f t="shared" si="434"/>
        <v>0</v>
      </c>
      <c r="P402" s="1055">
        <f t="shared" si="442"/>
        <v>0</v>
      </c>
      <c r="Q402" s="1038"/>
      <c r="R402" s="1056">
        <f>ROUND(R397*G397,2)</f>
        <v>0</v>
      </c>
      <c r="S402" s="1076">
        <f t="shared" si="381"/>
        <v>0</v>
      </c>
      <c r="T402" s="657">
        <f t="shared" si="436"/>
        <v>0</v>
      </c>
      <c r="U402" s="658">
        <f t="shared" si="437"/>
        <v>0</v>
      </c>
      <c r="V402" s="94"/>
      <c r="W402" s="579" t="str">
        <f>IF(U397&gt;0,"xx",IF(P397&gt;0,"xy",""))</f>
        <v/>
      </c>
      <c r="X402" s="580" t="str">
        <f t="shared" si="438"/>
        <v/>
      </c>
      <c r="Y402" s="580" t="str">
        <f t="shared" si="439"/>
        <v/>
      </c>
      <c r="Z402" s="580" t="str">
        <f t="shared" si="440"/>
        <v/>
      </c>
    </row>
    <row r="403" spans="1:26" ht="13.5" hidden="1" thickBot="1" x14ac:dyDescent="0.25">
      <c r="A403" s="1008">
        <v>570000</v>
      </c>
      <c r="B403" s="1064" t="s">
        <v>2010</v>
      </c>
      <c r="C403" s="1065" t="s">
        <v>212</v>
      </c>
      <c r="D403" s="327" t="s">
        <v>2011</v>
      </c>
      <c r="E403" s="915"/>
      <c r="F403" s="991" t="s">
        <v>851</v>
      </c>
      <c r="G403" s="992">
        <v>5.7000000000000002E-2</v>
      </c>
      <c r="H403" s="993">
        <f>SUM(H404:H407)</f>
        <v>33.016220000000004</v>
      </c>
      <c r="I403" s="648">
        <v>141.35</v>
      </c>
      <c r="J403" s="1041">
        <f t="shared" ref="J403" si="445">IF(ISBLANK(I403),"",SUM(H403:I403))</f>
        <v>174.36622</v>
      </c>
      <c r="K403" s="649">
        <f t="shared" si="433"/>
        <v>212.22</v>
      </c>
      <c r="L403" s="650" t="s">
        <v>20</v>
      </c>
      <c r="M403" s="1045"/>
      <c r="N403" s="1046"/>
      <c r="O403" s="1066">
        <f t="shared" si="434"/>
        <v>0</v>
      </c>
      <c r="P403" s="1067">
        <f t="shared" si="442"/>
        <v>0</v>
      </c>
      <c r="Q403" s="1038"/>
      <c r="R403" s="1045">
        <f t="shared" si="408"/>
        <v>0</v>
      </c>
      <c r="S403" s="1046">
        <f t="shared" si="381"/>
        <v>0</v>
      </c>
      <c r="T403" s="651">
        <f t="shared" ref="T403:T408" si="446">IF(ISBLANK(R403),0,ROUND(K403*R403,2))</f>
        <v>0</v>
      </c>
      <c r="U403" s="652">
        <f t="shared" ref="U403:U408" si="447">IF(ISBLANK(R403),0,ROUND(R403*S403,2))</f>
        <v>0</v>
      </c>
      <c r="V403" s="94"/>
      <c r="X403" s="580" t="str">
        <f t="shared" ref="X403:X408" si="448">IF(W403="X","x",IF(W403="xx","x",IF(W403="xy","x",IF(W403="y","x",IF(OR(P403&gt;0,U403&gt;0),"x","")))))</f>
        <v/>
      </c>
      <c r="Y403" s="580" t="str">
        <f t="shared" ref="Y403:Y408" si="449">IF(W403="X","x",IF(W403="y","x",IF(W403="xx","x",IF(U403&gt;0,"x",""))))</f>
        <v/>
      </c>
      <c r="Z403" s="580" t="str">
        <f t="shared" ref="Z403:Z408" si="450">IF(W403="X","x",IF(U403&gt;0,"x",""))</f>
        <v/>
      </c>
    </row>
    <row r="404" spans="1:26" ht="13.5" hidden="1" thickBot="1" x14ac:dyDescent="0.25">
      <c r="A404" s="97" t="s">
        <v>165</v>
      </c>
      <c r="B404" s="1031" t="s">
        <v>165</v>
      </c>
      <c r="C404" s="978"/>
      <c r="D404" s="916" t="s">
        <v>257</v>
      </c>
      <c r="E404" s="917"/>
      <c r="F404" s="994">
        <v>180</v>
      </c>
      <c r="G404" s="997">
        <v>0.1</v>
      </c>
      <c r="H404" s="996">
        <f t="shared" ref="H404" si="451">IF(F404&lt;=30,(0.7*F404+1.45)*G404,((0.7*30+1.45)+0.58*(F404-30))*G404)</f>
        <v>10.945</v>
      </c>
      <c r="I404" s="592"/>
      <c r="J404" s="1030"/>
      <c r="K404" s="593">
        <f t="shared" si="433"/>
        <v>0</v>
      </c>
      <c r="L404" s="594" t="s">
        <v>783</v>
      </c>
      <c r="M404" s="1068"/>
      <c r="N404" s="1069"/>
      <c r="O404" s="1070">
        <f t="shared" si="434"/>
        <v>0</v>
      </c>
      <c r="P404" s="1071">
        <f t="shared" si="442"/>
        <v>0</v>
      </c>
      <c r="Q404" s="1038"/>
      <c r="R404" s="1068"/>
      <c r="S404" s="1069"/>
      <c r="T404" s="93">
        <f t="shared" si="446"/>
        <v>0</v>
      </c>
      <c r="U404" s="95">
        <f t="shared" si="447"/>
        <v>0</v>
      </c>
      <c r="V404" s="94"/>
      <c r="W404" s="579" t="str">
        <f>IF(U403&gt;0,"xx",IF(P403&gt;0,"xy",""))</f>
        <v/>
      </c>
      <c r="X404" s="580" t="str">
        <f t="shared" si="448"/>
        <v/>
      </c>
      <c r="Y404" s="580" t="str">
        <f t="shared" si="449"/>
        <v/>
      </c>
      <c r="Z404" s="580" t="str">
        <f t="shared" si="450"/>
        <v/>
      </c>
    </row>
    <row r="405" spans="1:26" ht="13.5" hidden="1" thickBot="1" x14ac:dyDescent="0.25">
      <c r="A405" s="97" t="s">
        <v>165</v>
      </c>
      <c r="B405" s="1031" t="s">
        <v>165</v>
      </c>
      <c r="C405" s="978"/>
      <c r="D405" s="916" t="s">
        <v>258</v>
      </c>
      <c r="E405" s="917"/>
      <c r="F405" s="994">
        <v>500</v>
      </c>
      <c r="G405" s="997">
        <v>1.4999999999999999E-2</v>
      </c>
      <c r="H405" s="979">
        <f>IF(F405&lt;=30,(0.51*F405+4.28)*G405,((0.51*30+4.28)+0.42*(F405-30))*G405)</f>
        <v>3.2547000000000001</v>
      </c>
      <c r="I405" s="592"/>
      <c r="J405" s="1030"/>
      <c r="K405" s="593">
        <f t="shared" si="433"/>
        <v>0</v>
      </c>
      <c r="L405" s="594" t="s">
        <v>783</v>
      </c>
      <c r="M405" s="1068"/>
      <c r="N405" s="1069"/>
      <c r="O405" s="1070">
        <f t="shared" si="434"/>
        <v>0</v>
      </c>
      <c r="P405" s="1071">
        <f t="shared" si="442"/>
        <v>0</v>
      </c>
      <c r="Q405" s="1038"/>
      <c r="R405" s="1068"/>
      <c r="S405" s="1069"/>
      <c r="T405" s="93">
        <f t="shared" si="446"/>
        <v>0</v>
      </c>
      <c r="U405" s="95">
        <f t="shared" si="447"/>
        <v>0</v>
      </c>
      <c r="V405" s="94"/>
      <c r="W405" s="579" t="str">
        <f>IF(U403&gt;0,"xx",IF(P403&gt;0,"xy",""))</f>
        <v/>
      </c>
      <c r="X405" s="580" t="str">
        <f t="shared" si="448"/>
        <v/>
      </c>
      <c r="Y405" s="580" t="str">
        <f t="shared" si="449"/>
        <v/>
      </c>
      <c r="Z405" s="580" t="str">
        <f t="shared" si="450"/>
        <v/>
      </c>
    </row>
    <row r="406" spans="1:26" ht="13.5" hidden="1" thickBot="1" x14ac:dyDescent="0.25">
      <c r="A406" s="97" t="s">
        <v>165</v>
      </c>
      <c r="B406" s="1031" t="s">
        <v>165</v>
      </c>
      <c r="C406" s="978"/>
      <c r="D406" s="916" t="s">
        <v>271</v>
      </c>
      <c r="E406" s="917"/>
      <c r="F406" s="994">
        <v>0.2</v>
      </c>
      <c r="G406" s="997">
        <v>0.82799999999999996</v>
      </c>
      <c r="H406" s="979">
        <f>IF(F406=0,0,IF(F406&lt;=30,(0.7*F406+1.45)*G406,((0.7*30+1.45)+0.58*(F406-30))*G406))</f>
        <v>1.3165199999999999</v>
      </c>
      <c r="I406" s="592"/>
      <c r="J406" s="1030"/>
      <c r="K406" s="593">
        <f t="shared" si="433"/>
        <v>0</v>
      </c>
      <c r="L406" s="594" t="s">
        <v>783</v>
      </c>
      <c r="M406" s="1068"/>
      <c r="N406" s="1069"/>
      <c r="O406" s="1070">
        <f t="shared" si="434"/>
        <v>0</v>
      </c>
      <c r="P406" s="1071">
        <f t="shared" si="442"/>
        <v>0</v>
      </c>
      <c r="Q406" s="1038"/>
      <c r="R406" s="1068"/>
      <c r="S406" s="1069"/>
      <c r="T406" s="93">
        <f t="shared" si="446"/>
        <v>0</v>
      </c>
      <c r="U406" s="95">
        <f t="shared" si="447"/>
        <v>0</v>
      </c>
      <c r="V406" s="94"/>
      <c r="W406" s="579" t="str">
        <f>IF(U403&gt;0,"xx",IF(P403&gt;0,"xy",""))</f>
        <v/>
      </c>
      <c r="X406" s="580" t="str">
        <f t="shared" si="448"/>
        <v/>
      </c>
      <c r="Y406" s="580" t="str">
        <f t="shared" si="449"/>
        <v/>
      </c>
      <c r="Z406" s="580" t="str">
        <f t="shared" si="450"/>
        <v/>
      </c>
    </row>
    <row r="407" spans="1:26" ht="13.5" hidden="1" thickBot="1" x14ac:dyDescent="0.25">
      <c r="A407" s="97" t="s">
        <v>165</v>
      </c>
      <c r="B407" s="1031" t="s">
        <v>165</v>
      </c>
      <c r="C407" s="978"/>
      <c r="D407" s="916" t="s">
        <v>272</v>
      </c>
      <c r="E407" s="917"/>
      <c r="F407" s="994">
        <v>20</v>
      </c>
      <c r="G407" s="997">
        <f>SUM(G403:G406)</f>
        <v>1</v>
      </c>
      <c r="H407" s="979">
        <f>IF(F407&lt;=30,(0.7*F407+3.5)*G407,((0.7*30+3.5)+0.58*(F407-30))*G407)</f>
        <v>17.5</v>
      </c>
      <c r="I407" s="592"/>
      <c r="J407" s="1030"/>
      <c r="K407" s="593">
        <f t="shared" si="433"/>
        <v>0</v>
      </c>
      <c r="L407" s="594" t="s">
        <v>783</v>
      </c>
      <c r="M407" s="1068"/>
      <c r="N407" s="1069"/>
      <c r="O407" s="1070">
        <f t="shared" si="434"/>
        <v>0</v>
      </c>
      <c r="P407" s="1071">
        <f t="shared" si="442"/>
        <v>0</v>
      </c>
      <c r="Q407" s="1038"/>
      <c r="R407" s="1068"/>
      <c r="S407" s="1069"/>
      <c r="T407" s="93">
        <f t="shared" si="446"/>
        <v>0</v>
      </c>
      <c r="U407" s="95">
        <f t="shared" si="447"/>
        <v>0</v>
      </c>
      <c r="V407" s="94"/>
      <c r="W407" s="579" t="str">
        <f>IF(U403&gt;0,"xx",IF(P403&gt;0,"xy",""))</f>
        <v/>
      </c>
      <c r="X407" s="580" t="str">
        <f t="shared" si="448"/>
        <v/>
      </c>
      <c r="Y407" s="580" t="str">
        <f t="shared" si="449"/>
        <v/>
      </c>
      <c r="Z407" s="580" t="str">
        <f t="shared" si="450"/>
        <v/>
      </c>
    </row>
    <row r="408" spans="1:26" ht="13.5" hidden="1" thickBot="1" x14ac:dyDescent="0.25">
      <c r="A408" s="1008">
        <v>589000</v>
      </c>
      <c r="B408" s="1004" t="s">
        <v>2085</v>
      </c>
      <c r="C408" s="1048" t="s">
        <v>241</v>
      </c>
      <c r="D408" s="914" t="s">
        <v>846</v>
      </c>
      <c r="E408" s="919"/>
      <c r="F408" s="998">
        <v>500</v>
      </c>
      <c r="G408" s="999">
        <v>1</v>
      </c>
      <c r="H408" s="1000">
        <f>(0.58*F408+28.61)*G408</f>
        <v>318.61</v>
      </c>
      <c r="I408" s="654">
        <f>LIGANTES!$M$15</f>
        <v>4434.49</v>
      </c>
      <c r="J408" s="1051">
        <f>IF(ISBLANK(I408),"",I408*(1+$F$9)/(1+$F$10))+H408</f>
        <v>4631.771828937638</v>
      </c>
      <c r="K408" s="655">
        <f t="shared" si="433"/>
        <v>5637.33</v>
      </c>
      <c r="L408" s="656" t="s">
        <v>20</v>
      </c>
      <c r="M408" s="1052">
        <f>ROUND(M403*G403,2)</f>
        <v>0</v>
      </c>
      <c r="N408" s="1072"/>
      <c r="O408" s="1054">
        <f t="shared" si="434"/>
        <v>0</v>
      </c>
      <c r="P408" s="1055">
        <f t="shared" si="442"/>
        <v>0</v>
      </c>
      <c r="Q408" s="1038"/>
      <c r="R408" s="1056">
        <f>ROUND(R403*G403,2)</f>
        <v>0</v>
      </c>
      <c r="S408" s="1076">
        <f t="shared" si="381"/>
        <v>0</v>
      </c>
      <c r="T408" s="657">
        <f t="shared" si="446"/>
        <v>0</v>
      </c>
      <c r="U408" s="658">
        <f t="shared" si="447"/>
        <v>0</v>
      </c>
      <c r="V408" s="94"/>
      <c r="W408" s="579" t="str">
        <f>IF(U403&gt;0,"xx",IF(P403&gt;0,"xy",""))</f>
        <v/>
      </c>
      <c r="X408" s="580" t="str">
        <f t="shared" si="448"/>
        <v/>
      </c>
      <c r="Y408" s="580" t="str">
        <f t="shared" si="449"/>
        <v/>
      </c>
      <c r="Z408" s="580" t="str">
        <f t="shared" si="450"/>
        <v/>
      </c>
    </row>
    <row r="409" spans="1:26" ht="13.5" hidden="1" thickBot="1" x14ac:dyDescent="0.25">
      <c r="A409" s="1008">
        <v>570400</v>
      </c>
      <c r="B409" s="1064" t="s">
        <v>2012</v>
      </c>
      <c r="C409" s="1065" t="s">
        <v>212</v>
      </c>
      <c r="D409" s="327" t="s">
        <v>2013</v>
      </c>
      <c r="E409" s="915"/>
      <c r="F409" s="991" t="s">
        <v>851</v>
      </c>
      <c r="G409" s="992">
        <v>0.05</v>
      </c>
      <c r="H409" s="993">
        <f>SUM(H410:H413)</f>
        <v>33.14593</v>
      </c>
      <c r="I409" s="648">
        <v>127</v>
      </c>
      <c r="J409" s="1041">
        <f t="shared" ref="J409:J433" si="452">IF(ISBLANK(I409),"",SUM(H409:I409))</f>
        <v>160.14592999999999</v>
      </c>
      <c r="K409" s="649">
        <f t="shared" si="433"/>
        <v>194.91</v>
      </c>
      <c r="L409" s="650" t="s">
        <v>20</v>
      </c>
      <c r="M409" s="1045"/>
      <c r="N409" s="1046"/>
      <c r="O409" s="1066">
        <f t="shared" si="434"/>
        <v>0</v>
      </c>
      <c r="P409" s="1067">
        <f t="shared" si="442"/>
        <v>0</v>
      </c>
      <c r="Q409" s="1038"/>
      <c r="R409" s="1045">
        <f t="shared" si="408"/>
        <v>0</v>
      </c>
      <c r="S409" s="1046">
        <f t="shared" si="381"/>
        <v>0</v>
      </c>
      <c r="T409" s="651">
        <f t="shared" ref="T409:T494" si="453">IF(ISBLANK(R409),0,ROUND(K409*R409,2))</f>
        <v>0</v>
      </c>
      <c r="U409" s="652">
        <f t="shared" si="427"/>
        <v>0</v>
      </c>
      <c r="V409" s="94"/>
      <c r="X409" s="580" t="str">
        <f t="shared" si="254"/>
        <v/>
      </c>
      <c r="Y409" s="580" t="str">
        <f t="shared" ref="Y409:Y484" si="454">IF(W409="X","x",IF(W409="y","x",IF(W409="xx","x",IF(U409&gt;0,"x",""))))</f>
        <v/>
      </c>
      <c r="Z409" s="580" t="str">
        <f t="shared" si="240"/>
        <v/>
      </c>
    </row>
    <row r="410" spans="1:26" ht="13.5" hidden="1" thickBot="1" x14ac:dyDescent="0.25">
      <c r="A410" s="97" t="s">
        <v>165</v>
      </c>
      <c r="B410" s="1031" t="s">
        <v>165</v>
      </c>
      <c r="C410" s="978"/>
      <c r="D410" s="916" t="s">
        <v>257</v>
      </c>
      <c r="E410" s="917"/>
      <c r="F410" s="994">
        <v>180</v>
      </c>
      <c r="G410" s="997">
        <v>0.1007</v>
      </c>
      <c r="H410" s="996">
        <f t="shared" ref="H410" si="455">IF(F410&lt;=30,(0.7*F410+1.45)*G410,((0.7*30+1.45)+0.58*(F410-30))*G410)</f>
        <v>11.021615000000001</v>
      </c>
      <c r="I410" s="592"/>
      <c r="J410" s="1030"/>
      <c r="K410" s="593">
        <f t="shared" si="433"/>
        <v>0</v>
      </c>
      <c r="L410" s="594" t="s">
        <v>783</v>
      </c>
      <c r="M410" s="1068"/>
      <c r="N410" s="1069"/>
      <c r="O410" s="1070">
        <f t="shared" si="434"/>
        <v>0</v>
      </c>
      <c r="P410" s="1071">
        <f t="shared" si="442"/>
        <v>0</v>
      </c>
      <c r="Q410" s="1038"/>
      <c r="R410" s="1068"/>
      <c r="S410" s="1069"/>
      <c r="T410" s="93">
        <f t="shared" ref="T410:T413" si="456">IF(ISBLANK(R410),0,ROUND(K410*R410,2))</f>
        <v>0</v>
      </c>
      <c r="U410" s="95">
        <f t="shared" ref="U410:U413" si="457">IF(ISBLANK(R410),0,ROUND(R410*S410,2))</f>
        <v>0</v>
      </c>
      <c r="V410" s="94"/>
      <c r="W410" s="579" t="str">
        <f>IF(U409&gt;0,"xx",IF(P409&gt;0,"xy",""))</f>
        <v/>
      </c>
      <c r="X410" s="580" t="str">
        <f t="shared" ref="X410:X413" si="458">IF(W410="X","x",IF(W410="xx","x",IF(W410="xy","x",IF(W410="y","x",IF(OR(P410&gt;0,U410&gt;0),"x","")))))</f>
        <v/>
      </c>
      <c r="Y410" s="580" t="str">
        <f t="shared" ref="Y410:Y413" si="459">IF(W410="X","x",IF(W410="y","x",IF(W410="xx","x",IF(U410&gt;0,"x",""))))</f>
        <v/>
      </c>
      <c r="Z410" s="580" t="str">
        <f t="shared" ref="Z410:Z413" si="460">IF(W410="X","x",IF(U410&gt;0,"x",""))</f>
        <v/>
      </c>
    </row>
    <row r="411" spans="1:26" ht="13.5" hidden="1" thickBot="1" x14ac:dyDescent="0.25">
      <c r="A411" s="97" t="s">
        <v>165</v>
      </c>
      <c r="B411" s="1031" t="s">
        <v>165</v>
      </c>
      <c r="C411" s="978"/>
      <c r="D411" s="916" t="s">
        <v>258</v>
      </c>
      <c r="E411" s="917"/>
      <c r="F411" s="994">
        <v>500</v>
      </c>
      <c r="G411" s="997">
        <v>1.52E-2</v>
      </c>
      <c r="H411" s="979">
        <f>IF(F411&lt;=30,(0.51*F411+4.28)*G411,((0.51*30+4.28)+0.42*(F411-30))*G411)</f>
        <v>3.2980960000000001</v>
      </c>
      <c r="I411" s="592"/>
      <c r="J411" s="1030"/>
      <c r="K411" s="593">
        <f t="shared" si="433"/>
        <v>0</v>
      </c>
      <c r="L411" s="594" t="s">
        <v>783</v>
      </c>
      <c r="M411" s="1068"/>
      <c r="N411" s="1069"/>
      <c r="O411" s="1070">
        <f t="shared" si="434"/>
        <v>0</v>
      </c>
      <c r="P411" s="1071">
        <f t="shared" si="442"/>
        <v>0</v>
      </c>
      <c r="Q411" s="1038"/>
      <c r="R411" s="1068"/>
      <c r="S411" s="1069"/>
      <c r="T411" s="93">
        <f t="shared" si="456"/>
        <v>0</v>
      </c>
      <c r="U411" s="95">
        <f t="shared" si="457"/>
        <v>0</v>
      </c>
      <c r="V411" s="94"/>
      <c r="W411" s="579" t="str">
        <f>IF(U409&gt;0,"xx",IF(P409&gt;0,"xy",""))</f>
        <v/>
      </c>
      <c r="X411" s="580" t="str">
        <f t="shared" si="458"/>
        <v/>
      </c>
      <c r="Y411" s="580" t="str">
        <f t="shared" si="459"/>
        <v/>
      </c>
      <c r="Z411" s="580" t="str">
        <f t="shared" si="460"/>
        <v/>
      </c>
    </row>
    <row r="412" spans="1:26" ht="13.5" hidden="1" thickBot="1" x14ac:dyDescent="0.25">
      <c r="A412" s="97" t="s">
        <v>165</v>
      </c>
      <c r="B412" s="1031" t="s">
        <v>165</v>
      </c>
      <c r="C412" s="978"/>
      <c r="D412" s="916" t="s">
        <v>271</v>
      </c>
      <c r="E412" s="917"/>
      <c r="F412" s="994">
        <v>0.2</v>
      </c>
      <c r="G412" s="997">
        <v>0.83409999999999995</v>
      </c>
      <c r="H412" s="979">
        <f>IF(F412=0,0,IF(F412&lt;=30,(0.7*F412+1.45)*G412,((0.7*30+1.45)+0.58*(F412-30))*G412))</f>
        <v>1.3262189999999998</v>
      </c>
      <c r="I412" s="592"/>
      <c r="J412" s="1030"/>
      <c r="K412" s="593">
        <f t="shared" si="433"/>
        <v>0</v>
      </c>
      <c r="L412" s="594" t="s">
        <v>783</v>
      </c>
      <c r="M412" s="1068"/>
      <c r="N412" s="1069"/>
      <c r="O412" s="1070">
        <f t="shared" si="434"/>
        <v>0</v>
      </c>
      <c r="P412" s="1071">
        <f t="shared" si="442"/>
        <v>0</v>
      </c>
      <c r="Q412" s="1038"/>
      <c r="R412" s="1068"/>
      <c r="S412" s="1069"/>
      <c r="T412" s="93">
        <f t="shared" si="456"/>
        <v>0</v>
      </c>
      <c r="U412" s="95">
        <f t="shared" si="457"/>
        <v>0</v>
      </c>
      <c r="V412" s="94"/>
      <c r="W412" s="579" t="str">
        <f>IF(U409&gt;0,"xx",IF(P409&gt;0,"xy",""))</f>
        <v/>
      </c>
      <c r="X412" s="580" t="str">
        <f t="shared" si="458"/>
        <v/>
      </c>
      <c r="Y412" s="580" t="str">
        <f t="shared" si="459"/>
        <v/>
      </c>
      <c r="Z412" s="580" t="str">
        <f t="shared" si="460"/>
        <v/>
      </c>
    </row>
    <row r="413" spans="1:26" ht="13.5" hidden="1" thickBot="1" x14ac:dyDescent="0.25">
      <c r="A413" s="97" t="s">
        <v>165</v>
      </c>
      <c r="B413" s="1031" t="s">
        <v>165</v>
      </c>
      <c r="C413" s="978"/>
      <c r="D413" s="916" t="s">
        <v>272</v>
      </c>
      <c r="E413" s="917"/>
      <c r="F413" s="994">
        <v>20</v>
      </c>
      <c r="G413" s="997">
        <f>SUM(G409:G412)</f>
        <v>1</v>
      </c>
      <c r="H413" s="979">
        <f>IF(F413&lt;=30,(0.7*F413+3.5)*G413,((0.7*30+3.5)+0.58*(F413-30))*G413)</f>
        <v>17.5</v>
      </c>
      <c r="I413" s="592"/>
      <c r="J413" s="1030"/>
      <c r="K413" s="593">
        <f t="shared" si="433"/>
        <v>0</v>
      </c>
      <c r="L413" s="594" t="s">
        <v>783</v>
      </c>
      <c r="M413" s="1068"/>
      <c r="N413" s="1069"/>
      <c r="O413" s="1070">
        <f t="shared" si="434"/>
        <v>0</v>
      </c>
      <c r="P413" s="1071">
        <f t="shared" si="442"/>
        <v>0</v>
      </c>
      <c r="Q413" s="1038"/>
      <c r="R413" s="1068"/>
      <c r="S413" s="1069"/>
      <c r="T413" s="93">
        <f t="shared" si="456"/>
        <v>0</v>
      </c>
      <c r="U413" s="95">
        <f t="shared" si="457"/>
        <v>0</v>
      </c>
      <c r="V413" s="94"/>
      <c r="W413" s="579" t="str">
        <f>IF(U409&gt;0,"xx",IF(P409&gt;0,"xy",""))</f>
        <v/>
      </c>
      <c r="X413" s="580" t="str">
        <f t="shared" si="458"/>
        <v/>
      </c>
      <c r="Y413" s="580" t="str">
        <f t="shared" si="459"/>
        <v/>
      </c>
      <c r="Z413" s="580" t="str">
        <f t="shared" si="460"/>
        <v/>
      </c>
    </row>
    <row r="414" spans="1:26" ht="13.5" hidden="1" thickBot="1" x14ac:dyDescent="0.25">
      <c r="A414" s="1008">
        <v>589000</v>
      </c>
      <c r="B414" s="1004" t="s">
        <v>2086</v>
      </c>
      <c r="C414" s="1048" t="s">
        <v>241</v>
      </c>
      <c r="D414" s="914" t="s">
        <v>847</v>
      </c>
      <c r="E414" s="919"/>
      <c r="F414" s="998">
        <v>500</v>
      </c>
      <c r="G414" s="999">
        <v>1</v>
      </c>
      <c r="H414" s="1000">
        <f>(0.58*F414+28.61)*G414</f>
        <v>318.61</v>
      </c>
      <c r="I414" s="654">
        <f>LIGANTES!$M$15</f>
        <v>4434.49</v>
      </c>
      <c r="J414" s="1051">
        <f>IF(ISBLANK(I414),"",I414*(1+$F$9)/(1+$F$10))+H414</f>
        <v>4631.771828937638</v>
      </c>
      <c r="K414" s="655">
        <f t="shared" si="433"/>
        <v>5637.33</v>
      </c>
      <c r="L414" s="656" t="s">
        <v>20</v>
      </c>
      <c r="M414" s="1052">
        <f>ROUND(M409*G409,2)</f>
        <v>0</v>
      </c>
      <c r="N414" s="1072"/>
      <c r="O414" s="1054">
        <f t="shared" si="434"/>
        <v>0</v>
      </c>
      <c r="P414" s="1055">
        <f t="shared" si="442"/>
        <v>0</v>
      </c>
      <c r="Q414" s="1038"/>
      <c r="R414" s="1056">
        <f>ROUND(R409*G409,2)</f>
        <v>0</v>
      </c>
      <c r="S414" s="1076">
        <f t="shared" ref="S414:S440" si="461">N414</f>
        <v>0</v>
      </c>
      <c r="T414" s="657">
        <f t="shared" si="453"/>
        <v>0</v>
      </c>
      <c r="U414" s="658">
        <f t="shared" si="427"/>
        <v>0</v>
      </c>
      <c r="V414" s="94"/>
      <c r="W414" s="579" t="str">
        <f>IF(U409&gt;0,"xx",IF(P409&gt;0,"xy",""))</f>
        <v/>
      </c>
      <c r="X414" s="580" t="str">
        <f t="shared" si="254"/>
        <v/>
      </c>
      <c r="Y414" s="580" t="str">
        <f t="shared" si="454"/>
        <v/>
      </c>
      <c r="Z414" s="580" t="str">
        <f t="shared" si="240"/>
        <v/>
      </c>
    </row>
    <row r="415" spans="1:26" ht="13.5" hidden="1" thickBot="1" x14ac:dyDescent="0.25">
      <c r="A415" s="1008">
        <v>570400</v>
      </c>
      <c r="B415" s="1064" t="s">
        <v>2014</v>
      </c>
      <c r="C415" s="1065" t="s">
        <v>212</v>
      </c>
      <c r="D415" s="327" t="s">
        <v>2015</v>
      </c>
      <c r="E415" s="915"/>
      <c r="F415" s="991" t="s">
        <v>851</v>
      </c>
      <c r="G415" s="992">
        <v>5.5E-2</v>
      </c>
      <c r="H415" s="993">
        <f>SUM(H416:H419)</f>
        <v>33.062511000000001</v>
      </c>
      <c r="I415" s="648">
        <v>127</v>
      </c>
      <c r="J415" s="1041">
        <f t="shared" si="452"/>
        <v>160.062511</v>
      </c>
      <c r="K415" s="649">
        <f t="shared" si="433"/>
        <v>194.81</v>
      </c>
      <c r="L415" s="650" t="s">
        <v>20</v>
      </c>
      <c r="M415" s="1045"/>
      <c r="N415" s="1046"/>
      <c r="O415" s="1066">
        <f t="shared" si="434"/>
        <v>0</v>
      </c>
      <c r="P415" s="1067">
        <f t="shared" si="442"/>
        <v>0</v>
      </c>
      <c r="Q415" s="1038"/>
      <c r="R415" s="1045">
        <f t="shared" si="408"/>
        <v>0</v>
      </c>
      <c r="S415" s="1046">
        <f t="shared" si="461"/>
        <v>0</v>
      </c>
      <c r="T415" s="651">
        <f t="shared" si="453"/>
        <v>0</v>
      </c>
      <c r="U415" s="652">
        <f t="shared" si="427"/>
        <v>0</v>
      </c>
      <c r="V415" s="94"/>
      <c r="X415" s="580" t="str">
        <f t="shared" si="254"/>
        <v/>
      </c>
      <c r="Y415" s="580" t="str">
        <f t="shared" si="454"/>
        <v/>
      </c>
      <c r="Z415" s="580" t="str">
        <f t="shared" si="240"/>
        <v/>
      </c>
    </row>
    <row r="416" spans="1:26" ht="13.5" hidden="1" thickBot="1" x14ac:dyDescent="0.25">
      <c r="A416" s="97" t="s">
        <v>165</v>
      </c>
      <c r="B416" s="1031" t="s">
        <v>165</v>
      </c>
      <c r="C416" s="978"/>
      <c r="D416" s="916" t="s">
        <v>257</v>
      </c>
      <c r="E416" s="917"/>
      <c r="F416" s="994">
        <v>180</v>
      </c>
      <c r="G416" s="997">
        <v>0.1002</v>
      </c>
      <c r="H416" s="996">
        <f t="shared" ref="H416" si="462">IF(F416&lt;=30,(0.7*F416+1.45)*G416,((0.7*30+1.45)+0.58*(F416-30))*G416)</f>
        <v>10.966889999999999</v>
      </c>
      <c r="I416" s="592"/>
      <c r="J416" s="1030"/>
      <c r="K416" s="593">
        <f t="shared" si="433"/>
        <v>0</v>
      </c>
      <c r="L416" s="594" t="s">
        <v>783</v>
      </c>
      <c r="M416" s="1068"/>
      <c r="N416" s="1069"/>
      <c r="O416" s="1070">
        <f t="shared" si="434"/>
        <v>0</v>
      </c>
      <c r="P416" s="1071">
        <f t="shared" si="442"/>
        <v>0</v>
      </c>
      <c r="Q416" s="1038"/>
      <c r="R416" s="1068"/>
      <c r="S416" s="1069"/>
      <c r="T416" s="93">
        <f t="shared" si="453"/>
        <v>0</v>
      </c>
      <c r="U416" s="95">
        <f t="shared" si="427"/>
        <v>0</v>
      </c>
      <c r="V416" s="94"/>
      <c r="W416" s="579" t="str">
        <f>IF(U415&gt;0,"xx",IF(P415&gt;0,"xy",""))</f>
        <v/>
      </c>
      <c r="X416" s="580" t="str">
        <f t="shared" si="254"/>
        <v/>
      </c>
      <c r="Y416" s="580" t="str">
        <f t="shared" si="454"/>
        <v/>
      </c>
      <c r="Z416" s="580" t="str">
        <f t="shared" si="240"/>
        <v/>
      </c>
    </row>
    <row r="417" spans="1:26" ht="13.5" hidden="1" thickBot="1" x14ac:dyDescent="0.25">
      <c r="A417" s="97" t="s">
        <v>165</v>
      </c>
      <c r="B417" s="1031" t="s">
        <v>165</v>
      </c>
      <c r="C417" s="978"/>
      <c r="D417" s="916" t="s">
        <v>258</v>
      </c>
      <c r="E417" s="917"/>
      <c r="F417" s="994">
        <v>500</v>
      </c>
      <c r="G417" s="997">
        <v>1.5100000000000001E-2</v>
      </c>
      <c r="H417" s="979">
        <f>IF(F417&lt;=30,(0.51*F417+4.28)*G417,((0.51*30+4.28)+0.42*(F417-30))*G417)</f>
        <v>3.2763980000000004</v>
      </c>
      <c r="I417" s="592"/>
      <c r="J417" s="1030"/>
      <c r="K417" s="593">
        <f t="shared" si="433"/>
        <v>0</v>
      </c>
      <c r="L417" s="594" t="s">
        <v>783</v>
      </c>
      <c r="M417" s="1068"/>
      <c r="N417" s="1069"/>
      <c r="O417" s="1070">
        <f t="shared" si="434"/>
        <v>0</v>
      </c>
      <c r="P417" s="1071">
        <f t="shared" si="442"/>
        <v>0</v>
      </c>
      <c r="Q417" s="1038"/>
      <c r="R417" s="1068"/>
      <c r="S417" s="1069"/>
      <c r="T417" s="93">
        <f t="shared" si="453"/>
        <v>0</v>
      </c>
      <c r="U417" s="95">
        <f t="shared" si="427"/>
        <v>0</v>
      </c>
      <c r="V417" s="94"/>
      <c r="W417" s="579" t="str">
        <f>IF(U415&gt;0,"xx",IF(P415&gt;0,"xy",""))</f>
        <v/>
      </c>
      <c r="X417" s="580" t="str">
        <f t="shared" si="254"/>
        <v/>
      </c>
      <c r="Y417" s="580" t="str">
        <f t="shared" si="454"/>
        <v/>
      </c>
      <c r="Z417" s="580" t="str">
        <f t="shared" si="240"/>
        <v/>
      </c>
    </row>
    <row r="418" spans="1:26" ht="13.5" hidden="1" thickBot="1" x14ac:dyDescent="0.25">
      <c r="A418" s="97" t="s">
        <v>165</v>
      </c>
      <c r="B418" s="1031" t="s">
        <v>165</v>
      </c>
      <c r="C418" s="978"/>
      <c r="D418" s="916" t="s">
        <v>271</v>
      </c>
      <c r="E418" s="917"/>
      <c r="F418" s="994">
        <v>0.2</v>
      </c>
      <c r="G418" s="997">
        <v>0.82969999999999999</v>
      </c>
      <c r="H418" s="979">
        <f>IF(F418=0,0,IF(F418&lt;=30,(0.7*F418+1.45)*G418,((0.7*30+1.45)+0.58*(F418-30))*G418))</f>
        <v>1.3192229999999998</v>
      </c>
      <c r="I418" s="592"/>
      <c r="J418" s="1030"/>
      <c r="K418" s="593">
        <f t="shared" si="433"/>
        <v>0</v>
      </c>
      <c r="L418" s="594" t="s">
        <v>783</v>
      </c>
      <c r="M418" s="1068"/>
      <c r="N418" s="1069"/>
      <c r="O418" s="1070">
        <f t="shared" si="434"/>
        <v>0</v>
      </c>
      <c r="P418" s="1071">
        <f t="shared" si="442"/>
        <v>0</v>
      </c>
      <c r="Q418" s="1038"/>
      <c r="R418" s="1068"/>
      <c r="S418" s="1069"/>
      <c r="T418" s="93">
        <f t="shared" si="453"/>
        <v>0</v>
      </c>
      <c r="U418" s="95">
        <f t="shared" si="427"/>
        <v>0</v>
      </c>
      <c r="V418" s="94"/>
      <c r="W418" s="579" t="str">
        <f>IF(U415&gt;0,"xx",IF(P415&gt;0,"xy",""))</f>
        <v/>
      </c>
      <c r="X418" s="580" t="str">
        <f t="shared" si="254"/>
        <v/>
      </c>
      <c r="Y418" s="580" t="str">
        <f t="shared" si="454"/>
        <v/>
      </c>
      <c r="Z418" s="580" t="str">
        <f t="shared" si="240"/>
        <v/>
      </c>
    </row>
    <row r="419" spans="1:26" ht="13.5" hidden="1" thickBot="1" x14ac:dyDescent="0.25">
      <c r="A419" s="97" t="s">
        <v>165</v>
      </c>
      <c r="B419" s="1031" t="s">
        <v>165</v>
      </c>
      <c r="C419" s="978"/>
      <c r="D419" s="916" t="s">
        <v>272</v>
      </c>
      <c r="E419" s="917"/>
      <c r="F419" s="994">
        <v>20</v>
      </c>
      <c r="G419" s="997">
        <f>SUM(G415:G418)</f>
        <v>1</v>
      </c>
      <c r="H419" s="979">
        <f>IF(F419&lt;=30,(0.7*F419+3.5)*G419,((0.7*30+3.5)+0.58*(F419-30))*G419)</f>
        <v>17.5</v>
      </c>
      <c r="I419" s="592"/>
      <c r="J419" s="1030"/>
      <c r="K419" s="593">
        <f t="shared" ref="K419:K440" si="463">IF(ISBLANK(I419),0,ROUND(J419*(1+$F$10)*(1+$F$11*E419),2))</f>
        <v>0</v>
      </c>
      <c r="L419" s="594" t="s">
        <v>783</v>
      </c>
      <c r="M419" s="1068"/>
      <c r="N419" s="1069"/>
      <c r="O419" s="1070">
        <f t="shared" si="434"/>
        <v>0</v>
      </c>
      <c r="P419" s="1071">
        <f t="shared" si="442"/>
        <v>0</v>
      </c>
      <c r="Q419" s="1038"/>
      <c r="R419" s="1068"/>
      <c r="S419" s="1069"/>
      <c r="T419" s="93">
        <f t="shared" si="453"/>
        <v>0</v>
      </c>
      <c r="U419" s="95">
        <f t="shared" si="427"/>
        <v>0</v>
      </c>
      <c r="V419" s="94"/>
      <c r="W419" s="579" t="str">
        <f>IF(U415&gt;0,"xx",IF(P415&gt;0,"xy",""))</f>
        <v/>
      </c>
      <c r="X419" s="580" t="str">
        <f t="shared" si="254"/>
        <v/>
      </c>
      <c r="Y419" s="580" t="str">
        <f t="shared" si="454"/>
        <v/>
      </c>
      <c r="Z419" s="580" t="str">
        <f t="shared" si="240"/>
        <v/>
      </c>
    </row>
    <row r="420" spans="1:26" ht="13.5" hidden="1" thickBot="1" x14ac:dyDescent="0.25">
      <c r="A420" s="1008">
        <v>589000</v>
      </c>
      <c r="B420" s="1004" t="s">
        <v>2087</v>
      </c>
      <c r="C420" s="1048" t="s">
        <v>241</v>
      </c>
      <c r="D420" s="914" t="s">
        <v>847</v>
      </c>
      <c r="E420" s="919"/>
      <c r="F420" s="998">
        <v>500</v>
      </c>
      <c r="G420" s="999">
        <v>1</v>
      </c>
      <c r="H420" s="1000">
        <f>(0.58*F420+28.61)*G420</f>
        <v>318.61</v>
      </c>
      <c r="I420" s="654">
        <f>LIGANTES!$M$15</f>
        <v>4434.49</v>
      </c>
      <c r="J420" s="1051">
        <f>IF(ISBLANK(I420),"",I420*(1+$F$9)/(1+$F$10))+H420</f>
        <v>4631.771828937638</v>
      </c>
      <c r="K420" s="655">
        <f t="shared" si="463"/>
        <v>5637.33</v>
      </c>
      <c r="L420" s="656" t="s">
        <v>20</v>
      </c>
      <c r="M420" s="1052">
        <f>ROUND(M415*G415,2)</f>
        <v>0</v>
      </c>
      <c r="N420" s="1072"/>
      <c r="O420" s="1054">
        <f t="shared" si="434"/>
        <v>0</v>
      </c>
      <c r="P420" s="1055">
        <f t="shared" si="442"/>
        <v>0</v>
      </c>
      <c r="Q420" s="1038"/>
      <c r="R420" s="1056">
        <f>ROUND(R415*G415,2)</f>
        <v>0</v>
      </c>
      <c r="S420" s="1076">
        <f t="shared" si="461"/>
        <v>0</v>
      </c>
      <c r="T420" s="657">
        <f t="shared" si="453"/>
        <v>0</v>
      </c>
      <c r="U420" s="658">
        <f t="shared" si="427"/>
        <v>0</v>
      </c>
      <c r="V420" s="94"/>
      <c r="W420" s="579" t="str">
        <f>IF(U415&gt;0,"xx",IF(P415&gt;0,"xy",""))</f>
        <v/>
      </c>
      <c r="X420" s="580" t="str">
        <f t="shared" si="254"/>
        <v/>
      </c>
      <c r="Y420" s="580" t="str">
        <f t="shared" si="454"/>
        <v/>
      </c>
      <c r="Z420" s="580" t="str">
        <f t="shared" si="240"/>
        <v/>
      </c>
    </row>
    <row r="421" spans="1:26" ht="13.5" hidden="1" thickBot="1" x14ac:dyDescent="0.25">
      <c r="A421" s="1008">
        <v>570400</v>
      </c>
      <c r="B421" s="1064" t="s">
        <v>2016</v>
      </c>
      <c r="C421" s="1065" t="s">
        <v>212</v>
      </c>
      <c r="D421" s="327" t="s">
        <v>2017</v>
      </c>
      <c r="E421" s="915"/>
      <c r="F421" s="991" t="s">
        <v>851</v>
      </c>
      <c r="G421" s="992">
        <v>5.7000000000000002E-2</v>
      </c>
      <c r="H421" s="993">
        <f>SUM(H422:H425)</f>
        <v>33.016220000000004</v>
      </c>
      <c r="I421" s="648">
        <v>127</v>
      </c>
      <c r="J421" s="1041">
        <f t="shared" ref="J421" si="464">IF(ISBLANK(I421),"",SUM(H421:I421))</f>
        <v>160.01622</v>
      </c>
      <c r="K421" s="649">
        <f t="shared" si="463"/>
        <v>194.76</v>
      </c>
      <c r="L421" s="650" t="s">
        <v>20</v>
      </c>
      <c r="M421" s="1045"/>
      <c r="N421" s="1046"/>
      <c r="O421" s="1066">
        <f t="shared" si="434"/>
        <v>0</v>
      </c>
      <c r="P421" s="1067">
        <f t="shared" si="442"/>
        <v>0</v>
      </c>
      <c r="Q421" s="1038"/>
      <c r="R421" s="1045">
        <f t="shared" si="408"/>
        <v>0</v>
      </c>
      <c r="S421" s="1046">
        <f t="shared" si="461"/>
        <v>0</v>
      </c>
      <c r="T421" s="651">
        <f t="shared" ref="T421:T426" si="465">IF(ISBLANK(R421),0,ROUND(K421*R421,2))</f>
        <v>0</v>
      </c>
      <c r="U421" s="652">
        <f t="shared" ref="U421:U426" si="466">IF(ISBLANK(R421),0,ROUND(R421*S421,2))</f>
        <v>0</v>
      </c>
      <c r="V421" s="94"/>
      <c r="X421" s="580" t="str">
        <f t="shared" ref="X421:X426" si="467">IF(W421="X","x",IF(W421="xx","x",IF(W421="xy","x",IF(W421="y","x",IF(OR(P421&gt;0,U421&gt;0),"x","")))))</f>
        <v/>
      </c>
      <c r="Y421" s="580" t="str">
        <f t="shared" ref="Y421:Y426" si="468">IF(W421="X","x",IF(W421="y","x",IF(W421="xx","x",IF(U421&gt;0,"x",""))))</f>
        <v/>
      </c>
      <c r="Z421" s="580" t="str">
        <f t="shared" ref="Z421:Z426" si="469">IF(W421="X","x",IF(U421&gt;0,"x",""))</f>
        <v/>
      </c>
    </row>
    <row r="422" spans="1:26" ht="13.5" hidden="1" thickBot="1" x14ac:dyDescent="0.25">
      <c r="A422" s="97" t="s">
        <v>165</v>
      </c>
      <c r="B422" s="1031" t="s">
        <v>165</v>
      </c>
      <c r="C422" s="978"/>
      <c r="D422" s="916" t="s">
        <v>257</v>
      </c>
      <c r="E422" s="917"/>
      <c r="F422" s="994">
        <v>180</v>
      </c>
      <c r="G422" s="997">
        <v>0.1</v>
      </c>
      <c r="H422" s="996">
        <f t="shared" ref="H422" si="470">IF(F422&lt;=30,(0.7*F422+1.45)*G422,((0.7*30+1.45)+0.58*(F422-30))*G422)</f>
        <v>10.945</v>
      </c>
      <c r="I422" s="592"/>
      <c r="J422" s="1030"/>
      <c r="K422" s="593">
        <f t="shared" si="463"/>
        <v>0</v>
      </c>
      <c r="L422" s="594" t="s">
        <v>783</v>
      </c>
      <c r="M422" s="1068"/>
      <c r="N422" s="1069"/>
      <c r="O422" s="1070">
        <f t="shared" si="434"/>
        <v>0</v>
      </c>
      <c r="P422" s="1071">
        <f t="shared" si="442"/>
        <v>0</v>
      </c>
      <c r="Q422" s="1038"/>
      <c r="R422" s="1068"/>
      <c r="S422" s="1069"/>
      <c r="T422" s="93">
        <f t="shared" si="465"/>
        <v>0</v>
      </c>
      <c r="U422" s="95">
        <f t="shared" si="466"/>
        <v>0</v>
      </c>
      <c r="V422" s="94"/>
      <c r="W422" s="579" t="str">
        <f>IF(U421&gt;0,"xx",IF(P421&gt;0,"xy",""))</f>
        <v/>
      </c>
      <c r="X422" s="580" t="str">
        <f t="shared" si="467"/>
        <v/>
      </c>
      <c r="Y422" s="580" t="str">
        <f t="shared" si="468"/>
        <v/>
      </c>
      <c r="Z422" s="580" t="str">
        <f t="shared" si="469"/>
        <v/>
      </c>
    </row>
    <row r="423" spans="1:26" ht="13.5" hidden="1" thickBot="1" x14ac:dyDescent="0.25">
      <c r="A423" s="97" t="s">
        <v>165</v>
      </c>
      <c r="B423" s="1031" t="s">
        <v>165</v>
      </c>
      <c r="C423" s="978"/>
      <c r="D423" s="916" t="s">
        <v>258</v>
      </c>
      <c r="E423" s="917"/>
      <c r="F423" s="994">
        <v>500</v>
      </c>
      <c r="G423" s="997">
        <v>1.4999999999999999E-2</v>
      </c>
      <c r="H423" s="979">
        <f>IF(F423&lt;=30,(0.51*F423+4.28)*G423,((0.51*30+4.28)+0.42*(F423-30))*G423)</f>
        <v>3.2547000000000001</v>
      </c>
      <c r="I423" s="592"/>
      <c r="J423" s="1030"/>
      <c r="K423" s="593">
        <f t="shared" si="463"/>
        <v>0</v>
      </c>
      <c r="L423" s="594" t="s">
        <v>783</v>
      </c>
      <c r="M423" s="1068"/>
      <c r="N423" s="1069"/>
      <c r="O423" s="1070">
        <f t="shared" si="434"/>
        <v>0</v>
      </c>
      <c r="P423" s="1071">
        <f t="shared" si="442"/>
        <v>0</v>
      </c>
      <c r="Q423" s="1038"/>
      <c r="R423" s="1068"/>
      <c r="S423" s="1069"/>
      <c r="T423" s="93">
        <f t="shared" si="465"/>
        <v>0</v>
      </c>
      <c r="U423" s="95">
        <f t="shared" si="466"/>
        <v>0</v>
      </c>
      <c r="V423" s="94"/>
      <c r="W423" s="579" t="str">
        <f>IF(U421&gt;0,"xx",IF(P421&gt;0,"xy",""))</f>
        <v/>
      </c>
      <c r="X423" s="580" t="str">
        <f t="shared" si="467"/>
        <v/>
      </c>
      <c r="Y423" s="580" t="str">
        <f t="shared" si="468"/>
        <v/>
      </c>
      <c r="Z423" s="580" t="str">
        <f t="shared" si="469"/>
        <v/>
      </c>
    </row>
    <row r="424" spans="1:26" ht="13.5" hidden="1" thickBot="1" x14ac:dyDescent="0.25">
      <c r="A424" s="97" t="s">
        <v>165</v>
      </c>
      <c r="B424" s="1031" t="s">
        <v>165</v>
      </c>
      <c r="C424" s="978"/>
      <c r="D424" s="916" t="s">
        <v>271</v>
      </c>
      <c r="E424" s="917"/>
      <c r="F424" s="994">
        <v>0.2</v>
      </c>
      <c r="G424" s="997">
        <v>0.82799999999999996</v>
      </c>
      <c r="H424" s="979">
        <f>IF(F424=0,0,IF(F424&lt;=30,(0.7*F424+1.45)*G424,((0.7*30+1.45)+0.58*(F424-30))*G424))</f>
        <v>1.3165199999999999</v>
      </c>
      <c r="I424" s="592"/>
      <c r="J424" s="1030"/>
      <c r="K424" s="593">
        <f t="shared" si="463"/>
        <v>0</v>
      </c>
      <c r="L424" s="594" t="s">
        <v>783</v>
      </c>
      <c r="M424" s="1068"/>
      <c r="N424" s="1069"/>
      <c r="O424" s="1070">
        <f t="shared" si="434"/>
        <v>0</v>
      </c>
      <c r="P424" s="1071">
        <f t="shared" si="442"/>
        <v>0</v>
      </c>
      <c r="Q424" s="1038"/>
      <c r="R424" s="1068"/>
      <c r="S424" s="1069"/>
      <c r="T424" s="93">
        <f t="shared" si="465"/>
        <v>0</v>
      </c>
      <c r="U424" s="95">
        <f t="shared" si="466"/>
        <v>0</v>
      </c>
      <c r="V424" s="94"/>
      <c r="W424" s="579" t="str">
        <f>IF(U421&gt;0,"xx",IF(P421&gt;0,"xy",""))</f>
        <v/>
      </c>
      <c r="X424" s="580" t="str">
        <f t="shared" si="467"/>
        <v/>
      </c>
      <c r="Y424" s="580" t="str">
        <f t="shared" si="468"/>
        <v/>
      </c>
      <c r="Z424" s="580" t="str">
        <f t="shared" si="469"/>
        <v/>
      </c>
    </row>
    <row r="425" spans="1:26" ht="13.5" hidden="1" thickBot="1" x14ac:dyDescent="0.25">
      <c r="A425" s="97" t="s">
        <v>165</v>
      </c>
      <c r="B425" s="1031" t="s">
        <v>165</v>
      </c>
      <c r="C425" s="978"/>
      <c r="D425" s="916" t="s">
        <v>272</v>
      </c>
      <c r="E425" s="917"/>
      <c r="F425" s="994">
        <v>20</v>
      </c>
      <c r="G425" s="997">
        <f>SUM(G421:G424)</f>
        <v>1</v>
      </c>
      <c r="H425" s="979">
        <f>IF(F425&lt;=30,(0.7*F425+3.5)*G425,((0.7*30+3.5)+0.58*(F425-30))*G425)</f>
        <v>17.5</v>
      </c>
      <c r="I425" s="592"/>
      <c r="J425" s="1030"/>
      <c r="K425" s="593">
        <f t="shared" si="463"/>
        <v>0</v>
      </c>
      <c r="L425" s="594" t="s">
        <v>783</v>
      </c>
      <c r="M425" s="1068"/>
      <c r="N425" s="1069"/>
      <c r="O425" s="1070">
        <f t="shared" si="434"/>
        <v>0</v>
      </c>
      <c r="P425" s="1071">
        <f t="shared" si="442"/>
        <v>0</v>
      </c>
      <c r="Q425" s="1038"/>
      <c r="R425" s="1068"/>
      <c r="S425" s="1069"/>
      <c r="T425" s="93">
        <f t="shared" si="465"/>
        <v>0</v>
      </c>
      <c r="U425" s="95">
        <f t="shared" si="466"/>
        <v>0</v>
      </c>
      <c r="V425" s="94"/>
      <c r="W425" s="579" t="str">
        <f>IF(U421&gt;0,"xx",IF(P421&gt;0,"xy",""))</f>
        <v/>
      </c>
      <c r="X425" s="580" t="str">
        <f t="shared" si="467"/>
        <v/>
      </c>
      <c r="Y425" s="580" t="str">
        <f t="shared" si="468"/>
        <v/>
      </c>
      <c r="Z425" s="580" t="str">
        <f t="shared" si="469"/>
        <v/>
      </c>
    </row>
    <row r="426" spans="1:26" ht="13.5" hidden="1" thickBot="1" x14ac:dyDescent="0.25">
      <c r="A426" s="1008">
        <v>589000</v>
      </c>
      <c r="B426" s="1004" t="s">
        <v>2088</v>
      </c>
      <c r="C426" s="1048" t="s">
        <v>241</v>
      </c>
      <c r="D426" s="914" t="s">
        <v>847</v>
      </c>
      <c r="E426" s="919"/>
      <c r="F426" s="998">
        <v>500</v>
      </c>
      <c r="G426" s="999">
        <v>1</v>
      </c>
      <c r="H426" s="1000">
        <f>(0.58*F426+28.61)*G426</f>
        <v>318.61</v>
      </c>
      <c r="I426" s="654">
        <f>LIGANTES!$M$15</f>
        <v>4434.49</v>
      </c>
      <c r="J426" s="1051">
        <f>IF(ISBLANK(I426),"",I426*(1+$F$9)/(1+$F$10))+H426</f>
        <v>4631.771828937638</v>
      </c>
      <c r="K426" s="655">
        <f t="shared" si="463"/>
        <v>5637.33</v>
      </c>
      <c r="L426" s="656" t="s">
        <v>20</v>
      </c>
      <c r="M426" s="1052">
        <f>ROUND(M421*G421,2)</f>
        <v>0</v>
      </c>
      <c r="N426" s="1072"/>
      <c r="O426" s="1054">
        <f t="shared" si="434"/>
        <v>0</v>
      </c>
      <c r="P426" s="1055">
        <f t="shared" si="442"/>
        <v>0</v>
      </c>
      <c r="Q426" s="1038"/>
      <c r="R426" s="1056">
        <f>ROUND(R421*G421,2)</f>
        <v>0</v>
      </c>
      <c r="S426" s="1076">
        <f t="shared" si="461"/>
        <v>0</v>
      </c>
      <c r="T426" s="657">
        <f t="shared" si="465"/>
        <v>0</v>
      </c>
      <c r="U426" s="658">
        <f t="shared" si="466"/>
        <v>0</v>
      </c>
      <c r="V426" s="94"/>
      <c r="W426" s="579" t="str">
        <f>IF(U421&gt;0,"xx",IF(P421&gt;0,"xy",""))</f>
        <v/>
      </c>
      <c r="X426" s="580" t="str">
        <f t="shared" si="467"/>
        <v/>
      </c>
      <c r="Y426" s="580" t="str">
        <f t="shared" si="468"/>
        <v/>
      </c>
      <c r="Z426" s="580" t="str">
        <f t="shared" si="469"/>
        <v/>
      </c>
    </row>
    <row r="427" spans="1:26" ht="26.25" hidden="1" thickBot="1" x14ac:dyDescent="0.25">
      <c r="A427" s="1008">
        <v>570360</v>
      </c>
      <c r="B427" s="1064">
        <v>570360</v>
      </c>
      <c r="C427" s="1065" t="s">
        <v>212</v>
      </c>
      <c r="D427" s="646" t="s">
        <v>273</v>
      </c>
      <c r="E427" s="647"/>
      <c r="F427" s="1078" t="s">
        <v>853</v>
      </c>
      <c r="G427" s="992">
        <v>5.8999999999999997E-2</v>
      </c>
      <c r="H427" s="993">
        <f>SUM(H428:H431)</f>
        <v>33.013040000000004</v>
      </c>
      <c r="I427" s="648">
        <v>136.29</v>
      </c>
      <c r="J427" s="1041">
        <f t="shared" si="452"/>
        <v>169.30304000000001</v>
      </c>
      <c r="K427" s="649">
        <f t="shared" si="463"/>
        <v>206.06</v>
      </c>
      <c r="L427" s="650" t="s">
        <v>20</v>
      </c>
      <c r="M427" s="1045"/>
      <c r="N427" s="1046"/>
      <c r="O427" s="1066">
        <f t="shared" si="434"/>
        <v>0</v>
      </c>
      <c r="P427" s="1067">
        <f t="shared" si="442"/>
        <v>0</v>
      </c>
      <c r="Q427" s="1038"/>
      <c r="R427" s="1045">
        <f t="shared" ref="R427:R440" si="471">M427</f>
        <v>0</v>
      </c>
      <c r="S427" s="1046">
        <f t="shared" si="461"/>
        <v>0</v>
      </c>
      <c r="T427" s="651">
        <f t="shared" si="453"/>
        <v>0</v>
      </c>
      <c r="U427" s="652">
        <f t="shared" si="427"/>
        <v>0</v>
      </c>
      <c r="V427" s="94"/>
      <c r="X427" s="580" t="str">
        <f t="shared" si="254"/>
        <v/>
      </c>
      <c r="Y427" s="580" t="str">
        <f t="shared" si="454"/>
        <v/>
      </c>
      <c r="Z427" s="580" t="str">
        <f t="shared" si="240"/>
        <v/>
      </c>
    </row>
    <row r="428" spans="1:26" ht="13.5" hidden="1" thickBot="1" x14ac:dyDescent="0.25">
      <c r="A428" s="97" t="s">
        <v>165</v>
      </c>
      <c r="B428" s="1031" t="s">
        <v>165</v>
      </c>
      <c r="C428" s="978"/>
      <c r="D428" s="631" t="s">
        <v>257</v>
      </c>
      <c r="E428" s="596"/>
      <c r="F428" s="994">
        <v>180</v>
      </c>
      <c r="G428" s="997">
        <v>0.1</v>
      </c>
      <c r="H428" s="996">
        <f t="shared" ref="H428" si="472">IF(F428&lt;=30,(0.7*F428+1.45)*G428,((0.7*30+1.45)+0.58*(F428-30))*G428)</f>
        <v>10.945</v>
      </c>
      <c r="I428" s="592"/>
      <c r="J428" s="1030"/>
      <c r="K428" s="593">
        <f t="shared" si="463"/>
        <v>0</v>
      </c>
      <c r="L428" s="594" t="s">
        <v>783</v>
      </c>
      <c r="M428" s="1068"/>
      <c r="N428" s="1069"/>
      <c r="O428" s="1070">
        <f t="shared" si="434"/>
        <v>0</v>
      </c>
      <c r="P428" s="1071">
        <f t="shared" si="442"/>
        <v>0</v>
      </c>
      <c r="Q428" s="1038"/>
      <c r="R428" s="1068"/>
      <c r="S428" s="1069"/>
      <c r="T428" s="93">
        <f t="shared" ref="T428:T431" si="473">IF(ISBLANK(R428),0,ROUND(K428*R428,2))</f>
        <v>0</v>
      </c>
      <c r="U428" s="95">
        <f t="shared" ref="U428:U431" si="474">IF(ISBLANK(R428),0,ROUND(R428*S428,2))</f>
        <v>0</v>
      </c>
      <c r="V428" s="94"/>
      <c r="W428" s="579" t="str">
        <f>IF(U427&gt;0,"xx",IF(P427&gt;0,"xy",""))</f>
        <v/>
      </c>
      <c r="X428" s="580" t="str">
        <f t="shared" ref="X428:X431" si="475">IF(W428="X","x",IF(W428="xx","x",IF(W428="xy","x",IF(W428="y","x",IF(OR(P428&gt;0,U428&gt;0),"x","")))))</f>
        <v/>
      </c>
      <c r="Y428" s="580" t="str">
        <f t="shared" ref="Y428:Y431" si="476">IF(W428="X","x",IF(W428="y","x",IF(W428="xx","x",IF(U428&gt;0,"x",""))))</f>
        <v/>
      </c>
      <c r="Z428" s="580" t="str">
        <f t="shared" ref="Z428:Z431" si="477">IF(W428="X","x",IF(U428&gt;0,"x",""))</f>
        <v/>
      </c>
    </row>
    <row r="429" spans="1:26" ht="13.5" hidden="1" thickBot="1" x14ac:dyDescent="0.25">
      <c r="A429" s="97" t="s">
        <v>165</v>
      </c>
      <c r="B429" s="1031" t="s">
        <v>165</v>
      </c>
      <c r="C429" s="978"/>
      <c r="D429" s="631" t="s">
        <v>258</v>
      </c>
      <c r="E429" s="596"/>
      <c r="F429" s="994">
        <v>500</v>
      </c>
      <c r="G429" s="997">
        <v>1.4999999999999999E-2</v>
      </c>
      <c r="H429" s="979">
        <f>IF(F429&lt;=30,(0.51*F429+4.28)*G429,((0.51*30+4.28)+0.42*(F429-30))*G429)</f>
        <v>3.2547000000000001</v>
      </c>
      <c r="I429" s="592"/>
      <c r="J429" s="1030"/>
      <c r="K429" s="593">
        <f t="shared" si="463"/>
        <v>0</v>
      </c>
      <c r="L429" s="594" t="s">
        <v>783</v>
      </c>
      <c r="M429" s="1068"/>
      <c r="N429" s="1069"/>
      <c r="O429" s="1070">
        <f t="shared" si="434"/>
        <v>0</v>
      </c>
      <c r="P429" s="1071">
        <f t="shared" si="442"/>
        <v>0</v>
      </c>
      <c r="Q429" s="1038"/>
      <c r="R429" s="1068"/>
      <c r="S429" s="1069"/>
      <c r="T429" s="93">
        <f t="shared" si="473"/>
        <v>0</v>
      </c>
      <c r="U429" s="95">
        <f t="shared" si="474"/>
        <v>0</v>
      </c>
      <c r="V429" s="94"/>
      <c r="W429" s="579" t="str">
        <f>IF(U427&gt;0,"xx",IF(P427&gt;0,"xy",""))</f>
        <v/>
      </c>
      <c r="X429" s="580" t="str">
        <f t="shared" si="475"/>
        <v/>
      </c>
      <c r="Y429" s="580" t="str">
        <f t="shared" si="476"/>
        <v/>
      </c>
      <c r="Z429" s="580" t="str">
        <f t="shared" si="477"/>
        <v/>
      </c>
    </row>
    <row r="430" spans="1:26" ht="13.5" hidden="1" thickBot="1" x14ac:dyDescent="0.25">
      <c r="A430" s="97" t="s">
        <v>165</v>
      </c>
      <c r="B430" s="1031" t="s">
        <v>165</v>
      </c>
      <c r="C430" s="978"/>
      <c r="D430" s="631" t="s">
        <v>271</v>
      </c>
      <c r="E430" s="596"/>
      <c r="F430" s="994">
        <v>0.2</v>
      </c>
      <c r="G430" s="997">
        <v>0.82599999999999996</v>
      </c>
      <c r="H430" s="979">
        <f>IF(F430=0,0,IF(F430&lt;=30,(0.7*F430+1.45)*G430,((0.7*30+1.45)+0.58*(F430-30))*G430))</f>
        <v>1.3133399999999997</v>
      </c>
      <c r="I430" s="592"/>
      <c r="J430" s="1030"/>
      <c r="K430" s="593">
        <f t="shared" si="463"/>
        <v>0</v>
      </c>
      <c r="L430" s="594" t="s">
        <v>783</v>
      </c>
      <c r="M430" s="1068"/>
      <c r="N430" s="1069"/>
      <c r="O430" s="1070">
        <f t="shared" si="434"/>
        <v>0</v>
      </c>
      <c r="P430" s="1071">
        <f t="shared" si="442"/>
        <v>0</v>
      </c>
      <c r="Q430" s="1038"/>
      <c r="R430" s="1068"/>
      <c r="S430" s="1069"/>
      <c r="T430" s="93">
        <f t="shared" si="473"/>
        <v>0</v>
      </c>
      <c r="U430" s="95">
        <f t="shared" si="474"/>
        <v>0</v>
      </c>
      <c r="V430" s="94"/>
      <c r="W430" s="579" t="str">
        <f>IF(U427&gt;0,"xx",IF(P427&gt;0,"xy",""))</f>
        <v/>
      </c>
      <c r="X430" s="580" t="str">
        <f t="shared" si="475"/>
        <v/>
      </c>
      <c r="Y430" s="580" t="str">
        <f t="shared" si="476"/>
        <v/>
      </c>
      <c r="Z430" s="580" t="str">
        <f t="shared" si="477"/>
        <v/>
      </c>
    </row>
    <row r="431" spans="1:26" ht="13.5" hidden="1" thickBot="1" x14ac:dyDescent="0.25">
      <c r="A431" s="97" t="s">
        <v>165</v>
      </c>
      <c r="B431" s="1031" t="s">
        <v>165</v>
      </c>
      <c r="C431" s="978"/>
      <c r="D431" s="631" t="s">
        <v>272</v>
      </c>
      <c r="E431" s="596"/>
      <c r="F431" s="994">
        <v>20</v>
      </c>
      <c r="G431" s="997">
        <f>SUM(G427:G430)</f>
        <v>1</v>
      </c>
      <c r="H431" s="979">
        <f>IF(F431&lt;=30,(0.7*F431+3.5)*G431,((0.7*30+3.5)+0.58*(F431-30))*G431)</f>
        <v>17.5</v>
      </c>
      <c r="I431" s="592"/>
      <c r="J431" s="1030"/>
      <c r="K431" s="593">
        <f t="shared" si="463"/>
        <v>0</v>
      </c>
      <c r="L431" s="594" t="s">
        <v>783</v>
      </c>
      <c r="M431" s="1068"/>
      <c r="N431" s="1069"/>
      <c r="O431" s="1070">
        <f t="shared" si="434"/>
        <v>0</v>
      </c>
      <c r="P431" s="1071">
        <f t="shared" si="442"/>
        <v>0</v>
      </c>
      <c r="Q431" s="1038"/>
      <c r="R431" s="1068"/>
      <c r="S431" s="1069"/>
      <c r="T431" s="93">
        <f t="shared" si="473"/>
        <v>0</v>
      </c>
      <c r="U431" s="95">
        <f t="shared" si="474"/>
        <v>0</v>
      </c>
      <c r="V431" s="94"/>
      <c r="W431" s="579" t="str">
        <f>IF(U427&gt;0,"xx",IF(P427&gt;0,"xy",""))</f>
        <v/>
      </c>
      <c r="X431" s="580" t="str">
        <f t="shared" si="475"/>
        <v/>
      </c>
      <c r="Y431" s="580" t="str">
        <f t="shared" si="476"/>
        <v/>
      </c>
      <c r="Z431" s="580" t="str">
        <f t="shared" si="477"/>
        <v/>
      </c>
    </row>
    <row r="432" spans="1:26" ht="13.5" hidden="1" thickBot="1" x14ac:dyDescent="0.25">
      <c r="A432" s="1008">
        <v>589040</v>
      </c>
      <c r="B432" s="1004">
        <v>589040</v>
      </c>
      <c r="C432" s="1048" t="s">
        <v>241</v>
      </c>
      <c r="D432" s="664" t="s">
        <v>848</v>
      </c>
      <c r="E432" s="653"/>
      <c r="F432" s="998">
        <v>500</v>
      </c>
      <c r="G432" s="999">
        <v>1</v>
      </c>
      <c r="H432" s="1000">
        <f>(0.58*F432+28.61)*G432</f>
        <v>318.61</v>
      </c>
      <c r="I432" s="654">
        <f>LIGANTES!M17</f>
        <v>5182.78</v>
      </c>
      <c r="J432" s="1051">
        <f>IF(ISBLANK(I432),"",I432*(1+$F$9)/(1+$F$10))+H432</f>
        <v>5359.5885260044361</v>
      </c>
      <c r="K432" s="655">
        <f t="shared" si="463"/>
        <v>6523.16</v>
      </c>
      <c r="L432" s="656" t="s">
        <v>20</v>
      </c>
      <c r="M432" s="1052">
        <f>ROUND(M427*G427,2)</f>
        <v>0</v>
      </c>
      <c r="N432" s="1072"/>
      <c r="O432" s="1054">
        <f t="shared" si="434"/>
        <v>0</v>
      </c>
      <c r="P432" s="1055">
        <f t="shared" si="442"/>
        <v>0</v>
      </c>
      <c r="Q432" s="1038"/>
      <c r="R432" s="1056">
        <f>ROUND(R427*G427,2)</f>
        <v>0</v>
      </c>
      <c r="S432" s="1076">
        <f t="shared" si="461"/>
        <v>0</v>
      </c>
      <c r="T432" s="657">
        <f t="shared" si="453"/>
        <v>0</v>
      </c>
      <c r="U432" s="658">
        <f t="shared" si="427"/>
        <v>0</v>
      </c>
      <c r="V432" s="94"/>
      <c r="W432" s="579" t="str">
        <f>IF(U427&gt;0,"xx",IF(P427&gt;0,"xy",""))</f>
        <v/>
      </c>
      <c r="X432" s="580" t="str">
        <f t="shared" si="254"/>
        <v/>
      </c>
      <c r="Y432" s="580" t="str">
        <f t="shared" si="454"/>
        <v/>
      </c>
      <c r="Z432" s="580" t="str">
        <f t="shared" si="240"/>
        <v/>
      </c>
    </row>
    <row r="433" spans="1:26" ht="26.25" hidden="1" thickBot="1" x14ac:dyDescent="0.25">
      <c r="A433" s="1008">
        <v>570350</v>
      </c>
      <c r="B433" s="1064">
        <v>570350</v>
      </c>
      <c r="C433" s="1065" t="s">
        <v>212</v>
      </c>
      <c r="D433" s="646" t="s">
        <v>274</v>
      </c>
      <c r="E433" s="647"/>
      <c r="F433" s="1078" t="s">
        <v>854</v>
      </c>
      <c r="G433" s="992">
        <v>0.06</v>
      </c>
      <c r="H433" s="993">
        <f>SUM(H434:H437)</f>
        <v>33.011449999999996</v>
      </c>
      <c r="I433" s="648">
        <v>144.29</v>
      </c>
      <c r="J433" s="1041">
        <f t="shared" si="452"/>
        <v>177.30144999999999</v>
      </c>
      <c r="K433" s="649">
        <f t="shared" si="463"/>
        <v>215.79</v>
      </c>
      <c r="L433" s="650" t="s">
        <v>855</v>
      </c>
      <c r="M433" s="1045"/>
      <c r="N433" s="1046"/>
      <c r="O433" s="1066">
        <f t="shared" si="434"/>
        <v>0</v>
      </c>
      <c r="P433" s="1067">
        <f t="shared" si="442"/>
        <v>0</v>
      </c>
      <c r="Q433" s="1038"/>
      <c r="R433" s="1045">
        <f t="shared" si="471"/>
        <v>0</v>
      </c>
      <c r="S433" s="1046">
        <f t="shared" si="461"/>
        <v>0</v>
      </c>
      <c r="T433" s="651">
        <f t="shared" si="453"/>
        <v>0</v>
      </c>
      <c r="U433" s="652">
        <f t="shared" si="427"/>
        <v>0</v>
      </c>
      <c r="V433" s="94"/>
      <c r="X433" s="580" t="str">
        <f t="shared" si="254"/>
        <v/>
      </c>
      <c r="Y433" s="580" t="str">
        <f t="shared" si="454"/>
        <v/>
      </c>
      <c r="Z433" s="580" t="str">
        <f t="shared" ref="Z433:Z494" si="478">IF(W433="X","x",IF(U433&gt;0,"x",""))</f>
        <v/>
      </c>
    </row>
    <row r="434" spans="1:26" ht="13.5" hidden="1" thickBot="1" x14ac:dyDescent="0.25">
      <c r="A434" s="97" t="s">
        <v>165</v>
      </c>
      <c r="B434" s="1031" t="s">
        <v>165</v>
      </c>
      <c r="C434" s="978"/>
      <c r="D434" s="631" t="s">
        <v>257</v>
      </c>
      <c r="E434" s="596"/>
      <c r="F434" s="994">
        <v>180</v>
      </c>
      <c r="G434" s="997">
        <v>0.1</v>
      </c>
      <c r="H434" s="996">
        <f t="shared" ref="H434" si="479">IF(F434&lt;=30,(0.7*F434+1.45)*G434,((0.7*30+1.45)+0.58*(F434-30))*G434)</f>
        <v>10.945</v>
      </c>
      <c r="I434" s="592"/>
      <c r="J434" s="1030"/>
      <c r="K434" s="593">
        <f t="shared" si="463"/>
        <v>0</v>
      </c>
      <c r="L434" s="594" t="s">
        <v>783</v>
      </c>
      <c r="M434" s="1068"/>
      <c r="N434" s="1069"/>
      <c r="O434" s="1070">
        <f t="shared" si="434"/>
        <v>0</v>
      </c>
      <c r="P434" s="1071">
        <f t="shared" si="442"/>
        <v>0</v>
      </c>
      <c r="Q434" s="1038"/>
      <c r="R434" s="1068"/>
      <c r="S434" s="1069"/>
      <c r="T434" s="93">
        <f t="shared" ref="T434:T437" si="480">IF(ISBLANK(R434),0,ROUND(K434*R434,2))</f>
        <v>0</v>
      </c>
      <c r="U434" s="95">
        <f t="shared" ref="U434:U437" si="481">IF(ISBLANK(R434),0,ROUND(R434*S434,2))</f>
        <v>0</v>
      </c>
      <c r="V434" s="94"/>
      <c r="W434" s="579" t="str">
        <f>IF(U433&gt;0,"xx",IF(P433&gt;0,"xy",""))</f>
        <v/>
      </c>
      <c r="X434" s="580" t="str">
        <f t="shared" ref="X434:X437" si="482">IF(W434="X","x",IF(W434="xx","x",IF(W434="xy","x",IF(W434="y","x",IF(OR(P434&gt;0,U434&gt;0),"x","")))))</f>
        <v/>
      </c>
      <c r="Y434" s="580" t="str">
        <f t="shared" ref="Y434:Y437" si="483">IF(W434="X","x",IF(W434="y","x",IF(W434="xx","x",IF(U434&gt;0,"x",""))))</f>
        <v/>
      </c>
      <c r="Z434" s="580" t="str">
        <f t="shared" ref="Z434:Z437" si="484">IF(W434="X","x",IF(U434&gt;0,"x",""))</f>
        <v/>
      </c>
    </row>
    <row r="435" spans="1:26" ht="13.5" hidden="1" thickBot="1" x14ac:dyDescent="0.25">
      <c r="A435" s="97" t="s">
        <v>165</v>
      </c>
      <c r="B435" s="1031" t="s">
        <v>165</v>
      </c>
      <c r="C435" s="978"/>
      <c r="D435" s="631" t="s">
        <v>258</v>
      </c>
      <c r="E435" s="596"/>
      <c r="F435" s="994">
        <v>500</v>
      </c>
      <c r="G435" s="997">
        <v>1.4999999999999999E-2</v>
      </c>
      <c r="H435" s="979">
        <f>IF(F435&lt;=30,(0.51*F435+4.28)*G435,((0.51*30+4.28)+0.42*(F435-30))*G435)</f>
        <v>3.2547000000000001</v>
      </c>
      <c r="I435" s="592"/>
      <c r="J435" s="1030"/>
      <c r="K435" s="593">
        <f t="shared" si="463"/>
        <v>0</v>
      </c>
      <c r="L435" s="594" t="s">
        <v>783</v>
      </c>
      <c r="M435" s="1068"/>
      <c r="N435" s="1069"/>
      <c r="O435" s="1070">
        <f t="shared" si="434"/>
        <v>0</v>
      </c>
      <c r="P435" s="1071">
        <f t="shared" si="442"/>
        <v>0</v>
      </c>
      <c r="Q435" s="1038"/>
      <c r="R435" s="1068"/>
      <c r="S435" s="1069"/>
      <c r="T435" s="93">
        <f t="shared" si="480"/>
        <v>0</v>
      </c>
      <c r="U435" s="95">
        <f t="shared" si="481"/>
        <v>0</v>
      </c>
      <c r="V435" s="94"/>
      <c r="W435" s="579" t="str">
        <f>IF(U433&gt;0,"xx",IF(P433&gt;0,"xy",""))</f>
        <v/>
      </c>
      <c r="X435" s="580" t="str">
        <f t="shared" si="482"/>
        <v/>
      </c>
      <c r="Y435" s="580" t="str">
        <f t="shared" si="483"/>
        <v/>
      </c>
      <c r="Z435" s="580" t="str">
        <f t="shared" si="484"/>
        <v/>
      </c>
    </row>
    <row r="436" spans="1:26" ht="13.5" hidden="1" thickBot="1" x14ac:dyDescent="0.25">
      <c r="A436" s="97" t="s">
        <v>165</v>
      </c>
      <c r="B436" s="1031" t="s">
        <v>165</v>
      </c>
      <c r="C436" s="978"/>
      <c r="D436" s="631" t="s">
        <v>271</v>
      </c>
      <c r="E436" s="596"/>
      <c r="F436" s="994">
        <v>0.2</v>
      </c>
      <c r="G436" s="997">
        <v>0.82499999999999996</v>
      </c>
      <c r="H436" s="979">
        <f>IF(F436=0,0,IF(F436&lt;=30,(0.7*F436+1.45)*G436,((0.7*30+1.45)+0.58*(F436-30))*G436))</f>
        <v>1.3117499999999997</v>
      </c>
      <c r="I436" s="592"/>
      <c r="J436" s="1030"/>
      <c r="K436" s="593">
        <f t="shared" si="463"/>
        <v>0</v>
      </c>
      <c r="L436" s="594" t="s">
        <v>783</v>
      </c>
      <c r="M436" s="1068"/>
      <c r="N436" s="1069"/>
      <c r="O436" s="1070">
        <f t="shared" si="434"/>
        <v>0</v>
      </c>
      <c r="P436" s="1071">
        <f t="shared" si="442"/>
        <v>0</v>
      </c>
      <c r="Q436" s="1038"/>
      <c r="R436" s="1068"/>
      <c r="S436" s="1069"/>
      <c r="T436" s="93">
        <f t="shared" si="480"/>
        <v>0</v>
      </c>
      <c r="U436" s="95">
        <f t="shared" si="481"/>
        <v>0</v>
      </c>
      <c r="V436" s="94"/>
      <c r="W436" s="579" t="str">
        <f>IF(U433&gt;0,"xx",IF(P433&gt;0,"xy",""))</f>
        <v/>
      </c>
      <c r="X436" s="580" t="str">
        <f t="shared" si="482"/>
        <v/>
      </c>
      <c r="Y436" s="580" t="str">
        <f t="shared" si="483"/>
        <v/>
      </c>
      <c r="Z436" s="580" t="str">
        <f t="shared" si="484"/>
        <v/>
      </c>
    </row>
    <row r="437" spans="1:26" ht="13.5" hidden="1" thickBot="1" x14ac:dyDescent="0.25">
      <c r="A437" s="97" t="s">
        <v>165</v>
      </c>
      <c r="B437" s="1031" t="s">
        <v>165</v>
      </c>
      <c r="C437" s="978"/>
      <c r="D437" s="631" t="s">
        <v>272</v>
      </c>
      <c r="E437" s="596"/>
      <c r="F437" s="994">
        <v>20</v>
      </c>
      <c r="G437" s="997">
        <f>SUM(G433:G436)</f>
        <v>1</v>
      </c>
      <c r="H437" s="979">
        <f>IF(F437&lt;=30,(0.7*F437+3.5)*G437,((0.7*30+3.5)+0.58*(F437-30))*G437)</f>
        <v>17.5</v>
      </c>
      <c r="I437" s="592"/>
      <c r="J437" s="1030"/>
      <c r="K437" s="593">
        <f t="shared" si="463"/>
        <v>0</v>
      </c>
      <c r="L437" s="594" t="s">
        <v>783</v>
      </c>
      <c r="M437" s="1068"/>
      <c r="N437" s="1069"/>
      <c r="O437" s="1070">
        <f t="shared" si="434"/>
        <v>0</v>
      </c>
      <c r="P437" s="1071">
        <f t="shared" si="442"/>
        <v>0</v>
      </c>
      <c r="Q437" s="1038"/>
      <c r="R437" s="1068"/>
      <c r="S437" s="1069"/>
      <c r="T437" s="93">
        <f t="shared" si="480"/>
        <v>0</v>
      </c>
      <c r="U437" s="95">
        <f t="shared" si="481"/>
        <v>0</v>
      </c>
      <c r="V437" s="94"/>
      <c r="W437" s="579" t="str">
        <f>IF(U433&gt;0,"xx",IF(P433&gt;0,"xy",""))</f>
        <v/>
      </c>
      <c r="X437" s="580" t="str">
        <f t="shared" si="482"/>
        <v/>
      </c>
      <c r="Y437" s="580" t="str">
        <f t="shared" si="483"/>
        <v/>
      </c>
      <c r="Z437" s="580" t="str">
        <f t="shared" si="484"/>
        <v/>
      </c>
    </row>
    <row r="438" spans="1:26" ht="13.5" hidden="1" thickBot="1" x14ac:dyDescent="0.25">
      <c r="A438" s="1008">
        <v>589050</v>
      </c>
      <c r="B438" s="1004">
        <v>589050</v>
      </c>
      <c r="C438" s="1048" t="s">
        <v>241</v>
      </c>
      <c r="D438" s="664" t="s">
        <v>849</v>
      </c>
      <c r="E438" s="653"/>
      <c r="F438" s="998">
        <v>500</v>
      </c>
      <c r="G438" s="999">
        <v>1</v>
      </c>
      <c r="H438" s="1000">
        <f>(0.58*F438+28.61)*G438</f>
        <v>318.61</v>
      </c>
      <c r="I438" s="654">
        <f>LIGANTES!M13</f>
        <v>4986.3100000000004</v>
      </c>
      <c r="J438" s="1051">
        <f>IF(ISBLANK(I438),"",I438*(1+$F$9)/(1+$F$10))+H438</f>
        <v>5168.493968449593</v>
      </c>
      <c r="K438" s="655">
        <f t="shared" si="463"/>
        <v>6290.57</v>
      </c>
      <c r="L438" s="656" t="s">
        <v>20</v>
      </c>
      <c r="M438" s="1052">
        <f>ROUND(M433*G433,2)</f>
        <v>0</v>
      </c>
      <c r="N438" s="1072"/>
      <c r="O438" s="1054">
        <f t="shared" si="434"/>
        <v>0</v>
      </c>
      <c r="P438" s="1055">
        <f t="shared" si="442"/>
        <v>0</v>
      </c>
      <c r="Q438" s="1038"/>
      <c r="R438" s="1056">
        <f>ROUND(R433*G433,2)</f>
        <v>0</v>
      </c>
      <c r="S438" s="1076">
        <f t="shared" si="461"/>
        <v>0</v>
      </c>
      <c r="T438" s="657">
        <f t="shared" si="453"/>
        <v>0</v>
      </c>
      <c r="U438" s="658">
        <f t="shared" si="427"/>
        <v>0</v>
      </c>
      <c r="V438" s="94"/>
      <c r="W438" s="579" t="str">
        <f>IF(U433&gt;0,"xx",IF(P433&gt;0,"xy",""))</f>
        <v/>
      </c>
      <c r="X438" s="580" t="str">
        <f t="shared" si="254"/>
        <v/>
      </c>
      <c r="Y438" s="580" t="str">
        <f t="shared" si="454"/>
        <v/>
      </c>
      <c r="Z438" s="580" t="str">
        <f t="shared" si="478"/>
        <v/>
      </c>
    </row>
    <row r="439" spans="1:26" ht="13.5" hidden="1" thickBot="1" x14ac:dyDescent="0.25">
      <c r="A439" s="1008">
        <v>505000</v>
      </c>
      <c r="B439" s="1009">
        <v>505000</v>
      </c>
      <c r="C439" s="980" t="s">
        <v>212</v>
      </c>
      <c r="D439" s="672" t="s">
        <v>275</v>
      </c>
      <c r="E439" s="673"/>
      <c r="F439" s="674">
        <v>20</v>
      </c>
      <c r="G439" s="675">
        <v>2.4</v>
      </c>
      <c r="H439" s="661">
        <f t="shared" ref="H439:H440" si="485">IF(F439&lt;=30,(0.7*F439+1.45)*G439,((0.7*30+1.45)+0.58*(F439-30))*G439)</f>
        <v>37.08</v>
      </c>
      <c r="I439" s="584">
        <v>187.35</v>
      </c>
      <c r="J439" s="584">
        <f t="shared" ref="J439:J440" si="486">IF(ISBLANK(I439),"",SUM(H439:I439))</f>
        <v>224.43</v>
      </c>
      <c r="K439" s="585">
        <f t="shared" si="463"/>
        <v>273.14999999999998</v>
      </c>
      <c r="L439" s="586" t="s">
        <v>16</v>
      </c>
      <c r="M439" s="92"/>
      <c r="N439" s="92"/>
      <c r="O439" s="1043">
        <f t="shared" si="434"/>
        <v>0</v>
      </c>
      <c r="P439" s="1043">
        <f t="shared" si="442"/>
        <v>0</v>
      </c>
      <c r="Q439" s="1038"/>
      <c r="R439" s="92">
        <f t="shared" si="471"/>
        <v>0</v>
      </c>
      <c r="S439" s="92">
        <f t="shared" si="461"/>
        <v>0</v>
      </c>
      <c r="T439" s="587">
        <f t="shared" si="453"/>
        <v>0</v>
      </c>
      <c r="U439" s="618">
        <f t="shared" si="427"/>
        <v>0</v>
      </c>
      <c r="V439" s="94"/>
      <c r="X439" s="580" t="str">
        <f t="shared" ref="X439:X500" si="487">IF(W439="X","x",IF(W439="xx","x",IF(W439="xy","x",IF(W439="y","x",IF(OR(P439&gt;0,U439&gt;0),"x","")))))</f>
        <v/>
      </c>
      <c r="Y439" s="580" t="str">
        <f t="shared" si="454"/>
        <v/>
      </c>
      <c r="Z439" s="580" t="str">
        <f t="shared" si="478"/>
        <v/>
      </c>
    </row>
    <row r="440" spans="1:26" ht="13.5" hidden="1" thickBot="1" x14ac:dyDescent="0.25">
      <c r="A440" s="1008">
        <v>505100</v>
      </c>
      <c r="B440" s="1010">
        <v>505100</v>
      </c>
      <c r="C440" s="978" t="s">
        <v>212</v>
      </c>
      <c r="D440" s="595" t="s">
        <v>276</v>
      </c>
      <c r="E440" s="596"/>
      <c r="F440" s="671">
        <v>20</v>
      </c>
      <c r="G440" s="597">
        <v>2.4</v>
      </c>
      <c r="H440" s="661">
        <f t="shared" si="485"/>
        <v>37.08</v>
      </c>
      <c r="I440" s="592">
        <v>212.2</v>
      </c>
      <c r="J440" s="592">
        <f t="shared" si="486"/>
        <v>249.27999999999997</v>
      </c>
      <c r="K440" s="593">
        <f t="shared" si="463"/>
        <v>303.39999999999998</v>
      </c>
      <c r="L440" s="594" t="s">
        <v>16</v>
      </c>
      <c r="M440" s="599"/>
      <c r="N440" s="599"/>
      <c r="O440" s="1070">
        <f t="shared" si="434"/>
        <v>0</v>
      </c>
      <c r="P440" s="1071">
        <f t="shared" si="442"/>
        <v>0</v>
      </c>
      <c r="Q440" s="1038"/>
      <c r="R440" s="598">
        <f t="shared" si="471"/>
        <v>0</v>
      </c>
      <c r="S440" s="599">
        <f t="shared" si="461"/>
        <v>0</v>
      </c>
      <c r="T440" s="93">
        <f t="shared" si="453"/>
        <v>0</v>
      </c>
      <c r="U440" s="95">
        <f t="shared" si="427"/>
        <v>0</v>
      </c>
      <c r="V440" s="94"/>
      <c r="X440" s="580" t="str">
        <f t="shared" si="487"/>
        <v/>
      </c>
      <c r="Y440" s="580" t="str">
        <f t="shared" si="454"/>
        <v/>
      </c>
      <c r="Z440" s="580" t="str">
        <f t="shared" si="478"/>
        <v/>
      </c>
    </row>
    <row r="441" spans="1:26" ht="13.5" hidden="1" thickBot="1" x14ac:dyDescent="0.25">
      <c r="A441" s="97" t="s">
        <v>187</v>
      </c>
      <c r="B441" s="1013" t="s">
        <v>187</v>
      </c>
      <c r="C441" s="1014"/>
      <c r="D441" s="603" t="s">
        <v>232</v>
      </c>
      <c r="E441" s="910"/>
      <c r="F441" s="676"/>
      <c r="G441" s="604"/>
      <c r="H441" s="911"/>
      <c r="I441" s="605"/>
      <c r="J441" s="605"/>
      <c r="K441" s="605"/>
      <c r="L441" s="605" t="s">
        <v>783</v>
      </c>
      <c r="M441" s="606"/>
      <c r="N441" s="605"/>
      <c r="O441" s="605"/>
      <c r="P441" s="607"/>
      <c r="Q441" s="94"/>
      <c r="R441" s="606"/>
      <c r="S441" s="605"/>
      <c r="T441" s="605"/>
      <c r="U441" s="607"/>
      <c r="V441" s="94"/>
      <c r="W441" s="579" t="str">
        <f>IF(OR(SUM(P442:P466)&gt;0,SUM(U442:U466)&gt;0),"y","")</f>
        <v/>
      </c>
      <c r="X441" s="580" t="str">
        <f t="shared" si="487"/>
        <v/>
      </c>
      <c r="Y441" s="580" t="str">
        <f t="shared" si="454"/>
        <v/>
      </c>
      <c r="Z441" s="580" t="str">
        <f t="shared" si="478"/>
        <v/>
      </c>
    </row>
    <row r="442" spans="1:26" ht="13.5" hidden="1" thickBot="1" x14ac:dyDescent="0.25">
      <c r="A442" s="97" t="s">
        <v>187</v>
      </c>
      <c r="B442" s="1015" t="s">
        <v>187</v>
      </c>
      <c r="C442" s="1016" t="s">
        <v>187</v>
      </c>
      <c r="D442" s="608"/>
      <c r="E442" s="609"/>
      <c r="F442" s="677"/>
      <c r="G442" s="610"/>
      <c r="H442" s="611"/>
      <c r="I442" s="612"/>
      <c r="J442" s="613"/>
      <c r="K442" s="614">
        <f t="shared" ref="K442:K466" si="488">IF(ISBLANK(J442),0,ROUND(J442*(1+$F$10)*(1+$F$11*E442),2))</f>
        <v>0</v>
      </c>
      <c r="L442" s="615" t="s">
        <v>783</v>
      </c>
      <c r="M442" s="599"/>
      <c r="N442" s="599"/>
      <c r="O442" s="93">
        <f t="shared" ref="O442" si="489">IF(ISBLANK(M442),0,ROUND(K442*M442,2))</f>
        <v>0</v>
      </c>
      <c r="P442" s="95">
        <f t="shared" ref="P442:P466" si="490">IF(ISBLANK(N442),0,ROUND(M442*N442,2))</f>
        <v>0</v>
      </c>
      <c r="Q442" s="94"/>
      <c r="R442" s="598">
        <f t="shared" ref="R442:R466" si="491">M442</f>
        <v>0</v>
      </c>
      <c r="S442" s="599">
        <f t="shared" ref="S442:S466" si="492">N442</f>
        <v>0</v>
      </c>
      <c r="T442" s="93">
        <f t="shared" ref="T442:T466" si="493">IF(ISBLANK(R442),0,ROUND(K442*R442,2))</f>
        <v>0</v>
      </c>
      <c r="U442" s="95">
        <f t="shared" ref="U442:U466" si="494">IF(ISBLANK(R442),0,ROUND(R442*S442,2))</f>
        <v>0</v>
      </c>
      <c r="V442" s="94"/>
      <c r="X442" s="580" t="str">
        <f t="shared" si="487"/>
        <v/>
      </c>
      <c r="Y442" s="580" t="str">
        <f t="shared" si="454"/>
        <v/>
      </c>
      <c r="Z442" s="580" t="str">
        <f t="shared" si="478"/>
        <v/>
      </c>
    </row>
    <row r="443" spans="1:26" ht="13.5" hidden="1" thickBot="1" x14ac:dyDescent="0.25">
      <c r="A443" s="97" t="s">
        <v>187</v>
      </c>
      <c r="B443" s="1015" t="s">
        <v>187</v>
      </c>
      <c r="C443" s="1016" t="s">
        <v>187</v>
      </c>
      <c r="D443" s="616"/>
      <c r="E443" s="609"/>
      <c r="F443" s="677"/>
      <c r="G443" s="610"/>
      <c r="H443" s="611"/>
      <c r="I443" s="612"/>
      <c r="J443" s="613"/>
      <c r="K443" s="617">
        <f t="shared" si="488"/>
        <v>0</v>
      </c>
      <c r="L443" s="615" t="s">
        <v>783</v>
      </c>
      <c r="M443" s="92"/>
      <c r="N443" s="92"/>
      <c r="O443" s="93">
        <f>IF(ISBLANK(M443),0,ROUND(K443*M443,2))</f>
        <v>0</v>
      </c>
      <c r="P443" s="93">
        <f t="shared" si="490"/>
        <v>0</v>
      </c>
      <c r="Q443" s="94"/>
      <c r="R443" s="92">
        <f t="shared" si="491"/>
        <v>0</v>
      </c>
      <c r="S443" s="92">
        <f t="shared" si="492"/>
        <v>0</v>
      </c>
      <c r="T443" s="93">
        <f t="shared" si="493"/>
        <v>0</v>
      </c>
      <c r="U443" s="618">
        <f t="shared" si="494"/>
        <v>0</v>
      </c>
      <c r="V443" s="94"/>
      <c r="X443" s="580" t="str">
        <f t="shared" si="487"/>
        <v/>
      </c>
      <c r="Y443" s="580" t="str">
        <f t="shared" si="454"/>
        <v/>
      </c>
      <c r="Z443" s="580" t="str">
        <f t="shared" si="478"/>
        <v/>
      </c>
    </row>
    <row r="444" spans="1:26" ht="13.5" hidden="1" thickBot="1" x14ac:dyDescent="0.25">
      <c r="A444" s="97" t="s">
        <v>187</v>
      </c>
      <c r="B444" s="1015" t="s">
        <v>187</v>
      </c>
      <c r="C444" s="1016" t="s">
        <v>187</v>
      </c>
      <c r="D444" s="616"/>
      <c r="E444" s="609"/>
      <c r="F444" s="677"/>
      <c r="G444" s="610"/>
      <c r="H444" s="611"/>
      <c r="I444" s="612"/>
      <c r="J444" s="613"/>
      <c r="K444" s="617">
        <f t="shared" si="488"/>
        <v>0</v>
      </c>
      <c r="L444" s="615" t="s">
        <v>783</v>
      </c>
      <c r="M444" s="92"/>
      <c r="N444" s="92"/>
      <c r="O444" s="93">
        <f t="shared" ref="O444:O466" si="495">IF(ISBLANK(M444),0,ROUND(K444*M444,2))</f>
        <v>0</v>
      </c>
      <c r="P444" s="93">
        <f t="shared" si="490"/>
        <v>0</v>
      </c>
      <c r="Q444" s="94"/>
      <c r="R444" s="92">
        <f t="shared" si="491"/>
        <v>0</v>
      </c>
      <c r="S444" s="92">
        <f t="shared" si="492"/>
        <v>0</v>
      </c>
      <c r="T444" s="93">
        <f t="shared" si="493"/>
        <v>0</v>
      </c>
      <c r="U444" s="95">
        <f t="shared" si="494"/>
        <v>0</v>
      </c>
      <c r="V444" s="94"/>
      <c r="X444" s="580" t="str">
        <f t="shared" si="487"/>
        <v/>
      </c>
      <c r="Y444" s="580" t="str">
        <f t="shared" si="454"/>
        <v/>
      </c>
      <c r="Z444" s="580" t="str">
        <f t="shared" si="478"/>
        <v/>
      </c>
    </row>
    <row r="445" spans="1:26" ht="13.5" hidden="1" thickBot="1" x14ac:dyDescent="0.25">
      <c r="A445" s="97" t="s">
        <v>187</v>
      </c>
      <c r="B445" s="1015" t="s">
        <v>187</v>
      </c>
      <c r="C445" s="1016" t="s">
        <v>187</v>
      </c>
      <c r="D445" s="616"/>
      <c r="E445" s="609"/>
      <c r="F445" s="677"/>
      <c r="G445" s="610"/>
      <c r="H445" s="611"/>
      <c r="I445" s="612"/>
      <c r="J445" s="613"/>
      <c r="K445" s="617">
        <f t="shared" si="488"/>
        <v>0</v>
      </c>
      <c r="L445" s="615" t="s">
        <v>783</v>
      </c>
      <c r="M445" s="92"/>
      <c r="N445" s="92"/>
      <c r="O445" s="93">
        <f t="shared" si="495"/>
        <v>0</v>
      </c>
      <c r="P445" s="93">
        <f t="shared" si="490"/>
        <v>0</v>
      </c>
      <c r="Q445" s="94"/>
      <c r="R445" s="92">
        <f t="shared" si="491"/>
        <v>0</v>
      </c>
      <c r="S445" s="92">
        <f t="shared" si="492"/>
        <v>0</v>
      </c>
      <c r="T445" s="93">
        <f t="shared" si="493"/>
        <v>0</v>
      </c>
      <c r="U445" s="95">
        <f t="shared" si="494"/>
        <v>0</v>
      </c>
      <c r="V445" s="94"/>
      <c r="X445" s="580" t="str">
        <f t="shared" si="487"/>
        <v/>
      </c>
      <c r="Y445" s="580" t="str">
        <f t="shared" si="454"/>
        <v/>
      </c>
      <c r="Z445" s="580" t="str">
        <f t="shared" si="478"/>
        <v/>
      </c>
    </row>
    <row r="446" spans="1:26" ht="13.5" hidden="1" thickBot="1" x14ac:dyDescent="0.25">
      <c r="A446" s="97" t="s">
        <v>187</v>
      </c>
      <c r="B446" s="1015" t="s">
        <v>187</v>
      </c>
      <c r="C446" s="1016" t="s">
        <v>187</v>
      </c>
      <c r="D446" s="616"/>
      <c r="E446" s="609"/>
      <c r="F446" s="677"/>
      <c r="G446" s="610"/>
      <c r="H446" s="611"/>
      <c r="I446" s="612"/>
      <c r="J446" s="613"/>
      <c r="K446" s="617">
        <f t="shared" si="488"/>
        <v>0</v>
      </c>
      <c r="L446" s="615" t="s">
        <v>783</v>
      </c>
      <c r="M446" s="92"/>
      <c r="N446" s="92"/>
      <c r="O446" s="93">
        <f t="shared" si="495"/>
        <v>0</v>
      </c>
      <c r="P446" s="93">
        <f t="shared" si="490"/>
        <v>0</v>
      </c>
      <c r="Q446" s="94"/>
      <c r="R446" s="92">
        <f t="shared" si="491"/>
        <v>0</v>
      </c>
      <c r="S446" s="92">
        <f t="shared" si="492"/>
        <v>0</v>
      </c>
      <c r="T446" s="93">
        <f t="shared" si="493"/>
        <v>0</v>
      </c>
      <c r="U446" s="95">
        <f t="shared" si="494"/>
        <v>0</v>
      </c>
      <c r="V446" s="94"/>
      <c r="X446" s="580" t="str">
        <f t="shared" si="487"/>
        <v/>
      </c>
      <c r="Y446" s="580" t="str">
        <f t="shared" si="454"/>
        <v/>
      </c>
      <c r="Z446" s="580" t="str">
        <f t="shared" si="478"/>
        <v/>
      </c>
    </row>
    <row r="447" spans="1:26" ht="13.5" hidden="1" thickBot="1" x14ac:dyDescent="0.25">
      <c r="A447" s="97" t="s">
        <v>187</v>
      </c>
      <c r="B447" s="1015" t="s">
        <v>187</v>
      </c>
      <c r="C447" s="1016" t="s">
        <v>187</v>
      </c>
      <c r="D447" s="616"/>
      <c r="E447" s="609"/>
      <c r="F447" s="677"/>
      <c r="G447" s="610"/>
      <c r="H447" s="611"/>
      <c r="I447" s="612"/>
      <c r="J447" s="613"/>
      <c r="K447" s="617">
        <f t="shared" si="488"/>
        <v>0</v>
      </c>
      <c r="L447" s="615" t="s">
        <v>783</v>
      </c>
      <c r="M447" s="92"/>
      <c r="N447" s="92"/>
      <c r="O447" s="93">
        <f t="shared" si="495"/>
        <v>0</v>
      </c>
      <c r="P447" s="93">
        <f t="shared" si="490"/>
        <v>0</v>
      </c>
      <c r="Q447" s="94"/>
      <c r="R447" s="92">
        <f t="shared" si="491"/>
        <v>0</v>
      </c>
      <c r="S447" s="92">
        <f t="shared" si="492"/>
        <v>0</v>
      </c>
      <c r="T447" s="93">
        <f t="shared" si="493"/>
        <v>0</v>
      </c>
      <c r="U447" s="95">
        <f t="shared" si="494"/>
        <v>0</v>
      </c>
      <c r="V447" s="94"/>
      <c r="X447" s="580" t="str">
        <f t="shared" si="487"/>
        <v/>
      </c>
      <c r="Y447" s="580" t="str">
        <f t="shared" si="454"/>
        <v/>
      </c>
      <c r="Z447" s="580" t="str">
        <f t="shared" si="478"/>
        <v/>
      </c>
    </row>
    <row r="448" spans="1:26" ht="13.5" hidden="1" thickBot="1" x14ac:dyDescent="0.25">
      <c r="A448" s="97" t="s">
        <v>187</v>
      </c>
      <c r="B448" s="1015" t="s">
        <v>187</v>
      </c>
      <c r="C448" s="1016" t="s">
        <v>187</v>
      </c>
      <c r="D448" s="616"/>
      <c r="E448" s="609"/>
      <c r="F448" s="677"/>
      <c r="G448" s="610"/>
      <c r="H448" s="611"/>
      <c r="I448" s="612"/>
      <c r="J448" s="613"/>
      <c r="K448" s="617">
        <f t="shared" si="488"/>
        <v>0</v>
      </c>
      <c r="L448" s="615" t="s">
        <v>783</v>
      </c>
      <c r="M448" s="92"/>
      <c r="N448" s="92"/>
      <c r="O448" s="93">
        <f t="shared" si="495"/>
        <v>0</v>
      </c>
      <c r="P448" s="93">
        <f t="shared" si="490"/>
        <v>0</v>
      </c>
      <c r="Q448" s="94"/>
      <c r="R448" s="92">
        <f t="shared" si="491"/>
        <v>0</v>
      </c>
      <c r="S448" s="92">
        <f t="shared" si="492"/>
        <v>0</v>
      </c>
      <c r="T448" s="93">
        <f t="shared" si="493"/>
        <v>0</v>
      </c>
      <c r="U448" s="95">
        <f t="shared" si="494"/>
        <v>0</v>
      </c>
      <c r="V448" s="94"/>
      <c r="X448" s="580" t="str">
        <f t="shared" si="487"/>
        <v/>
      </c>
      <c r="Y448" s="580" t="str">
        <f t="shared" si="454"/>
        <v/>
      </c>
      <c r="Z448" s="580" t="str">
        <f t="shared" si="478"/>
        <v/>
      </c>
    </row>
    <row r="449" spans="1:26" ht="13.5" hidden="1" thickBot="1" x14ac:dyDescent="0.25">
      <c r="A449" s="97" t="s">
        <v>187</v>
      </c>
      <c r="B449" s="1015" t="s">
        <v>187</v>
      </c>
      <c r="C449" s="1016" t="s">
        <v>187</v>
      </c>
      <c r="D449" s="616"/>
      <c r="E449" s="609"/>
      <c r="F449" s="677"/>
      <c r="G449" s="610"/>
      <c r="H449" s="611"/>
      <c r="I449" s="612"/>
      <c r="J449" s="613"/>
      <c r="K449" s="617">
        <f t="shared" si="488"/>
        <v>0</v>
      </c>
      <c r="L449" s="615" t="s">
        <v>783</v>
      </c>
      <c r="M449" s="92"/>
      <c r="N449" s="92"/>
      <c r="O449" s="93">
        <f t="shared" si="495"/>
        <v>0</v>
      </c>
      <c r="P449" s="93">
        <f t="shared" si="490"/>
        <v>0</v>
      </c>
      <c r="Q449" s="94"/>
      <c r="R449" s="92">
        <f t="shared" si="491"/>
        <v>0</v>
      </c>
      <c r="S449" s="92">
        <f t="shared" si="492"/>
        <v>0</v>
      </c>
      <c r="T449" s="93">
        <f t="shared" si="493"/>
        <v>0</v>
      </c>
      <c r="U449" s="95">
        <f t="shared" si="494"/>
        <v>0</v>
      </c>
      <c r="V449" s="94"/>
      <c r="X449" s="580" t="str">
        <f t="shared" si="487"/>
        <v/>
      </c>
      <c r="Y449" s="580" t="str">
        <f t="shared" si="454"/>
        <v/>
      </c>
      <c r="Z449" s="580" t="str">
        <f t="shared" si="478"/>
        <v/>
      </c>
    </row>
    <row r="450" spans="1:26" ht="13.5" hidden="1" thickBot="1" x14ac:dyDescent="0.25">
      <c r="A450" s="97" t="s">
        <v>187</v>
      </c>
      <c r="B450" s="1015" t="s">
        <v>187</v>
      </c>
      <c r="C450" s="1016" t="s">
        <v>187</v>
      </c>
      <c r="D450" s="616"/>
      <c r="E450" s="609"/>
      <c r="F450" s="677"/>
      <c r="G450" s="610"/>
      <c r="H450" s="611"/>
      <c r="I450" s="612"/>
      <c r="J450" s="613"/>
      <c r="K450" s="617">
        <f t="shared" si="488"/>
        <v>0</v>
      </c>
      <c r="L450" s="615" t="s">
        <v>783</v>
      </c>
      <c r="M450" s="92"/>
      <c r="N450" s="92"/>
      <c r="O450" s="93">
        <f t="shared" si="495"/>
        <v>0</v>
      </c>
      <c r="P450" s="93">
        <f t="shared" si="490"/>
        <v>0</v>
      </c>
      <c r="Q450" s="94"/>
      <c r="R450" s="92">
        <f t="shared" si="491"/>
        <v>0</v>
      </c>
      <c r="S450" s="92">
        <f t="shared" si="492"/>
        <v>0</v>
      </c>
      <c r="T450" s="93">
        <f t="shared" si="493"/>
        <v>0</v>
      </c>
      <c r="U450" s="95">
        <f t="shared" si="494"/>
        <v>0</v>
      </c>
      <c r="V450" s="94"/>
      <c r="X450" s="580" t="str">
        <f t="shared" si="487"/>
        <v/>
      </c>
      <c r="Y450" s="580" t="str">
        <f t="shared" si="454"/>
        <v/>
      </c>
      <c r="Z450" s="580" t="str">
        <f t="shared" si="478"/>
        <v/>
      </c>
    </row>
    <row r="451" spans="1:26" ht="13.5" hidden="1" thickBot="1" x14ac:dyDescent="0.25">
      <c r="A451" s="97" t="s">
        <v>187</v>
      </c>
      <c r="B451" s="1015" t="s">
        <v>187</v>
      </c>
      <c r="C451" s="1016" t="s">
        <v>187</v>
      </c>
      <c r="D451" s="616"/>
      <c r="E451" s="609"/>
      <c r="F451" s="677"/>
      <c r="G451" s="610"/>
      <c r="H451" s="611"/>
      <c r="I451" s="612"/>
      <c r="J451" s="613"/>
      <c r="K451" s="617">
        <f t="shared" si="488"/>
        <v>0</v>
      </c>
      <c r="L451" s="615" t="s">
        <v>783</v>
      </c>
      <c r="M451" s="92"/>
      <c r="N451" s="92"/>
      <c r="O451" s="93">
        <f t="shared" si="495"/>
        <v>0</v>
      </c>
      <c r="P451" s="93">
        <f t="shared" si="490"/>
        <v>0</v>
      </c>
      <c r="Q451" s="94"/>
      <c r="R451" s="92">
        <f t="shared" si="491"/>
        <v>0</v>
      </c>
      <c r="S451" s="92">
        <f t="shared" si="492"/>
        <v>0</v>
      </c>
      <c r="T451" s="93">
        <f t="shared" si="493"/>
        <v>0</v>
      </c>
      <c r="U451" s="95">
        <f t="shared" si="494"/>
        <v>0</v>
      </c>
      <c r="V451" s="94"/>
      <c r="X451" s="580" t="str">
        <f t="shared" si="487"/>
        <v/>
      </c>
      <c r="Y451" s="580" t="str">
        <f t="shared" si="454"/>
        <v/>
      </c>
      <c r="Z451" s="580" t="str">
        <f t="shared" si="478"/>
        <v/>
      </c>
    </row>
    <row r="452" spans="1:26" ht="13.5" hidden="1" thickBot="1" x14ac:dyDescent="0.25">
      <c r="A452" s="97" t="s">
        <v>187</v>
      </c>
      <c r="B452" s="1015" t="s">
        <v>187</v>
      </c>
      <c r="C452" s="1016" t="s">
        <v>187</v>
      </c>
      <c r="D452" s="616"/>
      <c r="E452" s="609"/>
      <c r="F452" s="677"/>
      <c r="G452" s="610"/>
      <c r="H452" s="611"/>
      <c r="I452" s="612"/>
      <c r="J452" s="613"/>
      <c r="K452" s="617">
        <f t="shared" si="488"/>
        <v>0</v>
      </c>
      <c r="L452" s="615" t="s">
        <v>783</v>
      </c>
      <c r="M452" s="92"/>
      <c r="N452" s="92"/>
      <c r="O452" s="93">
        <f t="shared" si="495"/>
        <v>0</v>
      </c>
      <c r="P452" s="93">
        <f t="shared" si="490"/>
        <v>0</v>
      </c>
      <c r="Q452" s="94"/>
      <c r="R452" s="92">
        <f t="shared" si="491"/>
        <v>0</v>
      </c>
      <c r="S452" s="92">
        <f t="shared" si="492"/>
        <v>0</v>
      </c>
      <c r="T452" s="93">
        <f t="shared" si="493"/>
        <v>0</v>
      </c>
      <c r="U452" s="95">
        <f t="shared" si="494"/>
        <v>0</v>
      </c>
      <c r="V452" s="94"/>
      <c r="X452" s="580" t="str">
        <f t="shared" si="487"/>
        <v/>
      </c>
      <c r="Y452" s="580" t="str">
        <f t="shared" si="454"/>
        <v/>
      </c>
      <c r="Z452" s="580" t="str">
        <f t="shared" si="478"/>
        <v/>
      </c>
    </row>
    <row r="453" spans="1:26" ht="13.5" hidden="1" thickBot="1" x14ac:dyDescent="0.25">
      <c r="A453" s="97" t="s">
        <v>187</v>
      </c>
      <c r="B453" s="1015" t="s">
        <v>187</v>
      </c>
      <c r="C453" s="1016" t="s">
        <v>187</v>
      </c>
      <c r="D453" s="616"/>
      <c r="E453" s="609"/>
      <c r="F453" s="677"/>
      <c r="G453" s="610"/>
      <c r="H453" s="611"/>
      <c r="I453" s="612"/>
      <c r="J453" s="613"/>
      <c r="K453" s="617">
        <f t="shared" si="488"/>
        <v>0</v>
      </c>
      <c r="L453" s="615" t="s">
        <v>783</v>
      </c>
      <c r="M453" s="92"/>
      <c r="N453" s="92"/>
      <c r="O453" s="93">
        <f t="shared" si="495"/>
        <v>0</v>
      </c>
      <c r="P453" s="93">
        <f t="shared" si="490"/>
        <v>0</v>
      </c>
      <c r="Q453" s="94"/>
      <c r="R453" s="92">
        <f t="shared" si="491"/>
        <v>0</v>
      </c>
      <c r="S453" s="92">
        <f t="shared" si="492"/>
        <v>0</v>
      </c>
      <c r="T453" s="93">
        <f t="shared" si="493"/>
        <v>0</v>
      </c>
      <c r="U453" s="95">
        <f t="shared" si="494"/>
        <v>0</v>
      </c>
      <c r="V453" s="94"/>
      <c r="X453" s="580" t="str">
        <f t="shared" si="487"/>
        <v/>
      </c>
      <c r="Y453" s="580" t="str">
        <f t="shared" si="454"/>
        <v/>
      </c>
      <c r="Z453" s="580" t="str">
        <f t="shared" si="478"/>
        <v/>
      </c>
    </row>
    <row r="454" spans="1:26" ht="13.5" hidden="1" thickBot="1" x14ac:dyDescent="0.25">
      <c r="A454" s="97" t="s">
        <v>187</v>
      </c>
      <c r="B454" s="1015" t="s">
        <v>187</v>
      </c>
      <c r="C454" s="1016" t="s">
        <v>187</v>
      </c>
      <c r="D454" s="616"/>
      <c r="E454" s="609"/>
      <c r="F454" s="677"/>
      <c r="G454" s="610"/>
      <c r="H454" s="611"/>
      <c r="I454" s="612"/>
      <c r="J454" s="613"/>
      <c r="K454" s="617">
        <f t="shared" si="488"/>
        <v>0</v>
      </c>
      <c r="L454" s="615" t="s">
        <v>783</v>
      </c>
      <c r="M454" s="92"/>
      <c r="N454" s="92"/>
      <c r="O454" s="93">
        <f t="shared" si="495"/>
        <v>0</v>
      </c>
      <c r="P454" s="93">
        <f t="shared" si="490"/>
        <v>0</v>
      </c>
      <c r="Q454" s="94"/>
      <c r="R454" s="92">
        <f t="shared" si="491"/>
        <v>0</v>
      </c>
      <c r="S454" s="92">
        <f t="shared" si="492"/>
        <v>0</v>
      </c>
      <c r="T454" s="93">
        <f t="shared" si="493"/>
        <v>0</v>
      </c>
      <c r="U454" s="95">
        <f t="shared" si="494"/>
        <v>0</v>
      </c>
      <c r="V454" s="94"/>
      <c r="X454" s="580" t="str">
        <f t="shared" si="487"/>
        <v/>
      </c>
      <c r="Y454" s="580" t="str">
        <f t="shared" si="454"/>
        <v/>
      </c>
      <c r="Z454" s="580" t="str">
        <f t="shared" si="478"/>
        <v/>
      </c>
    </row>
    <row r="455" spans="1:26" ht="13.5" hidden="1" thickBot="1" x14ac:dyDescent="0.25">
      <c r="A455" s="97" t="s">
        <v>187</v>
      </c>
      <c r="B455" s="1015" t="s">
        <v>187</v>
      </c>
      <c r="C455" s="1016" t="s">
        <v>187</v>
      </c>
      <c r="D455" s="616"/>
      <c r="E455" s="609"/>
      <c r="F455" s="677"/>
      <c r="G455" s="610"/>
      <c r="H455" s="611"/>
      <c r="I455" s="612"/>
      <c r="J455" s="613"/>
      <c r="K455" s="617">
        <f t="shared" si="488"/>
        <v>0</v>
      </c>
      <c r="L455" s="615" t="s">
        <v>783</v>
      </c>
      <c r="M455" s="92"/>
      <c r="N455" s="92"/>
      <c r="O455" s="93">
        <f t="shared" si="495"/>
        <v>0</v>
      </c>
      <c r="P455" s="93">
        <f t="shared" si="490"/>
        <v>0</v>
      </c>
      <c r="Q455" s="94"/>
      <c r="R455" s="92">
        <f t="shared" si="491"/>
        <v>0</v>
      </c>
      <c r="S455" s="92">
        <f t="shared" si="492"/>
        <v>0</v>
      </c>
      <c r="T455" s="93">
        <f t="shared" si="493"/>
        <v>0</v>
      </c>
      <c r="U455" s="95">
        <f t="shared" si="494"/>
        <v>0</v>
      </c>
      <c r="V455" s="94"/>
      <c r="X455" s="580" t="str">
        <f t="shared" si="487"/>
        <v/>
      </c>
      <c r="Y455" s="580" t="str">
        <f t="shared" si="454"/>
        <v/>
      </c>
      <c r="Z455" s="580" t="str">
        <f t="shared" si="478"/>
        <v/>
      </c>
    </row>
    <row r="456" spans="1:26" ht="13.5" hidden="1" thickBot="1" x14ac:dyDescent="0.25">
      <c r="A456" s="97" t="s">
        <v>187</v>
      </c>
      <c r="B456" s="1015" t="s">
        <v>187</v>
      </c>
      <c r="C456" s="1016" t="s">
        <v>187</v>
      </c>
      <c r="D456" s="616"/>
      <c r="E456" s="609"/>
      <c r="F456" s="677"/>
      <c r="G456" s="610"/>
      <c r="H456" s="611"/>
      <c r="I456" s="612"/>
      <c r="J456" s="613"/>
      <c r="K456" s="617">
        <f t="shared" si="488"/>
        <v>0</v>
      </c>
      <c r="L456" s="615" t="s">
        <v>783</v>
      </c>
      <c r="M456" s="92"/>
      <c r="N456" s="92"/>
      <c r="O456" s="93">
        <f t="shared" si="495"/>
        <v>0</v>
      </c>
      <c r="P456" s="93">
        <f t="shared" si="490"/>
        <v>0</v>
      </c>
      <c r="Q456" s="94"/>
      <c r="R456" s="92">
        <f t="shared" si="491"/>
        <v>0</v>
      </c>
      <c r="S456" s="92">
        <f t="shared" si="492"/>
        <v>0</v>
      </c>
      <c r="T456" s="93">
        <f t="shared" si="493"/>
        <v>0</v>
      </c>
      <c r="U456" s="95">
        <f t="shared" si="494"/>
        <v>0</v>
      </c>
      <c r="V456" s="94"/>
      <c r="X456" s="580" t="str">
        <f t="shared" si="487"/>
        <v/>
      </c>
      <c r="Y456" s="580" t="str">
        <f t="shared" si="454"/>
        <v/>
      </c>
      <c r="Z456" s="580" t="str">
        <f t="shared" si="478"/>
        <v/>
      </c>
    </row>
    <row r="457" spans="1:26" ht="13.5" hidden="1" thickBot="1" x14ac:dyDescent="0.25">
      <c r="A457" s="97" t="s">
        <v>187</v>
      </c>
      <c r="B457" s="1015" t="s">
        <v>187</v>
      </c>
      <c r="C457" s="1016" t="s">
        <v>187</v>
      </c>
      <c r="D457" s="616"/>
      <c r="E457" s="609"/>
      <c r="F457" s="677"/>
      <c r="G457" s="610"/>
      <c r="H457" s="611"/>
      <c r="I457" s="612"/>
      <c r="J457" s="613"/>
      <c r="K457" s="617">
        <f t="shared" si="488"/>
        <v>0</v>
      </c>
      <c r="L457" s="615" t="s">
        <v>783</v>
      </c>
      <c r="M457" s="92"/>
      <c r="N457" s="92"/>
      <c r="O457" s="93">
        <f t="shared" si="495"/>
        <v>0</v>
      </c>
      <c r="P457" s="93">
        <f t="shared" si="490"/>
        <v>0</v>
      </c>
      <c r="Q457" s="94"/>
      <c r="R457" s="92">
        <f t="shared" si="491"/>
        <v>0</v>
      </c>
      <c r="S457" s="92">
        <f t="shared" si="492"/>
        <v>0</v>
      </c>
      <c r="T457" s="93">
        <f t="shared" si="493"/>
        <v>0</v>
      </c>
      <c r="U457" s="95">
        <f t="shared" si="494"/>
        <v>0</v>
      </c>
      <c r="V457" s="94"/>
      <c r="X457" s="580" t="str">
        <f t="shared" si="487"/>
        <v/>
      </c>
      <c r="Y457" s="580" t="str">
        <f t="shared" si="454"/>
        <v/>
      </c>
      <c r="Z457" s="580" t="str">
        <f t="shared" si="478"/>
        <v/>
      </c>
    </row>
    <row r="458" spans="1:26" ht="13.5" hidden="1" thickBot="1" x14ac:dyDescent="0.25">
      <c r="A458" s="97" t="s">
        <v>187</v>
      </c>
      <c r="B458" s="1015" t="s">
        <v>187</v>
      </c>
      <c r="C458" s="1016" t="s">
        <v>187</v>
      </c>
      <c r="D458" s="616"/>
      <c r="E458" s="609"/>
      <c r="F458" s="677"/>
      <c r="G458" s="610"/>
      <c r="H458" s="611"/>
      <c r="I458" s="612"/>
      <c r="J458" s="613"/>
      <c r="K458" s="617">
        <f t="shared" si="488"/>
        <v>0</v>
      </c>
      <c r="L458" s="615" t="s">
        <v>783</v>
      </c>
      <c r="M458" s="92"/>
      <c r="N458" s="92"/>
      <c r="O458" s="93">
        <f t="shared" si="495"/>
        <v>0</v>
      </c>
      <c r="P458" s="93">
        <f t="shared" si="490"/>
        <v>0</v>
      </c>
      <c r="Q458" s="94"/>
      <c r="R458" s="92">
        <f t="shared" si="491"/>
        <v>0</v>
      </c>
      <c r="S458" s="92">
        <f t="shared" si="492"/>
        <v>0</v>
      </c>
      <c r="T458" s="93">
        <f t="shared" si="493"/>
        <v>0</v>
      </c>
      <c r="U458" s="95">
        <f t="shared" si="494"/>
        <v>0</v>
      </c>
      <c r="V458" s="94"/>
      <c r="X458" s="580" t="str">
        <f t="shared" si="487"/>
        <v/>
      </c>
      <c r="Y458" s="580" t="str">
        <f t="shared" si="454"/>
        <v/>
      </c>
      <c r="Z458" s="580" t="str">
        <f t="shared" si="478"/>
        <v/>
      </c>
    </row>
    <row r="459" spans="1:26" ht="13.5" hidden="1" thickBot="1" x14ac:dyDescent="0.25">
      <c r="A459" s="97" t="s">
        <v>187</v>
      </c>
      <c r="B459" s="1015" t="s">
        <v>187</v>
      </c>
      <c r="C459" s="1016" t="s">
        <v>187</v>
      </c>
      <c r="D459" s="616"/>
      <c r="E459" s="609"/>
      <c r="F459" s="677"/>
      <c r="G459" s="610"/>
      <c r="H459" s="611"/>
      <c r="I459" s="612"/>
      <c r="J459" s="613"/>
      <c r="K459" s="617">
        <f t="shared" si="488"/>
        <v>0</v>
      </c>
      <c r="L459" s="615" t="s">
        <v>783</v>
      </c>
      <c r="M459" s="92"/>
      <c r="N459" s="92"/>
      <c r="O459" s="93">
        <f t="shared" si="495"/>
        <v>0</v>
      </c>
      <c r="P459" s="93">
        <f t="shared" si="490"/>
        <v>0</v>
      </c>
      <c r="Q459" s="94"/>
      <c r="R459" s="92">
        <f t="shared" si="491"/>
        <v>0</v>
      </c>
      <c r="S459" s="92">
        <f t="shared" si="492"/>
        <v>0</v>
      </c>
      <c r="T459" s="93">
        <f t="shared" si="493"/>
        <v>0</v>
      </c>
      <c r="U459" s="95">
        <f t="shared" si="494"/>
        <v>0</v>
      </c>
      <c r="V459" s="94"/>
      <c r="X459" s="580" t="str">
        <f t="shared" si="487"/>
        <v/>
      </c>
      <c r="Y459" s="580" t="str">
        <f t="shared" si="454"/>
        <v/>
      </c>
      <c r="Z459" s="580" t="str">
        <f t="shared" si="478"/>
        <v/>
      </c>
    </row>
    <row r="460" spans="1:26" ht="13.5" hidden="1" thickBot="1" x14ac:dyDescent="0.25">
      <c r="A460" s="97" t="s">
        <v>187</v>
      </c>
      <c r="B460" s="1015" t="s">
        <v>187</v>
      </c>
      <c r="C460" s="1016" t="s">
        <v>187</v>
      </c>
      <c r="D460" s="616"/>
      <c r="E460" s="609"/>
      <c r="F460" s="677"/>
      <c r="G460" s="610"/>
      <c r="H460" s="611"/>
      <c r="I460" s="612"/>
      <c r="J460" s="613"/>
      <c r="K460" s="617">
        <f t="shared" si="488"/>
        <v>0</v>
      </c>
      <c r="L460" s="615" t="s">
        <v>783</v>
      </c>
      <c r="M460" s="92"/>
      <c r="N460" s="92"/>
      <c r="O460" s="93">
        <f t="shared" si="495"/>
        <v>0</v>
      </c>
      <c r="P460" s="93">
        <f t="shared" si="490"/>
        <v>0</v>
      </c>
      <c r="Q460" s="94"/>
      <c r="R460" s="92">
        <f t="shared" si="491"/>
        <v>0</v>
      </c>
      <c r="S460" s="92">
        <f t="shared" si="492"/>
        <v>0</v>
      </c>
      <c r="T460" s="93">
        <f t="shared" si="493"/>
        <v>0</v>
      </c>
      <c r="U460" s="95">
        <f t="shared" si="494"/>
        <v>0</v>
      </c>
      <c r="V460" s="94"/>
      <c r="X460" s="580" t="str">
        <f t="shared" si="487"/>
        <v/>
      </c>
      <c r="Y460" s="580" t="str">
        <f t="shared" si="454"/>
        <v/>
      </c>
      <c r="Z460" s="580" t="str">
        <f t="shared" si="478"/>
        <v/>
      </c>
    </row>
    <row r="461" spans="1:26" ht="13.5" hidden="1" thickBot="1" x14ac:dyDescent="0.25">
      <c r="A461" s="97" t="s">
        <v>187</v>
      </c>
      <c r="B461" s="1015" t="s">
        <v>187</v>
      </c>
      <c r="C461" s="1016" t="s">
        <v>187</v>
      </c>
      <c r="D461" s="616"/>
      <c r="E461" s="609"/>
      <c r="F461" s="677"/>
      <c r="G461" s="610"/>
      <c r="H461" s="611"/>
      <c r="I461" s="612"/>
      <c r="J461" s="613"/>
      <c r="K461" s="617">
        <f t="shared" si="488"/>
        <v>0</v>
      </c>
      <c r="L461" s="615" t="s">
        <v>783</v>
      </c>
      <c r="M461" s="92"/>
      <c r="N461" s="92"/>
      <c r="O461" s="93">
        <f t="shared" si="495"/>
        <v>0</v>
      </c>
      <c r="P461" s="93">
        <f t="shared" si="490"/>
        <v>0</v>
      </c>
      <c r="Q461" s="94"/>
      <c r="R461" s="92">
        <f t="shared" si="491"/>
        <v>0</v>
      </c>
      <c r="S461" s="92">
        <f t="shared" si="492"/>
        <v>0</v>
      </c>
      <c r="T461" s="93">
        <f t="shared" si="493"/>
        <v>0</v>
      </c>
      <c r="U461" s="95">
        <f t="shared" si="494"/>
        <v>0</v>
      </c>
      <c r="V461" s="94"/>
      <c r="X461" s="580" t="str">
        <f t="shared" si="487"/>
        <v/>
      </c>
      <c r="Y461" s="580" t="str">
        <f t="shared" si="454"/>
        <v/>
      </c>
      <c r="Z461" s="580" t="str">
        <f t="shared" si="478"/>
        <v/>
      </c>
    </row>
    <row r="462" spans="1:26" ht="13.5" hidden="1" thickBot="1" x14ac:dyDescent="0.25">
      <c r="A462" s="97" t="s">
        <v>187</v>
      </c>
      <c r="B462" s="1015" t="s">
        <v>187</v>
      </c>
      <c r="C462" s="1016" t="s">
        <v>187</v>
      </c>
      <c r="D462" s="616"/>
      <c r="E462" s="609"/>
      <c r="F462" s="677"/>
      <c r="G462" s="610"/>
      <c r="H462" s="611"/>
      <c r="I462" s="612"/>
      <c r="J462" s="613"/>
      <c r="K462" s="617">
        <f t="shared" si="488"/>
        <v>0</v>
      </c>
      <c r="L462" s="615" t="s">
        <v>783</v>
      </c>
      <c r="M462" s="92"/>
      <c r="N462" s="92"/>
      <c r="O462" s="93">
        <f t="shared" si="495"/>
        <v>0</v>
      </c>
      <c r="P462" s="93">
        <f t="shared" si="490"/>
        <v>0</v>
      </c>
      <c r="Q462" s="94"/>
      <c r="R462" s="92">
        <f t="shared" si="491"/>
        <v>0</v>
      </c>
      <c r="S462" s="92">
        <f t="shared" si="492"/>
        <v>0</v>
      </c>
      <c r="T462" s="93">
        <f t="shared" si="493"/>
        <v>0</v>
      </c>
      <c r="U462" s="95">
        <f t="shared" si="494"/>
        <v>0</v>
      </c>
      <c r="V462" s="94"/>
      <c r="X462" s="580" t="str">
        <f t="shared" si="487"/>
        <v/>
      </c>
      <c r="Y462" s="580" t="str">
        <f t="shared" si="454"/>
        <v/>
      </c>
      <c r="Z462" s="580" t="str">
        <f t="shared" si="478"/>
        <v/>
      </c>
    </row>
    <row r="463" spans="1:26" ht="13.5" hidden="1" thickBot="1" x14ac:dyDescent="0.25">
      <c r="A463" s="97" t="s">
        <v>187</v>
      </c>
      <c r="B463" s="1015" t="s">
        <v>187</v>
      </c>
      <c r="C463" s="1016" t="s">
        <v>187</v>
      </c>
      <c r="D463" s="616"/>
      <c r="E463" s="609"/>
      <c r="F463" s="677"/>
      <c r="G463" s="610"/>
      <c r="H463" s="611"/>
      <c r="I463" s="612"/>
      <c r="J463" s="613"/>
      <c r="K463" s="617">
        <f t="shared" si="488"/>
        <v>0</v>
      </c>
      <c r="L463" s="615" t="s">
        <v>783</v>
      </c>
      <c r="M463" s="92"/>
      <c r="N463" s="92"/>
      <c r="O463" s="93">
        <f t="shared" si="495"/>
        <v>0</v>
      </c>
      <c r="P463" s="93">
        <f t="shared" si="490"/>
        <v>0</v>
      </c>
      <c r="Q463" s="94"/>
      <c r="R463" s="92">
        <f t="shared" si="491"/>
        <v>0</v>
      </c>
      <c r="S463" s="92">
        <f t="shared" si="492"/>
        <v>0</v>
      </c>
      <c r="T463" s="93">
        <f t="shared" si="493"/>
        <v>0</v>
      </c>
      <c r="U463" s="95">
        <f t="shared" si="494"/>
        <v>0</v>
      </c>
      <c r="V463" s="94"/>
      <c r="X463" s="580" t="str">
        <f t="shared" si="487"/>
        <v/>
      </c>
      <c r="Y463" s="580" t="str">
        <f t="shared" si="454"/>
        <v/>
      </c>
      <c r="Z463" s="580" t="str">
        <f t="shared" si="478"/>
        <v/>
      </c>
    </row>
    <row r="464" spans="1:26" ht="13.5" hidden="1" thickBot="1" x14ac:dyDescent="0.25">
      <c r="A464" s="97" t="s">
        <v>187</v>
      </c>
      <c r="B464" s="1015" t="s">
        <v>187</v>
      </c>
      <c r="C464" s="1016" t="s">
        <v>187</v>
      </c>
      <c r="D464" s="616"/>
      <c r="E464" s="609"/>
      <c r="F464" s="677"/>
      <c r="G464" s="610"/>
      <c r="H464" s="611"/>
      <c r="I464" s="612"/>
      <c r="J464" s="613"/>
      <c r="K464" s="617">
        <f t="shared" si="488"/>
        <v>0</v>
      </c>
      <c r="L464" s="615" t="s">
        <v>783</v>
      </c>
      <c r="M464" s="92"/>
      <c r="N464" s="92"/>
      <c r="O464" s="93">
        <f t="shared" si="495"/>
        <v>0</v>
      </c>
      <c r="P464" s="93">
        <f t="shared" si="490"/>
        <v>0</v>
      </c>
      <c r="Q464" s="94"/>
      <c r="R464" s="92">
        <f t="shared" si="491"/>
        <v>0</v>
      </c>
      <c r="S464" s="92">
        <f t="shared" si="492"/>
        <v>0</v>
      </c>
      <c r="T464" s="93">
        <f t="shared" si="493"/>
        <v>0</v>
      </c>
      <c r="U464" s="95">
        <f t="shared" si="494"/>
        <v>0</v>
      </c>
      <c r="V464" s="94"/>
      <c r="X464" s="580" t="str">
        <f t="shared" si="487"/>
        <v/>
      </c>
      <c r="Y464" s="580" t="str">
        <f t="shared" si="454"/>
        <v/>
      </c>
      <c r="Z464" s="580" t="str">
        <f t="shared" si="478"/>
        <v/>
      </c>
    </row>
    <row r="465" spans="1:26" ht="13.5" hidden="1" thickBot="1" x14ac:dyDescent="0.25">
      <c r="A465" s="97" t="s">
        <v>187</v>
      </c>
      <c r="B465" s="1015" t="s">
        <v>187</v>
      </c>
      <c r="C465" s="1016" t="s">
        <v>187</v>
      </c>
      <c r="D465" s="616"/>
      <c r="E465" s="609"/>
      <c r="F465" s="677"/>
      <c r="G465" s="610"/>
      <c r="H465" s="611"/>
      <c r="I465" s="612"/>
      <c r="J465" s="613"/>
      <c r="K465" s="617">
        <f t="shared" si="488"/>
        <v>0</v>
      </c>
      <c r="L465" s="615" t="s">
        <v>783</v>
      </c>
      <c r="M465" s="92"/>
      <c r="N465" s="92"/>
      <c r="O465" s="93">
        <f t="shared" si="495"/>
        <v>0</v>
      </c>
      <c r="P465" s="93">
        <f t="shared" si="490"/>
        <v>0</v>
      </c>
      <c r="Q465" s="94"/>
      <c r="R465" s="92">
        <f t="shared" si="491"/>
        <v>0</v>
      </c>
      <c r="S465" s="92">
        <f t="shared" si="492"/>
        <v>0</v>
      </c>
      <c r="T465" s="93">
        <f t="shared" si="493"/>
        <v>0</v>
      </c>
      <c r="U465" s="95">
        <f t="shared" si="494"/>
        <v>0</v>
      </c>
      <c r="V465" s="94"/>
      <c r="X465" s="580" t="str">
        <f t="shared" si="487"/>
        <v/>
      </c>
      <c r="Y465" s="580" t="str">
        <f t="shared" si="454"/>
        <v/>
      </c>
      <c r="Z465" s="580" t="str">
        <f t="shared" si="478"/>
        <v/>
      </c>
    </row>
    <row r="466" spans="1:26" ht="13.5" hidden="1" thickBot="1" x14ac:dyDescent="0.25">
      <c r="A466" s="97" t="s">
        <v>187</v>
      </c>
      <c r="B466" s="1017" t="s">
        <v>187</v>
      </c>
      <c r="C466" s="1018" t="s">
        <v>187</v>
      </c>
      <c r="D466" s="619"/>
      <c r="E466" s="620"/>
      <c r="F466" s="678"/>
      <c r="G466" s="621"/>
      <c r="H466" s="622"/>
      <c r="I466" s="623"/>
      <c r="J466" s="624"/>
      <c r="K466" s="625">
        <f t="shared" si="488"/>
        <v>0</v>
      </c>
      <c r="L466" s="626" t="s">
        <v>783</v>
      </c>
      <c r="M466" s="92"/>
      <c r="N466" s="92"/>
      <c r="O466" s="627">
        <f t="shared" si="495"/>
        <v>0</v>
      </c>
      <c r="P466" s="627">
        <f t="shared" si="490"/>
        <v>0</v>
      </c>
      <c r="Q466" s="94"/>
      <c r="R466" s="92">
        <f t="shared" si="491"/>
        <v>0</v>
      </c>
      <c r="S466" s="92">
        <f t="shared" si="492"/>
        <v>0</v>
      </c>
      <c r="T466" s="627">
        <f t="shared" si="493"/>
        <v>0</v>
      </c>
      <c r="U466" s="628">
        <f t="shared" si="494"/>
        <v>0</v>
      </c>
      <c r="V466" s="94"/>
      <c r="X466" s="580" t="str">
        <f t="shared" si="487"/>
        <v/>
      </c>
      <c r="Y466" s="580" t="str">
        <f t="shared" si="454"/>
        <v/>
      </c>
      <c r="Z466" s="580" t="str">
        <f t="shared" si="478"/>
        <v/>
      </c>
    </row>
    <row r="467" spans="1:26" ht="13.5" thickBot="1" x14ac:dyDescent="0.25">
      <c r="A467" s="97" t="s">
        <v>188</v>
      </c>
      <c r="B467" s="1124" t="s">
        <v>188</v>
      </c>
      <c r="C467" s="1125"/>
      <c r="D467" s="1126" t="s">
        <v>497</v>
      </c>
      <c r="E467" s="1102"/>
      <c r="F467" s="679"/>
      <c r="G467" s="574"/>
      <c r="H467" s="77"/>
      <c r="I467" s="576"/>
      <c r="J467" s="576"/>
      <c r="K467" s="576"/>
      <c r="L467" s="576" t="s">
        <v>783</v>
      </c>
      <c r="M467" s="575"/>
      <c r="N467" s="576"/>
      <c r="O467" s="576"/>
      <c r="P467" s="577"/>
      <c r="Q467" s="578">
        <f>SUM(P468:P521)</f>
        <v>54035.32</v>
      </c>
      <c r="R467" s="1103"/>
      <c r="S467" s="1104"/>
      <c r="T467" s="1104"/>
      <c r="U467" s="1105"/>
      <c r="V467" s="1106">
        <f>SUM(U468:U521)</f>
        <v>54029.08</v>
      </c>
      <c r="W467" s="579" t="str">
        <f>IF(OR(Q467&gt;0,V467&gt;0),"X","")</f>
        <v>X</v>
      </c>
      <c r="X467" s="580" t="str">
        <f t="shared" si="487"/>
        <v>x</v>
      </c>
      <c r="Y467" s="580" t="str">
        <f t="shared" si="454"/>
        <v>x</v>
      </c>
      <c r="Z467" s="580" t="str">
        <f t="shared" si="478"/>
        <v>x</v>
      </c>
    </row>
    <row r="468" spans="1:26" x14ac:dyDescent="0.2">
      <c r="A468" s="1008" t="s">
        <v>1130</v>
      </c>
      <c r="B468" s="1151" t="s">
        <v>1130</v>
      </c>
      <c r="C468" s="1108" t="s">
        <v>523</v>
      </c>
      <c r="D468" s="1109" t="s">
        <v>1133</v>
      </c>
      <c r="E468" s="1110"/>
      <c r="F468" s="671"/>
      <c r="G468" s="597"/>
      <c r="H468" s="682"/>
      <c r="I468" s="592">
        <v>12.4</v>
      </c>
      <c r="J468" s="592">
        <f>IF(ISBLANK(I468),"",SUM(H468:I468))</f>
        <v>12.4</v>
      </c>
      <c r="K468" s="593">
        <f>IF(ISBLANK(I468),0,ROUND(J468*(1+$F$10)*(1+$F$11*E468),2))</f>
        <v>15.09</v>
      </c>
      <c r="L468" s="594" t="s">
        <v>19</v>
      </c>
      <c r="M468" s="92">
        <v>24</v>
      </c>
      <c r="N468" s="92">
        <v>15.35</v>
      </c>
      <c r="O468" s="93">
        <f t="shared" ref="O468:O494" si="496">IF(ISBLANK(M468),0,ROUND(K468*M468,2))</f>
        <v>362.16</v>
      </c>
      <c r="P468" s="93">
        <f t="shared" ref="P468:P494" si="497">IF(ISBLANK(N468),0,ROUND(M468*N468,2))</f>
        <v>368.4</v>
      </c>
      <c r="Q468" s="94"/>
      <c r="R468" s="1111">
        <f t="shared" ref="R468:R471" si="498">M468</f>
        <v>24</v>
      </c>
      <c r="S468" s="1111">
        <f>K468</f>
        <v>15.09</v>
      </c>
      <c r="T468" s="1112">
        <f t="shared" si="453"/>
        <v>362.16</v>
      </c>
      <c r="U468" s="1113">
        <f t="shared" ref="U468:U495" si="499">IF(ISBLANK(R468),0,ROUND(R468*S468,2))</f>
        <v>362.16</v>
      </c>
      <c r="V468" s="1114"/>
      <c r="X468" s="580" t="str">
        <f t="shared" si="487"/>
        <v>x</v>
      </c>
      <c r="Y468" s="580" t="str">
        <f t="shared" si="454"/>
        <v>x</v>
      </c>
      <c r="Z468" s="580" t="str">
        <f t="shared" si="478"/>
        <v>x</v>
      </c>
    </row>
    <row r="469" spans="1:26" hidden="1" x14ac:dyDescent="0.2">
      <c r="A469" s="1008" t="s">
        <v>1131</v>
      </c>
      <c r="B469" s="1032" t="s">
        <v>1131</v>
      </c>
      <c r="C469" s="978" t="s">
        <v>523</v>
      </c>
      <c r="D469" s="589" t="s">
        <v>1132</v>
      </c>
      <c r="E469" s="590"/>
      <c r="F469" s="601"/>
      <c r="G469" s="591"/>
      <c r="H469" s="908"/>
      <c r="I469" s="592">
        <v>37.18</v>
      </c>
      <c r="J469" s="592">
        <f>IF(ISBLANK(I469),"",SUM(H469:I469))</f>
        <v>37.18</v>
      </c>
      <c r="K469" s="593">
        <f>IF(ISBLANK(I469),0,ROUND(J469*(1+$F$10)*(1+$F$11*E469),2))</f>
        <v>45.25</v>
      </c>
      <c r="L469" s="594" t="s">
        <v>19</v>
      </c>
      <c r="M469" s="92"/>
      <c r="N469" s="92"/>
      <c r="O469" s="93">
        <f t="shared" si="496"/>
        <v>0</v>
      </c>
      <c r="P469" s="95">
        <f t="shared" si="497"/>
        <v>0</v>
      </c>
      <c r="Q469" s="94"/>
      <c r="R469" s="598">
        <f t="shared" si="498"/>
        <v>0</v>
      </c>
      <c r="S469" s="599">
        <f t="shared" ref="S469:S471" si="500">N469</f>
        <v>0</v>
      </c>
      <c r="T469" s="93">
        <f t="shared" si="453"/>
        <v>0</v>
      </c>
      <c r="U469" s="95">
        <f t="shared" si="499"/>
        <v>0</v>
      </c>
      <c r="V469" s="94"/>
      <c r="X469" s="580" t="str">
        <f t="shared" si="487"/>
        <v/>
      </c>
      <c r="Y469" s="580" t="str">
        <f t="shared" si="454"/>
        <v/>
      </c>
      <c r="Z469" s="580" t="str">
        <f t="shared" si="478"/>
        <v/>
      </c>
    </row>
    <row r="470" spans="1:26" hidden="1" x14ac:dyDescent="0.2">
      <c r="A470" s="1008">
        <v>535200</v>
      </c>
      <c r="B470" s="1010" t="s">
        <v>1967</v>
      </c>
      <c r="C470" s="975" t="s">
        <v>212</v>
      </c>
      <c r="D470" s="988" t="s">
        <v>248</v>
      </c>
      <c r="E470" s="976"/>
      <c r="F470" s="994">
        <v>20</v>
      </c>
      <c r="G470" s="1061">
        <v>7.6999999999999999E-2</v>
      </c>
      <c r="H470" s="661">
        <f t="shared" ref="H470" si="501">IF(F470&lt;=30,(0.7*F470+1.45)*G470,((0.7*30+1.45)+0.58*(F470-30))*G470)</f>
        <v>1.1896499999999999</v>
      </c>
      <c r="I470" s="1030">
        <v>9.84</v>
      </c>
      <c r="J470" s="592">
        <f>IF(ISBLANK(I470),"",SUM(H470:I470))</f>
        <v>11.02965</v>
      </c>
      <c r="K470" s="593">
        <f>IF(ISBLANK(I470),0,ROUND(J470*(1+$F$10)*(1+$F$11*E470),2))</f>
        <v>13.42</v>
      </c>
      <c r="L470" s="594" t="s">
        <v>19</v>
      </c>
      <c r="M470" s="92"/>
      <c r="N470" s="92"/>
      <c r="O470" s="93">
        <f t="shared" si="496"/>
        <v>0</v>
      </c>
      <c r="P470" s="93">
        <f t="shared" si="497"/>
        <v>0</v>
      </c>
      <c r="Q470" s="94"/>
      <c r="R470" s="92">
        <f t="shared" si="498"/>
        <v>0</v>
      </c>
      <c r="S470" s="92">
        <f t="shared" si="500"/>
        <v>0</v>
      </c>
      <c r="T470" s="93">
        <f t="shared" si="453"/>
        <v>0</v>
      </c>
      <c r="U470" s="95">
        <f t="shared" si="499"/>
        <v>0</v>
      </c>
      <c r="V470" s="94"/>
      <c r="X470" s="580" t="str">
        <f t="shared" si="487"/>
        <v/>
      </c>
      <c r="Y470" s="580" t="str">
        <f t="shared" si="454"/>
        <v/>
      </c>
      <c r="Z470" s="580" t="str">
        <f t="shared" si="478"/>
        <v/>
      </c>
    </row>
    <row r="471" spans="1:26" hidden="1" x14ac:dyDescent="0.2">
      <c r="A471" s="1008">
        <v>810100</v>
      </c>
      <c r="B471" s="1010">
        <v>810100</v>
      </c>
      <c r="C471" s="978" t="s">
        <v>212</v>
      </c>
      <c r="D471" s="595" t="s">
        <v>277</v>
      </c>
      <c r="E471" s="596"/>
      <c r="F471" s="671"/>
      <c r="G471" s="597"/>
      <c r="H471" s="682">
        <f>SUM(H472:H474)</f>
        <v>18.622584</v>
      </c>
      <c r="I471" s="592">
        <v>53.510000000000005</v>
      </c>
      <c r="J471" s="592">
        <f t="shared" ref="J471:J491" si="502">IF(ISBLANK(I471),"",SUM(H471:I471))</f>
        <v>72.132584000000008</v>
      </c>
      <c r="K471" s="593">
        <f>IF(ISBLANK(I471),0,ROUND(J471*(1+$F$10)*(1+$F$11*E471),2))</f>
        <v>87.79</v>
      </c>
      <c r="L471" s="594" t="s">
        <v>19</v>
      </c>
      <c r="M471" s="92"/>
      <c r="N471" s="92"/>
      <c r="O471" s="93">
        <f t="shared" si="496"/>
        <v>0</v>
      </c>
      <c r="P471" s="93">
        <f t="shared" si="497"/>
        <v>0</v>
      </c>
      <c r="Q471" s="94"/>
      <c r="R471" s="92">
        <f t="shared" si="498"/>
        <v>0</v>
      </c>
      <c r="S471" s="92">
        <f t="shared" si="500"/>
        <v>0</v>
      </c>
      <c r="T471" s="93">
        <f t="shared" si="453"/>
        <v>0</v>
      </c>
      <c r="U471" s="95">
        <f t="shared" si="499"/>
        <v>0</v>
      </c>
      <c r="V471" s="94"/>
      <c r="X471" s="580" t="str">
        <f t="shared" si="487"/>
        <v/>
      </c>
      <c r="Y471" s="580" t="str">
        <f t="shared" si="454"/>
        <v/>
      </c>
      <c r="Z471" s="580" t="str">
        <f t="shared" si="478"/>
        <v/>
      </c>
    </row>
    <row r="472" spans="1:26" hidden="1" x14ac:dyDescent="0.2">
      <c r="A472" s="97" t="s">
        <v>165</v>
      </c>
      <c r="B472" s="1031" t="s">
        <v>165</v>
      </c>
      <c r="C472" s="978"/>
      <c r="D472" s="631" t="s">
        <v>218</v>
      </c>
      <c r="E472" s="596"/>
      <c r="F472" s="671">
        <v>500</v>
      </c>
      <c r="G472" s="597">
        <f>ROUND(0.103*0.27,4)</f>
        <v>2.7799999999999998E-2</v>
      </c>
      <c r="H472" s="682">
        <f>IF(F472&lt;=30,(0.51*F472+4.28)*G472,((0.51*30+4.28)+0.42*(F472-30))*G472)</f>
        <v>6.032044</v>
      </c>
      <c r="I472" s="592">
        <v>0</v>
      </c>
      <c r="J472" s="592"/>
      <c r="K472" s="593"/>
      <c r="L472" s="670"/>
      <c r="M472" s="632"/>
      <c r="N472" s="633"/>
      <c r="O472" s="93">
        <f t="shared" si="496"/>
        <v>0</v>
      </c>
      <c r="P472" s="93">
        <f t="shared" si="497"/>
        <v>0</v>
      </c>
      <c r="Q472" s="94"/>
      <c r="R472" s="632">
        <f t="shared" ref="R472:R495" si="503">M472</f>
        <v>0</v>
      </c>
      <c r="S472" s="633">
        <f t="shared" ref="S472:S495" si="504">N472</f>
        <v>0</v>
      </c>
      <c r="T472" s="93">
        <f t="shared" si="453"/>
        <v>0</v>
      </c>
      <c r="U472" s="95">
        <f t="shared" si="499"/>
        <v>0</v>
      </c>
      <c r="V472" s="94"/>
      <c r="W472" s="579" t="str">
        <f>IF(U471&gt;0,"xx",IF(P471&gt;0,"xy",""))</f>
        <v/>
      </c>
      <c r="X472" s="580" t="str">
        <f t="shared" si="487"/>
        <v/>
      </c>
      <c r="Y472" s="580" t="str">
        <f t="shared" si="454"/>
        <v/>
      </c>
      <c r="Z472" s="580" t="str">
        <f t="shared" si="478"/>
        <v/>
      </c>
    </row>
    <row r="473" spans="1:26" hidden="1" x14ac:dyDescent="0.2">
      <c r="A473" s="97" t="s">
        <v>165</v>
      </c>
      <c r="B473" s="1031" t="s">
        <v>165</v>
      </c>
      <c r="C473" s="978"/>
      <c r="D473" s="631" t="s">
        <v>257</v>
      </c>
      <c r="E473" s="596"/>
      <c r="F473" s="671">
        <v>180</v>
      </c>
      <c r="G473" s="597">
        <f>ROUND(0.103*0.96,4)</f>
        <v>9.8900000000000002E-2</v>
      </c>
      <c r="H473" s="661">
        <f t="shared" ref="H473:H475" si="505">IF(F473&lt;=30,(0.7*F473+1.45)*G473,((0.7*30+1.45)+0.58*(F473-30))*G473)</f>
        <v>10.824605</v>
      </c>
      <c r="I473" s="592">
        <v>0</v>
      </c>
      <c r="J473" s="592"/>
      <c r="K473" s="593"/>
      <c r="L473" s="670" t="s">
        <v>783</v>
      </c>
      <c r="M473" s="632"/>
      <c r="N473" s="633"/>
      <c r="O473" s="93">
        <f t="shared" si="496"/>
        <v>0</v>
      </c>
      <c r="P473" s="93">
        <f t="shared" si="497"/>
        <v>0</v>
      </c>
      <c r="Q473" s="94"/>
      <c r="R473" s="632">
        <f t="shared" si="503"/>
        <v>0</v>
      </c>
      <c r="S473" s="633">
        <f t="shared" si="504"/>
        <v>0</v>
      </c>
      <c r="T473" s="93">
        <f t="shared" si="453"/>
        <v>0</v>
      </c>
      <c r="U473" s="95">
        <f t="shared" si="499"/>
        <v>0</v>
      </c>
      <c r="V473" s="94"/>
      <c r="W473" s="579" t="str">
        <f>IF(U471&gt;0,"xx",IF(P471&gt;0,"xy",""))</f>
        <v/>
      </c>
      <c r="X473" s="580" t="str">
        <f t="shared" si="487"/>
        <v/>
      </c>
      <c r="Y473" s="580" t="str">
        <f t="shared" si="454"/>
        <v/>
      </c>
      <c r="Z473" s="580" t="str">
        <f t="shared" si="478"/>
        <v/>
      </c>
    </row>
    <row r="474" spans="1:26" hidden="1" x14ac:dyDescent="0.2">
      <c r="A474" s="97" t="s">
        <v>165</v>
      </c>
      <c r="B474" s="1031" t="s">
        <v>165</v>
      </c>
      <c r="C474" s="978"/>
      <c r="D474" s="631" t="s">
        <v>261</v>
      </c>
      <c r="E474" s="596"/>
      <c r="F474" s="671">
        <v>20</v>
      </c>
      <c r="G474" s="597">
        <f>ROUND(0.103*1.11,4)</f>
        <v>0.1143</v>
      </c>
      <c r="H474" s="661">
        <f t="shared" si="505"/>
        <v>1.7659349999999998</v>
      </c>
      <c r="I474" s="592">
        <v>0</v>
      </c>
      <c r="J474" s="592"/>
      <c r="K474" s="593"/>
      <c r="L474" s="670" t="s">
        <v>783</v>
      </c>
      <c r="M474" s="632"/>
      <c r="N474" s="633"/>
      <c r="O474" s="93">
        <f t="shared" si="496"/>
        <v>0</v>
      </c>
      <c r="P474" s="93">
        <f t="shared" si="497"/>
        <v>0</v>
      </c>
      <c r="Q474" s="94"/>
      <c r="R474" s="632">
        <f t="shared" si="503"/>
        <v>0</v>
      </c>
      <c r="S474" s="633">
        <f t="shared" si="504"/>
        <v>0</v>
      </c>
      <c r="T474" s="93">
        <f t="shared" si="453"/>
        <v>0</v>
      </c>
      <c r="U474" s="95">
        <f t="shared" si="499"/>
        <v>0</v>
      </c>
      <c r="V474" s="94"/>
      <c r="W474" s="579" t="str">
        <f>IF(U471&gt;0,"xx",IF(P471&gt;0,"xy",""))</f>
        <v/>
      </c>
      <c r="X474" s="580" t="str">
        <f t="shared" si="487"/>
        <v/>
      </c>
      <c r="Y474" s="580" t="str">
        <f t="shared" si="454"/>
        <v/>
      </c>
      <c r="Z474" s="580" t="str">
        <f t="shared" si="478"/>
        <v/>
      </c>
    </row>
    <row r="475" spans="1:26" hidden="1" x14ac:dyDescent="0.2">
      <c r="A475" s="1008">
        <v>810050</v>
      </c>
      <c r="B475" s="1010">
        <v>810050</v>
      </c>
      <c r="C475" s="978" t="s">
        <v>212</v>
      </c>
      <c r="D475" s="595" t="s">
        <v>278</v>
      </c>
      <c r="E475" s="596"/>
      <c r="F475" s="671">
        <v>10</v>
      </c>
      <c r="G475" s="597">
        <f>0.0278+0.0988+0.1143</f>
        <v>0.2409</v>
      </c>
      <c r="H475" s="661">
        <f t="shared" si="505"/>
        <v>2.0356049999999999</v>
      </c>
      <c r="I475" s="592">
        <v>85.7</v>
      </c>
      <c r="J475" s="592">
        <f t="shared" ref="J475" si="506">IF(ISBLANK(I475),"",SUM(H475:I475))</f>
        <v>87.735605000000007</v>
      </c>
      <c r="K475" s="593">
        <f t="shared" ref="K475:K495" si="507">IF(ISBLANK(I475),0,ROUND(J475*(1+$F$10)*(1+$F$11*E475),2))</f>
        <v>106.78</v>
      </c>
      <c r="L475" s="594" t="s">
        <v>19</v>
      </c>
      <c r="M475" s="92"/>
      <c r="N475" s="92"/>
      <c r="O475" s="93">
        <f t="shared" ref="O475" si="508">IF(ISBLANK(M475),0,ROUND(K475*M475,2))</f>
        <v>0</v>
      </c>
      <c r="P475" s="93">
        <f t="shared" ref="P475" si="509">IF(ISBLANK(N475),0,ROUND(M475*N475,2))</f>
        <v>0</v>
      </c>
      <c r="Q475" s="94"/>
      <c r="R475" s="92">
        <f t="shared" si="503"/>
        <v>0</v>
      </c>
      <c r="S475" s="92">
        <f t="shared" si="504"/>
        <v>0</v>
      </c>
      <c r="T475" s="93">
        <f t="shared" ref="T475" si="510">IF(ISBLANK(R475),0,ROUND(K475*R475,2))</f>
        <v>0</v>
      </c>
      <c r="U475" s="95">
        <f t="shared" si="499"/>
        <v>0</v>
      </c>
      <c r="V475" s="94"/>
      <c r="W475" s="579"/>
      <c r="X475" s="580" t="str">
        <f t="shared" si="487"/>
        <v/>
      </c>
      <c r="Y475" s="580" t="str">
        <f t="shared" si="454"/>
        <v/>
      </c>
      <c r="Z475" s="580" t="str">
        <f t="shared" si="478"/>
        <v/>
      </c>
    </row>
    <row r="476" spans="1:26" hidden="1" x14ac:dyDescent="0.2">
      <c r="A476" s="1008">
        <v>810200</v>
      </c>
      <c r="B476" s="1010">
        <v>810200</v>
      </c>
      <c r="C476" s="978" t="s">
        <v>212</v>
      </c>
      <c r="D476" s="595" t="s">
        <v>279</v>
      </c>
      <c r="E476" s="596"/>
      <c r="F476" s="671"/>
      <c r="G476" s="597"/>
      <c r="H476" s="682">
        <f>SUM(H477:H479)</f>
        <v>7.5826790000000006</v>
      </c>
      <c r="I476" s="592">
        <v>23.25</v>
      </c>
      <c r="J476" s="592">
        <f t="shared" si="502"/>
        <v>30.832678999999999</v>
      </c>
      <c r="K476" s="593">
        <f t="shared" si="507"/>
        <v>37.53</v>
      </c>
      <c r="L476" s="594" t="s">
        <v>19</v>
      </c>
      <c r="M476" s="92"/>
      <c r="N476" s="92"/>
      <c r="O476" s="93">
        <f t="shared" si="496"/>
        <v>0</v>
      </c>
      <c r="P476" s="93">
        <f t="shared" si="497"/>
        <v>0</v>
      </c>
      <c r="Q476" s="94"/>
      <c r="R476" s="92">
        <f t="shared" si="503"/>
        <v>0</v>
      </c>
      <c r="S476" s="92">
        <f t="shared" si="504"/>
        <v>0</v>
      </c>
      <c r="T476" s="93">
        <f t="shared" si="453"/>
        <v>0</v>
      </c>
      <c r="U476" s="95">
        <f t="shared" si="499"/>
        <v>0</v>
      </c>
      <c r="V476" s="94"/>
      <c r="W476" s="579"/>
      <c r="X476" s="580" t="str">
        <f t="shared" si="487"/>
        <v/>
      </c>
      <c r="Y476" s="580" t="str">
        <f t="shared" si="454"/>
        <v/>
      </c>
      <c r="Z476" s="580" t="str">
        <f t="shared" si="478"/>
        <v/>
      </c>
    </row>
    <row r="477" spans="1:26" hidden="1" x14ac:dyDescent="0.2">
      <c r="A477" s="97" t="s">
        <v>165</v>
      </c>
      <c r="B477" s="1031" t="s">
        <v>165</v>
      </c>
      <c r="C477" s="978"/>
      <c r="D477" s="631" t="s">
        <v>218</v>
      </c>
      <c r="E477" s="596"/>
      <c r="F477" s="671">
        <v>500</v>
      </c>
      <c r="G477" s="597">
        <f>ROUND(0.042*0.27,4)</f>
        <v>1.1299999999999999E-2</v>
      </c>
      <c r="H477" s="682">
        <f>IF(F477&lt;=30,(0.51*F477+4.28)*G477,((0.51*30+4.28)+0.42*(F477-30))*G477)</f>
        <v>2.4518740000000001</v>
      </c>
      <c r="I477" s="592">
        <v>0</v>
      </c>
      <c r="J477" s="592"/>
      <c r="K477" s="593">
        <f t="shared" si="507"/>
        <v>0</v>
      </c>
      <c r="L477" s="670" t="s">
        <v>783</v>
      </c>
      <c r="M477" s="632"/>
      <c r="N477" s="633"/>
      <c r="O477" s="93">
        <f t="shared" si="496"/>
        <v>0</v>
      </c>
      <c r="P477" s="93">
        <f t="shared" si="497"/>
        <v>0</v>
      </c>
      <c r="Q477" s="94"/>
      <c r="R477" s="632">
        <f t="shared" si="503"/>
        <v>0</v>
      </c>
      <c r="S477" s="633">
        <f t="shared" si="504"/>
        <v>0</v>
      </c>
      <c r="T477" s="93">
        <f t="shared" si="453"/>
        <v>0</v>
      </c>
      <c r="U477" s="95">
        <f t="shared" si="499"/>
        <v>0</v>
      </c>
      <c r="V477" s="94"/>
      <c r="W477" s="579" t="str">
        <f>IF(U476&gt;0,"xx",IF(P476&gt;0,"xy",""))</f>
        <v/>
      </c>
      <c r="X477" s="580" t="str">
        <f t="shared" si="487"/>
        <v/>
      </c>
      <c r="Y477" s="580" t="str">
        <f t="shared" si="454"/>
        <v/>
      </c>
      <c r="Z477" s="580" t="str">
        <f t="shared" si="478"/>
        <v/>
      </c>
    </row>
    <row r="478" spans="1:26" hidden="1" x14ac:dyDescent="0.2">
      <c r="A478" s="97" t="s">
        <v>165</v>
      </c>
      <c r="B478" s="1031" t="s">
        <v>165</v>
      </c>
      <c r="C478" s="978"/>
      <c r="D478" s="631" t="s">
        <v>257</v>
      </c>
      <c r="E478" s="596"/>
      <c r="F478" s="671">
        <v>180</v>
      </c>
      <c r="G478" s="597">
        <f>ROUND(0.042*0.96,4)</f>
        <v>4.0300000000000002E-2</v>
      </c>
      <c r="H478" s="661">
        <f t="shared" ref="H478:H480" si="511">IF(F478&lt;=30,(0.7*F478+1.45)*G478,((0.7*30+1.45)+0.58*(F478-30))*G478)</f>
        <v>4.4108350000000005</v>
      </c>
      <c r="I478" s="592">
        <v>0</v>
      </c>
      <c r="J478" s="592"/>
      <c r="K478" s="593">
        <f t="shared" si="507"/>
        <v>0</v>
      </c>
      <c r="L478" s="670" t="s">
        <v>783</v>
      </c>
      <c r="M478" s="632"/>
      <c r="N478" s="633"/>
      <c r="O478" s="93">
        <f t="shared" si="496"/>
        <v>0</v>
      </c>
      <c r="P478" s="93">
        <f t="shared" si="497"/>
        <v>0</v>
      </c>
      <c r="Q478" s="94"/>
      <c r="R478" s="632">
        <f t="shared" si="503"/>
        <v>0</v>
      </c>
      <c r="S478" s="633">
        <f t="shared" si="504"/>
        <v>0</v>
      </c>
      <c r="T478" s="93">
        <f t="shared" si="453"/>
        <v>0</v>
      </c>
      <c r="U478" s="95">
        <f t="shared" si="499"/>
        <v>0</v>
      </c>
      <c r="V478" s="94"/>
      <c r="W478" s="579" t="str">
        <f>IF(U476&gt;0,"xx",IF(P476&gt;0,"xy",""))</f>
        <v/>
      </c>
      <c r="X478" s="580" t="str">
        <f t="shared" si="487"/>
        <v/>
      </c>
      <c r="Y478" s="580" t="str">
        <f t="shared" si="454"/>
        <v/>
      </c>
      <c r="Z478" s="580" t="str">
        <f t="shared" si="478"/>
        <v/>
      </c>
    </row>
    <row r="479" spans="1:26" hidden="1" x14ac:dyDescent="0.2">
      <c r="A479" s="97" t="s">
        <v>165</v>
      </c>
      <c r="B479" s="1031" t="s">
        <v>165</v>
      </c>
      <c r="C479" s="978"/>
      <c r="D479" s="631" t="s">
        <v>261</v>
      </c>
      <c r="E479" s="596"/>
      <c r="F479" s="671">
        <v>20</v>
      </c>
      <c r="G479" s="597">
        <f>ROUND(0.042*1.11,4)</f>
        <v>4.6600000000000003E-2</v>
      </c>
      <c r="H479" s="661">
        <f t="shared" si="511"/>
        <v>0.71997</v>
      </c>
      <c r="I479" s="592">
        <v>0</v>
      </c>
      <c r="J479" s="592"/>
      <c r="K479" s="593">
        <f t="shared" si="507"/>
        <v>0</v>
      </c>
      <c r="L479" s="670" t="s">
        <v>783</v>
      </c>
      <c r="M479" s="632"/>
      <c r="N479" s="633"/>
      <c r="O479" s="93">
        <f t="shared" si="496"/>
        <v>0</v>
      </c>
      <c r="P479" s="93">
        <f t="shared" si="497"/>
        <v>0</v>
      </c>
      <c r="Q479" s="94"/>
      <c r="R479" s="632">
        <f t="shared" si="503"/>
        <v>0</v>
      </c>
      <c r="S479" s="633">
        <f t="shared" si="504"/>
        <v>0</v>
      </c>
      <c r="T479" s="93">
        <f t="shared" si="453"/>
        <v>0</v>
      </c>
      <c r="U479" s="95">
        <f t="shared" si="499"/>
        <v>0</v>
      </c>
      <c r="V479" s="94"/>
      <c r="W479" s="579" t="str">
        <f>IF(U476&gt;0,"xx",IF(P476&gt;0,"xy",""))</f>
        <v/>
      </c>
      <c r="X479" s="580" t="str">
        <f t="shared" si="487"/>
        <v/>
      </c>
      <c r="Y479" s="580" t="str">
        <f t="shared" si="454"/>
        <v/>
      </c>
      <c r="Z479" s="580" t="str">
        <f t="shared" si="478"/>
        <v/>
      </c>
    </row>
    <row r="480" spans="1:26" x14ac:dyDescent="0.2">
      <c r="A480" s="1008">
        <v>810150</v>
      </c>
      <c r="B480" s="1107">
        <v>810150</v>
      </c>
      <c r="C480" s="1108" t="s">
        <v>212</v>
      </c>
      <c r="D480" s="1109" t="s">
        <v>280</v>
      </c>
      <c r="E480" s="1110"/>
      <c r="F480" s="1089">
        <v>23.8</v>
      </c>
      <c r="G480" s="597">
        <v>9.8199999999999996E-2</v>
      </c>
      <c r="H480" s="661">
        <f t="shared" si="511"/>
        <v>1.7784019999999998</v>
      </c>
      <c r="I480" s="592">
        <v>39.739999999999995</v>
      </c>
      <c r="J480" s="592">
        <f t="shared" si="502"/>
        <v>41.518401999999995</v>
      </c>
      <c r="K480" s="593">
        <f t="shared" si="507"/>
        <v>50.53</v>
      </c>
      <c r="L480" s="594" t="s">
        <v>19</v>
      </c>
      <c r="M480" s="92">
        <v>1005</v>
      </c>
      <c r="N480" s="92">
        <v>50.24</v>
      </c>
      <c r="O480" s="93">
        <f t="shared" si="496"/>
        <v>50782.65</v>
      </c>
      <c r="P480" s="93">
        <f t="shared" si="497"/>
        <v>50491.199999999997</v>
      </c>
      <c r="Q480" s="94"/>
      <c r="R480" s="1111">
        <f t="shared" si="503"/>
        <v>1005</v>
      </c>
      <c r="S480" s="1111">
        <f t="shared" si="504"/>
        <v>50.24</v>
      </c>
      <c r="T480" s="1112">
        <f t="shared" si="453"/>
        <v>50782.65</v>
      </c>
      <c r="U480" s="1113">
        <f t="shared" si="499"/>
        <v>50491.199999999997</v>
      </c>
      <c r="V480" s="1114"/>
      <c r="X480" s="580" t="str">
        <f t="shared" si="487"/>
        <v>x</v>
      </c>
      <c r="Y480" s="580" t="str">
        <f t="shared" si="454"/>
        <v>x</v>
      </c>
      <c r="Z480" s="580" t="str">
        <f t="shared" si="478"/>
        <v>x</v>
      </c>
    </row>
    <row r="481" spans="1:26" hidden="1" x14ac:dyDescent="0.2">
      <c r="A481" s="1008">
        <v>810700</v>
      </c>
      <c r="B481" s="1010">
        <v>810700</v>
      </c>
      <c r="C481" s="978" t="s">
        <v>212</v>
      </c>
      <c r="D481" s="595" t="s">
        <v>281</v>
      </c>
      <c r="E481" s="596"/>
      <c r="F481" s="671"/>
      <c r="G481" s="597"/>
      <c r="H481" s="682">
        <f>SUM(H482:H484)</f>
        <v>5.6157219999999999</v>
      </c>
      <c r="I481" s="592">
        <v>19.09</v>
      </c>
      <c r="J481" s="592">
        <f t="shared" si="502"/>
        <v>24.705722000000002</v>
      </c>
      <c r="K481" s="593">
        <f t="shared" si="507"/>
        <v>30.07</v>
      </c>
      <c r="L481" s="594" t="s">
        <v>19</v>
      </c>
      <c r="M481" s="92"/>
      <c r="N481" s="92"/>
      <c r="O481" s="93">
        <f t="shared" si="496"/>
        <v>0</v>
      </c>
      <c r="P481" s="93">
        <f t="shared" si="497"/>
        <v>0</v>
      </c>
      <c r="Q481" s="94"/>
      <c r="R481" s="92">
        <f t="shared" si="503"/>
        <v>0</v>
      </c>
      <c r="S481" s="92">
        <f t="shared" si="504"/>
        <v>0</v>
      </c>
      <c r="T481" s="93">
        <f t="shared" si="453"/>
        <v>0</v>
      </c>
      <c r="U481" s="95">
        <f t="shared" si="499"/>
        <v>0</v>
      </c>
      <c r="V481" s="94"/>
      <c r="X481" s="580" t="str">
        <f t="shared" si="487"/>
        <v/>
      </c>
      <c r="Y481" s="580" t="str">
        <f t="shared" si="454"/>
        <v/>
      </c>
      <c r="Z481" s="580" t="str">
        <f t="shared" si="478"/>
        <v/>
      </c>
    </row>
    <row r="482" spans="1:26" hidden="1" x14ac:dyDescent="0.2">
      <c r="A482" s="97" t="s">
        <v>165</v>
      </c>
      <c r="B482" s="1031" t="s">
        <v>165</v>
      </c>
      <c r="C482" s="978"/>
      <c r="D482" s="631" t="s">
        <v>218</v>
      </c>
      <c r="E482" s="596"/>
      <c r="F482" s="671">
        <v>500</v>
      </c>
      <c r="G482" s="597">
        <f>ROUND(0.031*0.27,4)</f>
        <v>8.3999999999999995E-3</v>
      </c>
      <c r="H482" s="682">
        <f>IF(F482&lt;=30,(0.51*F482+4.28)*G482,((0.51*30+4.28)+0.42*(F482-30))*G482)</f>
        <v>1.822632</v>
      </c>
      <c r="I482" s="592">
        <v>0</v>
      </c>
      <c r="J482" s="592"/>
      <c r="K482" s="593">
        <f t="shared" si="507"/>
        <v>0</v>
      </c>
      <c r="L482" s="670" t="s">
        <v>783</v>
      </c>
      <c r="M482" s="632"/>
      <c r="N482" s="633"/>
      <c r="O482" s="93">
        <f t="shared" si="496"/>
        <v>0</v>
      </c>
      <c r="P482" s="93">
        <f t="shared" si="497"/>
        <v>0</v>
      </c>
      <c r="Q482" s="94"/>
      <c r="R482" s="632">
        <f t="shared" si="503"/>
        <v>0</v>
      </c>
      <c r="S482" s="633">
        <f t="shared" si="504"/>
        <v>0</v>
      </c>
      <c r="T482" s="93">
        <f t="shared" si="453"/>
        <v>0</v>
      </c>
      <c r="U482" s="95">
        <f t="shared" si="499"/>
        <v>0</v>
      </c>
      <c r="V482" s="94"/>
      <c r="W482" s="579" t="str">
        <f>IF(U481&gt;0,"xx",IF(P481&gt;0,"xy",""))</f>
        <v/>
      </c>
      <c r="X482" s="580" t="str">
        <f t="shared" si="487"/>
        <v/>
      </c>
      <c r="Y482" s="580" t="str">
        <f t="shared" si="454"/>
        <v/>
      </c>
      <c r="Z482" s="580" t="str">
        <f t="shared" si="478"/>
        <v/>
      </c>
    </row>
    <row r="483" spans="1:26" hidden="1" x14ac:dyDescent="0.2">
      <c r="A483" s="97" t="s">
        <v>165</v>
      </c>
      <c r="B483" s="1031" t="s">
        <v>165</v>
      </c>
      <c r="C483" s="978"/>
      <c r="D483" s="631" t="s">
        <v>257</v>
      </c>
      <c r="E483" s="596"/>
      <c r="F483" s="671">
        <v>180</v>
      </c>
      <c r="G483" s="597">
        <f>ROUND(0.031*0.96,4)</f>
        <v>2.98E-2</v>
      </c>
      <c r="H483" s="661">
        <f t="shared" ref="H483:H485" si="512">IF(F483&lt;=30,(0.7*F483+1.45)*G483,((0.7*30+1.45)+0.58*(F483-30))*G483)</f>
        <v>3.2616100000000001</v>
      </c>
      <c r="I483" s="592">
        <v>0</v>
      </c>
      <c r="J483" s="592"/>
      <c r="K483" s="593">
        <f t="shared" si="507"/>
        <v>0</v>
      </c>
      <c r="L483" s="670" t="s">
        <v>783</v>
      </c>
      <c r="M483" s="632"/>
      <c r="N483" s="633"/>
      <c r="O483" s="93">
        <f t="shared" si="496"/>
        <v>0</v>
      </c>
      <c r="P483" s="93">
        <f t="shared" si="497"/>
        <v>0</v>
      </c>
      <c r="Q483" s="94"/>
      <c r="R483" s="632">
        <f t="shared" si="503"/>
        <v>0</v>
      </c>
      <c r="S483" s="633">
        <f t="shared" si="504"/>
        <v>0</v>
      </c>
      <c r="T483" s="93">
        <f t="shared" si="453"/>
        <v>0</v>
      </c>
      <c r="U483" s="95">
        <f t="shared" si="499"/>
        <v>0</v>
      </c>
      <c r="V483" s="94"/>
      <c r="W483" s="579" t="str">
        <f>IF(U481&gt;0,"xx",IF(P481&gt;0,"xy",""))</f>
        <v/>
      </c>
      <c r="X483" s="580" t="str">
        <f t="shared" si="487"/>
        <v/>
      </c>
      <c r="Y483" s="580" t="str">
        <f t="shared" si="454"/>
        <v/>
      </c>
      <c r="Z483" s="580" t="str">
        <f t="shared" si="478"/>
        <v/>
      </c>
    </row>
    <row r="484" spans="1:26" hidden="1" x14ac:dyDescent="0.2">
      <c r="A484" s="97" t="s">
        <v>165</v>
      </c>
      <c r="B484" s="1031" t="s">
        <v>165</v>
      </c>
      <c r="C484" s="978"/>
      <c r="D484" s="631" t="s">
        <v>261</v>
      </c>
      <c r="E484" s="596"/>
      <c r="F484" s="671">
        <v>20</v>
      </c>
      <c r="G484" s="597">
        <f>ROUND(0.031*1.11,4)</f>
        <v>3.44E-2</v>
      </c>
      <c r="H484" s="661">
        <f t="shared" si="512"/>
        <v>0.53147999999999995</v>
      </c>
      <c r="I484" s="592">
        <v>0</v>
      </c>
      <c r="J484" s="592"/>
      <c r="K484" s="593">
        <f t="shared" si="507"/>
        <v>0</v>
      </c>
      <c r="L484" s="670" t="s">
        <v>783</v>
      </c>
      <c r="M484" s="632"/>
      <c r="N484" s="633"/>
      <c r="O484" s="93">
        <f t="shared" si="496"/>
        <v>0</v>
      </c>
      <c r="P484" s="93">
        <f t="shared" si="497"/>
        <v>0</v>
      </c>
      <c r="Q484" s="94"/>
      <c r="R484" s="632">
        <f t="shared" si="503"/>
        <v>0</v>
      </c>
      <c r="S484" s="633">
        <f t="shared" si="504"/>
        <v>0</v>
      </c>
      <c r="T484" s="93">
        <f t="shared" si="453"/>
        <v>0</v>
      </c>
      <c r="U484" s="95">
        <f t="shared" si="499"/>
        <v>0</v>
      </c>
      <c r="V484" s="94"/>
      <c r="W484" s="579" t="str">
        <f>IF(U481&gt;0,"xx",IF(P481&gt;0,"xy",""))</f>
        <v/>
      </c>
      <c r="X484" s="580" t="str">
        <f t="shared" si="487"/>
        <v/>
      </c>
      <c r="Y484" s="580" t="str">
        <f t="shared" si="454"/>
        <v/>
      </c>
      <c r="Z484" s="580" t="str">
        <f t="shared" si="478"/>
        <v/>
      </c>
    </row>
    <row r="485" spans="1:26" x14ac:dyDescent="0.2">
      <c r="A485" s="1008">
        <v>810650</v>
      </c>
      <c r="B485" s="1107">
        <v>810650</v>
      </c>
      <c r="C485" s="1108" t="s">
        <v>212</v>
      </c>
      <c r="D485" s="1109" t="s">
        <v>282</v>
      </c>
      <c r="E485" s="1110"/>
      <c r="F485" s="1089">
        <v>23.8</v>
      </c>
      <c r="G485" s="597">
        <v>7.2599999999999998E-2</v>
      </c>
      <c r="H485" s="661">
        <f t="shared" si="512"/>
        <v>1.314786</v>
      </c>
      <c r="I485" s="592">
        <v>33.57</v>
      </c>
      <c r="J485" s="592">
        <f t="shared" ref="J485" si="513">IF(ISBLANK(I485),"",SUM(H485:I485))</f>
        <v>34.884785999999998</v>
      </c>
      <c r="K485" s="593">
        <f t="shared" si="507"/>
        <v>42.46</v>
      </c>
      <c r="L485" s="594" t="s">
        <v>19</v>
      </c>
      <c r="M485" s="92">
        <v>29</v>
      </c>
      <c r="N485" s="92">
        <v>42.33</v>
      </c>
      <c r="O485" s="93">
        <f t="shared" ref="O485" si="514">IF(ISBLANK(M485),0,ROUND(K485*M485,2))</f>
        <v>1231.3399999999999</v>
      </c>
      <c r="P485" s="93">
        <f t="shared" ref="P485" si="515">IF(ISBLANK(N485),0,ROUND(M485*N485,2))</f>
        <v>1227.57</v>
      </c>
      <c r="Q485" s="94"/>
      <c r="R485" s="1111">
        <f t="shared" si="503"/>
        <v>29</v>
      </c>
      <c r="S485" s="1111">
        <f t="shared" si="504"/>
        <v>42.33</v>
      </c>
      <c r="T485" s="1112">
        <f t="shared" ref="T485" si="516">IF(ISBLANK(R485),0,ROUND(K485*R485,2))</f>
        <v>1231.3399999999999</v>
      </c>
      <c r="U485" s="1113">
        <f t="shared" si="499"/>
        <v>1227.57</v>
      </c>
      <c r="V485" s="1114"/>
      <c r="X485" s="580" t="str">
        <f t="shared" si="487"/>
        <v>x</v>
      </c>
      <c r="Y485" s="580" t="str">
        <f t="shared" ref="Y485:Y782" si="517">IF(W485="X","x",IF(W485="y","x",IF(W485="xx","x",IF(U485&gt;0,"x",""))))</f>
        <v>x</v>
      </c>
      <c r="Z485" s="580" t="str">
        <f t="shared" si="478"/>
        <v>x</v>
      </c>
    </row>
    <row r="486" spans="1:26" hidden="1" x14ac:dyDescent="0.2">
      <c r="A486" s="1008">
        <v>810300</v>
      </c>
      <c r="B486" s="1010">
        <v>810300</v>
      </c>
      <c r="C486" s="978" t="s">
        <v>212</v>
      </c>
      <c r="D486" s="595" t="s">
        <v>283</v>
      </c>
      <c r="E486" s="596"/>
      <c r="F486" s="671"/>
      <c r="G486" s="597"/>
      <c r="H486" s="682">
        <f>SUM(H487:H489)</f>
        <v>6.1467510000000001</v>
      </c>
      <c r="I486" s="592">
        <v>18.32</v>
      </c>
      <c r="J486" s="592">
        <f t="shared" si="502"/>
        <v>24.466751000000002</v>
      </c>
      <c r="K486" s="593">
        <f t="shared" si="507"/>
        <v>29.78</v>
      </c>
      <c r="L486" s="594" t="s">
        <v>19</v>
      </c>
      <c r="M486" s="92"/>
      <c r="N486" s="92"/>
      <c r="O486" s="93">
        <f t="shared" si="496"/>
        <v>0</v>
      </c>
      <c r="P486" s="93">
        <f t="shared" si="497"/>
        <v>0</v>
      </c>
      <c r="Q486" s="94"/>
      <c r="R486" s="92">
        <f t="shared" si="503"/>
        <v>0</v>
      </c>
      <c r="S486" s="92">
        <f t="shared" si="504"/>
        <v>0</v>
      </c>
      <c r="T486" s="93">
        <f t="shared" si="453"/>
        <v>0</v>
      </c>
      <c r="U486" s="95">
        <f t="shared" si="499"/>
        <v>0</v>
      </c>
      <c r="V486" s="94"/>
      <c r="X486" s="580" t="str">
        <f t="shared" si="487"/>
        <v/>
      </c>
      <c r="Y486" s="580" t="str">
        <f t="shared" si="517"/>
        <v/>
      </c>
      <c r="Z486" s="580" t="str">
        <f t="shared" si="478"/>
        <v/>
      </c>
    </row>
    <row r="487" spans="1:26" hidden="1" x14ac:dyDescent="0.2">
      <c r="A487" s="97" t="s">
        <v>165</v>
      </c>
      <c r="B487" s="1031" t="s">
        <v>165</v>
      </c>
      <c r="C487" s="978"/>
      <c r="D487" s="631" t="s">
        <v>218</v>
      </c>
      <c r="E487" s="596"/>
      <c r="F487" s="671">
        <v>500</v>
      </c>
      <c r="G487" s="597">
        <f>ROUND(0.034*0.27,4)</f>
        <v>9.1999999999999998E-3</v>
      </c>
      <c r="H487" s="682">
        <f>IF(F487&lt;=30,(0.51*F487+4.28)*G487,((0.51*30+4.28)+0.42*(F487-30))*G487)</f>
        <v>1.9962160000000002</v>
      </c>
      <c r="I487" s="592">
        <v>0</v>
      </c>
      <c r="J487" s="592"/>
      <c r="K487" s="593">
        <f t="shared" si="507"/>
        <v>0</v>
      </c>
      <c r="L487" s="670" t="s">
        <v>783</v>
      </c>
      <c r="M487" s="632"/>
      <c r="N487" s="633"/>
      <c r="O487" s="93">
        <f t="shared" si="496"/>
        <v>0</v>
      </c>
      <c r="P487" s="93">
        <f t="shared" si="497"/>
        <v>0</v>
      </c>
      <c r="Q487" s="94"/>
      <c r="R487" s="632">
        <f t="shared" si="503"/>
        <v>0</v>
      </c>
      <c r="S487" s="633">
        <f t="shared" si="504"/>
        <v>0</v>
      </c>
      <c r="T487" s="93">
        <f t="shared" si="453"/>
        <v>0</v>
      </c>
      <c r="U487" s="95">
        <f t="shared" si="499"/>
        <v>0</v>
      </c>
      <c r="V487" s="94"/>
      <c r="W487" s="579" t="str">
        <f>IF(U486&gt;0,"xx",IF(P486&gt;0,"xy",""))</f>
        <v/>
      </c>
      <c r="X487" s="580" t="str">
        <f t="shared" si="487"/>
        <v/>
      </c>
      <c r="Y487" s="580" t="str">
        <f t="shared" si="517"/>
        <v/>
      </c>
      <c r="Z487" s="580" t="str">
        <f t="shared" si="478"/>
        <v/>
      </c>
    </row>
    <row r="488" spans="1:26" hidden="1" x14ac:dyDescent="0.2">
      <c r="A488" s="97" t="s">
        <v>165</v>
      </c>
      <c r="B488" s="1031" t="s">
        <v>165</v>
      </c>
      <c r="C488" s="978"/>
      <c r="D488" s="631" t="s">
        <v>257</v>
      </c>
      <c r="E488" s="596"/>
      <c r="F488" s="671">
        <v>180</v>
      </c>
      <c r="G488" s="597">
        <f>ROUND(0.034*0.96,4)</f>
        <v>3.2599999999999997E-2</v>
      </c>
      <c r="H488" s="661">
        <f t="shared" ref="H488:H490" si="518">IF(F488&lt;=30,(0.7*F488+1.45)*G488,((0.7*30+1.45)+0.58*(F488-30))*G488)</f>
        <v>3.5680699999999996</v>
      </c>
      <c r="I488" s="592">
        <v>0</v>
      </c>
      <c r="J488" s="592"/>
      <c r="K488" s="593">
        <f t="shared" si="507"/>
        <v>0</v>
      </c>
      <c r="L488" s="670" t="s">
        <v>783</v>
      </c>
      <c r="M488" s="632"/>
      <c r="N488" s="633"/>
      <c r="O488" s="93">
        <f t="shared" si="496"/>
        <v>0</v>
      </c>
      <c r="P488" s="93">
        <f t="shared" si="497"/>
        <v>0</v>
      </c>
      <c r="Q488" s="94"/>
      <c r="R488" s="632">
        <f t="shared" si="503"/>
        <v>0</v>
      </c>
      <c r="S488" s="633">
        <f t="shared" si="504"/>
        <v>0</v>
      </c>
      <c r="T488" s="93">
        <f t="shared" si="453"/>
        <v>0</v>
      </c>
      <c r="U488" s="95">
        <f t="shared" si="499"/>
        <v>0</v>
      </c>
      <c r="V488" s="94"/>
      <c r="W488" s="579" t="str">
        <f>IF(U486&gt;0,"xx",IF(P486&gt;0,"xy",""))</f>
        <v/>
      </c>
      <c r="X488" s="580" t="str">
        <f t="shared" si="487"/>
        <v/>
      </c>
      <c r="Y488" s="580" t="str">
        <f t="shared" si="517"/>
        <v/>
      </c>
      <c r="Z488" s="580" t="str">
        <f t="shared" si="478"/>
        <v/>
      </c>
    </row>
    <row r="489" spans="1:26" hidden="1" x14ac:dyDescent="0.2">
      <c r="A489" s="97" t="s">
        <v>165</v>
      </c>
      <c r="B489" s="1031" t="s">
        <v>165</v>
      </c>
      <c r="C489" s="978"/>
      <c r="D489" s="631" t="s">
        <v>261</v>
      </c>
      <c r="E489" s="596"/>
      <c r="F489" s="671">
        <v>20</v>
      </c>
      <c r="G489" s="597">
        <f>ROUND(0.034*1.11,4)</f>
        <v>3.7699999999999997E-2</v>
      </c>
      <c r="H489" s="661">
        <f t="shared" si="518"/>
        <v>0.5824649999999999</v>
      </c>
      <c r="I489" s="592">
        <v>0</v>
      </c>
      <c r="J489" s="592"/>
      <c r="K489" s="593">
        <f t="shared" si="507"/>
        <v>0</v>
      </c>
      <c r="L489" s="670" t="s">
        <v>783</v>
      </c>
      <c r="M489" s="632"/>
      <c r="N489" s="633"/>
      <c r="O489" s="93">
        <f t="shared" si="496"/>
        <v>0</v>
      </c>
      <c r="P489" s="93">
        <f t="shared" si="497"/>
        <v>0</v>
      </c>
      <c r="Q489" s="94"/>
      <c r="R489" s="632">
        <f t="shared" si="503"/>
        <v>0</v>
      </c>
      <c r="S489" s="633">
        <f t="shared" si="504"/>
        <v>0</v>
      </c>
      <c r="T489" s="93">
        <f t="shared" si="453"/>
        <v>0</v>
      </c>
      <c r="U489" s="95">
        <f t="shared" si="499"/>
        <v>0</v>
      </c>
      <c r="V489" s="94"/>
      <c r="W489" s="579" t="str">
        <f>IF(U486&gt;0,"xx",IF(P486&gt;0,"xy",""))</f>
        <v/>
      </c>
      <c r="X489" s="580" t="str">
        <f t="shared" si="487"/>
        <v/>
      </c>
      <c r="Y489" s="580" t="str">
        <f t="shared" si="517"/>
        <v/>
      </c>
      <c r="Z489" s="580" t="str">
        <f t="shared" si="478"/>
        <v/>
      </c>
    </row>
    <row r="490" spans="1:26" ht="13.5" thickBot="1" x14ac:dyDescent="0.25">
      <c r="A490" s="1008">
        <v>810250</v>
      </c>
      <c r="B490" s="1107" t="s">
        <v>2044</v>
      </c>
      <c r="C490" s="1108" t="s">
        <v>212</v>
      </c>
      <c r="D490" s="1109" t="s">
        <v>284</v>
      </c>
      <c r="E490" s="1110"/>
      <c r="F490" s="1089">
        <v>23.8</v>
      </c>
      <c r="G490" s="597">
        <v>7.9500000000000001E-2</v>
      </c>
      <c r="H490" s="661">
        <f t="shared" si="518"/>
        <v>1.4397450000000001</v>
      </c>
      <c r="I490" s="592">
        <v>32.799999999999997</v>
      </c>
      <c r="J490" s="592">
        <f t="shared" si="502"/>
        <v>34.239744999999999</v>
      </c>
      <c r="K490" s="593">
        <f t="shared" si="507"/>
        <v>41.67</v>
      </c>
      <c r="L490" s="594" t="s">
        <v>19</v>
      </c>
      <c r="M490" s="92">
        <v>47</v>
      </c>
      <c r="N490" s="92">
        <v>41.45</v>
      </c>
      <c r="O490" s="93">
        <f t="shared" si="496"/>
        <v>1958.49</v>
      </c>
      <c r="P490" s="93">
        <f t="shared" si="497"/>
        <v>1948.15</v>
      </c>
      <c r="Q490" s="94"/>
      <c r="R490" s="1111">
        <f t="shared" si="503"/>
        <v>47</v>
      </c>
      <c r="S490" s="1111">
        <f t="shared" si="504"/>
        <v>41.45</v>
      </c>
      <c r="T490" s="1112">
        <f t="shared" si="453"/>
        <v>1958.49</v>
      </c>
      <c r="U490" s="1113">
        <f t="shared" si="499"/>
        <v>1948.15</v>
      </c>
      <c r="V490" s="1114"/>
      <c r="X490" s="580" t="str">
        <f t="shared" si="487"/>
        <v>x</v>
      </c>
      <c r="Y490" s="580" t="str">
        <f t="shared" si="517"/>
        <v>x</v>
      </c>
      <c r="Z490" s="580" t="str">
        <f t="shared" si="478"/>
        <v>x</v>
      </c>
    </row>
    <row r="491" spans="1:26" ht="13.5" hidden="1" thickBot="1" x14ac:dyDescent="0.25">
      <c r="A491" s="1008">
        <v>810400</v>
      </c>
      <c r="B491" s="1010">
        <v>810400</v>
      </c>
      <c r="C491" s="978" t="s">
        <v>212</v>
      </c>
      <c r="D491" s="595" t="s">
        <v>285</v>
      </c>
      <c r="E491" s="596"/>
      <c r="F491" s="671"/>
      <c r="G491" s="597"/>
      <c r="H491" s="682">
        <f>SUM(H492:H494)</f>
        <v>13.006862000000002</v>
      </c>
      <c r="I491" s="592">
        <v>33.9</v>
      </c>
      <c r="J491" s="592">
        <f t="shared" si="502"/>
        <v>46.906862000000004</v>
      </c>
      <c r="K491" s="593">
        <f t="shared" si="507"/>
        <v>57.09</v>
      </c>
      <c r="L491" s="594" t="s">
        <v>19</v>
      </c>
      <c r="M491" s="92"/>
      <c r="N491" s="92"/>
      <c r="O491" s="93">
        <f t="shared" si="496"/>
        <v>0</v>
      </c>
      <c r="P491" s="93">
        <f t="shared" si="497"/>
        <v>0</v>
      </c>
      <c r="Q491" s="94"/>
      <c r="R491" s="92">
        <f t="shared" si="503"/>
        <v>0</v>
      </c>
      <c r="S491" s="92">
        <f t="shared" si="504"/>
        <v>0</v>
      </c>
      <c r="T491" s="93">
        <f t="shared" si="453"/>
        <v>0</v>
      </c>
      <c r="U491" s="95">
        <f t="shared" si="499"/>
        <v>0</v>
      </c>
      <c r="V491" s="94"/>
      <c r="X491" s="580" t="str">
        <f t="shared" si="487"/>
        <v/>
      </c>
      <c r="Y491" s="580" t="str">
        <f t="shared" si="517"/>
        <v/>
      </c>
      <c r="Z491" s="580" t="str">
        <f t="shared" si="478"/>
        <v/>
      </c>
    </row>
    <row r="492" spans="1:26" ht="13.5" hidden="1" thickBot="1" x14ac:dyDescent="0.25">
      <c r="A492" s="97" t="s">
        <v>165</v>
      </c>
      <c r="B492" s="1031" t="s">
        <v>165</v>
      </c>
      <c r="C492" s="978"/>
      <c r="D492" s="631" t="s">
        <v>218</v>
      </c>
      <c r="E492" s="596"/>
      <c r="F492" s="671">
        <v>500</v>
      </c>
      <c r="G492" s="597">
        <f>ROUND(0.072*0.27,4)</f>
        <v>1.9400000000000001E-2</v>
      </c>
      <c r="H492" s="682">
        <f>IF(F492&lt;=30,(0.51*F492+4.28)*G492,((0.51*30+4.28)+0.42*(F492-30))*G492)</f>
        <v>4.2094120000000004</v>
      </c>
      <c r="I492" s="592">
        <v>0</v>
      </c>
      <c r="J492" s="592"/>
      <c r="K492" s="593">
        <f t="shared" si="507"/>
        <v>0</v>
      </c>
      <c r="L492" s="670" t="s">
        <v>783</v>
      </c>
      <c r="M492" s="632"/>
      <c r="N492" s="633"/>
      <c r="O492" s="93">
        <f t="shared" si="496"/>
        <v>0</v>
      </c>
      <c r="P492" s="93">
        <f t="shared" si="497"/>
        <v>0</v>
      </c>
      <c r="Q492" s="94"/>
      <c r="R492" s="632">
        <f t="shared" si="503"/>
        <v>0</v>
      </c>
      <c r="S492" s="633">
        <f t="shared" si="504"/>
        <v>0</v>
      </c>
      <c r="T492" s="93">
        <f t="shared" si="453"/>
        <v>0</v>
      </c>
      <c r="U492" s="95">
        <f t="shared" si="499"/>
        <v>0</v>
      </c>
      <c r="V492" s="94"/>
      <c r="W492" s="579" t="str">
        <f>IF(U491&gt;0,"xx",IF(P491&gt;0,"xy",""))</f>
        <v/>
      </c>
      <c r="X492" s="580" t="str">
        <f t="shared" si="487"/>
        <v/>
      </c>
      <c r="Y492" s="580" t="str">
        <f t="shared" si="517"/>
        <v/>
      </c>
      <c r="Z492" s="580" t="str">
        <f t="shared" si="478"/>
        <v/>
      </c>
    </row>
    <row r="493" spans="1:26" ht="13.5" hidden="1" thickBot="1" x14ac:dyDescent="0.25">
      <c r="A493" s="97" t="s">
        <v>165</v>
      </c>
      <c r="B493" s="1031" t="s">
        <v>165</v>
      </c>
      <c r="C493" s="978"/>
      <c r="D493" s="631" t="s">
        <v>257</v>
      </c>
      <c r="E493" s="596"/>
      <c r="F493" s="671">
        <v>180</v>
      </c>
      <c r="G493" s="597">
        <f>ROUND(0.072*0.96,4)</f>
        <v>6.9099999999999995E-2</v>
      </c>
      <c r="H493" s="661">
        <f t="shared" ref="H493:H495" si="519">IF(F493&lt;=30,(0.7*F493+1.45)*G493,((0.7*30+1.45)+0.58*(F493-30))*G493)</f>
        <v>7.5629949999999999</v>
      </c>
      <c r="I493" s="592">
        <v>0</v>
      </c>
      <c r="J493" s="592"/>
      <c r="K493" s="593">
        <f t="shared" si="507"/>
        <v>0</v>
      </c>
      <c r="L493" s="670" t="s">
        <v>783</v>
      </c>
      <c r="M493" s="632"/>
      <c r="N493" s="633"/>
      <c r="O493" s="93">
        <f t="shared" si="496"/>
        <v>0</v>
      </c>
      <c r="P493" s="93">
        <f t="shared" si="497"/>
        <v>0</v>
      </c>
      <c r="Q493" s="94"/>
      <c r="R493" s="632">
        <f t="shared" si="503"/>
        <v>0</v>
      </c>
      <c r="S493" s="633">
        <f t="shared" si="504"/>
        <v>0</v>
      </c>
      <c r="T493" s="93">
        <f t="shared" si="453"/>
        <v>0</v>
      </c>
      <c r="U493" s="95">
        <f t="shared" si="499"/>
        <v>0</v>
      </c>
      <c r="V493" s="94"/>
      <c r="W493" s="579" t="str">
        <f>IF(U491&gt;0,"xx",IF(P491&gt;0,"xy",""))</f>
        <v/>
      </c>
      <c r="X493" s="580" t="str">
        <f t="shared" si="487"/>
        <v/>
      </c>
      <c r="Y493" s="580" t="str">
        <f t="shared" si="517"/>
        <v/>
      </c>
      <c r="Z493" s="580" t="str">
        <f t="shared" si="478"/>
        <v/>
      </c>
    </row>
    <row r="494" spans="1:26" ht="13.5" hidden="1" thickBot="1" x14ac:dyDescent="0.25">
      <c r="A494" s="97" t="s">
        <v>165</v>
      </c>
      <c r="B494" s="1031" t="s">
        <v>165</v>
      </c>
      <c r="C494" s="978"/>
      <c r="D494" s="631" t="s">
        <v>261</v>
      </c>
      <c r="E494" s="596"/>
      <c r="F494" s="671">
        <v>20</v>
      </c>
      <c r="G494" s="597">
        <f>ROUND(0.072*1.11,4)</f>
        <v>7.9899999999999999E-2</v>
      </c>
      <c r="H494" s="661">
        <f t="shared" si="519"/>
        <v>1.2344549999999999</v>
      </c>
      <c r="I494" s="592">
        <v>0</v>
      </c>
      <c r="J494" s="592"/>
      <c r="K494" s="593">
        <f t="shared" si="507"/>
        <v>0</v>
      </c>
      <c r="L494" s="670" t="s">
        <v>783</v>
      </c>
      <c r="M494" s="632"/>
      <c r="N494" s="633"/>
      <c r="O494" s="93">
        <f t="shared" si="496"/>
        <v>0</v>
      </c>
      <c r="P494" s="93">
        <f t="shared" si="497"/>
        <v>0</v>
      </c>
      <c r="Q494" s="94"/>
      <c r="R494" s="632">
        <f t="shared" si="503"/>
        <v>0</v>
      </c>
      <c r="S494" s="633">
        <f t="shared" si="504"/>
        <v>0</v>
      </c>
      <c r="T494" s="93">
        <f t="shared" si="453"/>
        <v>0</v>
      </c>
      <c r="U494" s="95">
        <f t="shared" si="499"/>
        <v>0</v>
      </c>
      <c r="V494" s="94"/>
      <c r="W494" s="579" t="str">
        <f>IF(U491&gt;0,"xx",IF(P491&gt;0,"xy",""))</f>
        <v/>
      </c>
      <c r="X494" s="580" t="str">
        <f t="shared" si="487"/>
        <v/>
      </c>
      <c r="Y494" s="580" t="str">
        <f t="shared" si="517"/>
        <v/>
      </c>
      <c r="Z494" s="580" t="str">
        <f t="shared" si="478"/>
        <v/>
      </c>
    </row>
    <row r="495" spans="1:26" ht="13.5" hidden="1" thickBot="1" x14ac:dyDescent="0.25">
      <c r="A495" s="1008">
        <v>810350</v>
      </c>
      <c r="B495" s="1010">
        <v>810350</v>
      </c>
      <c r="C495" s="978" t="s">
        <v>212</v>
      </c>
      <c r="D495" s="595" t="s">
        <v>286</v>
      </c>
      <c r="E495" s="596"/>
      <c r="F495" s="671">
        <v>10</v>
      </c>
      <c r="G495" s="597">
        <v>0.16839999999999999</v>
      </c>
      <c r="H495" s="661">
        <f t="shared" si="519"/>
        <v>1.4229799999999999</v>
      </c>
      <c r="I495" s="592">
        <v>52.56</v>
      </c>
      <c r="J495" s="592">
        <f t="shared" ref="J495" si="520">IF(ISBLANK(I495),"",SUM(H495:I495))</f>
        <v>53.982980000000005</v>
      </c>
      <c r="K495" s="593">
        <f t="shared" si="507"/>
        <v>65.7</v>
      </c>
      <c r="L495" s="594" t="s">
        <v>19</v>
      </c>
      <c r="M495" s="599"/>
      <c r="N495" s="599"/>
      <c r="O495" s="93">
        <f t="shared" ref="O495" si="521">IF(ISBLANK(M495),0,ROUND(K495*M495,2))</f>
        <v>0</v>
      </c>
      <c r="P495" s="95">
        <f t="shared" ref="P495" si="522">IF(ISBLANK(N495),0,ROUND(M495*N495,2))</f>
        <v>0</v>
      </c>
      <c r="Q495" s="94"/>
      <c r="R495" s="598">
        <f t="shared" si="503"/>
        <v>0</v>
      </c>
      <c r="S495" s="599">
        <f t="shared" si="504"/>
        <v>0</v>
      </c>
      <c r="T495" s="93">
        <f t="shared" ref="T495" si="523">IF(ISBLANK(R495),0,ROUND(K495*R495,2))</f>
        <v>0</v>
      </c>
      <c r="U495" s="95">
        <f t="shared" si="499"/>
        <v>0</v>
      </c>
      <c r="V495" s="94"/>
      <c r="X495" s="580" t="str">
        <f t="shared" si="487"/>
        <v/>
      </c>
      <c r="Y495" s="580" t="str">
        <f t="shared" si="517"/>
        <v/>
      </c>
      <c r="Z495" s="580" t="str">
        <f t="shared" ref="Z495:Z561" si="524">IF(W495="X","x",IF(U495&gt;0,"x",""))</f>
        <v/>
      </c>
    </row>
    <row r="496" spans="1:26" ht="13.5" hidden="1" thickBot="1" x14ac:dyDescent="0.25">
      <c r="A496" s="602" t="s">
        <v>187</v>
      </c>
      <c r="B496" s="1013" t="s">
        <v>187</v>
      </c>
      <c r="C496" s="1014"/>
      <c r="D496" s="603" t="s">
        <v>242</v>
      </c>
      <c r="E496" s="910"/>
      <c r="F496" s="676"/>
      <c r="G496" s="604"/>
      <c r="H496" s="911"/>
      <c r="I496" s="605"/>
      <c r="J496" s="605"/>
      <c r="K496" s="605"/>
      <c r="L496" s="605" t="s">
        <v>783</v>
      </c>
      <c r="M496" s="606"/>
      <c r="N496" s="605"/>
      <c r="O496" s="605"/>
      <c r="P496" s="607"/>
      <c r="Q496" s="94"/>
      <c r="R496" s="606"/>
      <c r="S496" s="605"/>
      <c r="T496" s="605"/>
      <c r="U496" s="607"/>
      <c r="V496" s="94"/>
      <c r="W496" s="579" t="str">
        <f>IF(OR(SUM(P497:P521)&gt;0,SUM(U497:U521)&gt;0),"y","")</f>
        <v/>
      </c>
      <c r="X496" s="580" t="str">
        <f t="shared" si="487"/>
        <v/>
      </c>
      <c r="Y496" s="580" t="str">
        <f t="shared" si="517"/>
        <v/>
      </c>
      <c r="Z496" s="580" t="str">
        <f t="shared" si="524"/>
        <v/>
      </c>
    </row>
    <row r="497" spans="1:26" ht="13.5" hidden="1" thickBot="1" x14ac:dyDescent="0.25">
      <c r="A497" s="602" t="s">
        <v>187</v>
      </c>
      <c r="B497" s="1015" t="s">
        <v>187</v>
      </c>
      <c r="C497" s="1016" t="s">
        <v>187</v>
      </c>
      <c r="D497" s="608"/>
      <c r="E497" s="609"/>
      <c r="F497" s="677"/>
      <c r="G497" s="610"/>
      <c r="H497" s="611"/>
      <c r="I497" s="612"/>
      <c r="J497" s="613"/>
      <c r="K497" s="614">
        <f t="shared" ref="K497:K521" si="525">IF(ISBLANK(J497),0,ROUND(J497*(1+$F$10)*(1+$F$11*E497),2))</f>
        <v>0</v>
      </c>
      <c r="L497" s="615" t="s">
        <v>783</v>
      </c>
      <c r="M497" s="599"/>
      <c r="N497" s="599"/>
      <c r="O497" s="93">
        <f t="shared" ref="O497" si="526">IF(ISBLANK(M497),0,ROUND(K497*M497,2))</f>
        <v>0</v>
      </c>
      <c r="P497" s="95">
        <f t="shared" ref="P497:P521" si="527">IF(ISBLANK(N497),0,ROUND(M497*N497,2))</f>
        <v>0</v>
      </c>
      <c r="Q497" s="94"/>
      <c r="R497" s="598">
        <f t="shared" ref="R497:R521" si="528">M497</f>
        <v>0</v>
      </c>
      <c r="S497" s="599">
        <f t="shared" ref="S497:S521" si="529">N497</f>
        <v>0</v>
      </c>
      <c r="T497" s="93">
        <f t="shared" ref="T497:T521" si="530">IF(ISBLANK(R497),0,ROUND(K497*R497,2))</f>
        <v>0</v>
      </c>
      <c r="U497" s="95">
        <f t="shared" ref="U497:U521" si="531">IF(ISBLANK(R497),0,ROUND(R497*S497,2))</f>
        <v>0</v>
      </c>
      <c r="V497" s="94"/>
      <c r="X497" s="580" t="str">
        <f t="shared" si="487"/>
        <v/>
      </c>
      <c r="Y497" s="580" t="str">
        <f t="shared" si="517"/>
        <v/>
      </c>
      <c r="Z497" s="580" t="str">
        <f t="shared" si="524"/>
        <v/>
      </c>
    </row>
    <row r="498" spans="1:26" ht="13.5" hidden="1" thickBot="1" x14ac:dyDescent="0.25">
      <c r="A498" s="602" t="s">
        <v>187</v>
      </c>
      <c r="B498" s="1015" t="s">
        <v>187</v>
      </c>
      <c r="C498" s="1016" t="s">
        <v>187</v>
      </c>
      <c r="D498" s="616"/>
      <c r="E498" s="609"/>
      <c r="F498" s="677"/>
      <c r="G498" s="610"/>
      <c r="H498" s="611"/>
      <c r="I498" s="612"/>
      <c r="J498" s="613"/>
      <c r="K498" s="617">
        <f t="shared" si="525"/>
        <v>0</v>
      </c>
      <c r="L498" s="615" t="s">
        <v>783</v>
      </c>
      <c r="M498" s="92"/>
      <c r="N498" s="92"/>
      <c r="O498" s="93">
        <f>IF(ISBLANK(M498),0,ROUND(K498*M498,2))</f>
        <v>0</v>
      </c>
      <c r="P498" s="93">
        <f t="shared" si="527"/>
        <v>0</v>
      </c>
      <c r="Q498" s="94"/>
      <c r="R498" s="92">
        <f t="shared" si="528"/>
        <v>0</v>
      </c>
      <c r="S498" s="92">
        <f t="shared" si="529"/>
        <v>0</v>
      </c>
      <c r="T498" s="93">
        <f t="shared" si="530"/>
        <v>0</v>
      </c>
      <c r="U498" s="618">
        <f t="shared" si="531"/>
        <v>0</v>
      </c>
      <c r="V498" s="94"/>
      <c r="X498" s="580" t="str">
        <f t="shared" si="487"/>
        <v/>
      </c>
      <c r="Y498" s="580" t="str">
        <f t="shared" si="517"/>
        <v/>
      </c>
      <c r="Z498" s="580" t="str">
        <f t="shared" si="524"/>
        <v/>
      </c>
    </row>
    <row r="499" spans="1:26" ht="13.5" hidden="1" thickBot="1" x14ac:dyDescent="0.25">
      <c r="A499" s="602" t="s">
        <v>187</v>
      </c>
      <c r="B499" s="1015" t="s">
        <v>187</v>
      </c>
      <c r="C499" s="1016" t="s">
        <v>187</v>
      </c>
      <c r="D499" s="616"/>
      <c r="E499" s="609"/>
      <c r="F499" s="677"/>
      <c r="G499" s="610"/>
      <c r="H499" s="611"/>
      <c r="I499" s="612"/>
      <c r="J499" s="613"/>
      <c r="K499" s="617">
        <f t="shared" si="525"/>
        <v>0</v>
      </c>
      <c r="L499" s="615" t="s">
        <v>783</v>
      </c>
      <c r="M499" s="92"/>
      <c r="N499" s="92"/>
      <c r="O499" s="93">
        <f t="shared" ref="O499:O521" si="532">IF(ISBLANK(M499),0,ROUND(K499*M499,2))</f>
        <v>0</v>
      </c>
      <c r="P499" s="93">
        <f t="shared" si="527"/>
        <v>0</v>
      </c>
      <c r="Q499" s="94"/>
      <c r="R499" s="92">
        <f t="shared" si="528"/>
        <v>0</v>
      </c>
      <c r="S499" s="92">
        <f t="shared" si="529"/>
        <v>0</v>
      </c>
      <c r="T499" s="93">
        <f t="shared" si="530"/>
        <v>0</v>
      </c>
      <c r="U499" s="95">
        <f t="shared" si="531"/>
        <v>0</v>
      </c>
      <c r="V499" s="94"/>
      <c r="X499" s="580" t="str">
        <f t="shared" si="487"/>
        <v/>
      </c>
      <c r="Y499" s="580" t="str">
        <f t="shared" si="517"/>
        <v/>
      </c>
      <c r="Z499" s="580" t="str">
        <f t="shared" si="524"/>
        <v/>
      </c>
    </row>
    <row r="500" spans="1:26" ht="13.5" hidden="1" thickBot="1" x14ac:dyDescent="0.25">
      <c r="A500" s="602" t="s">
        <v>187</v>
      </c>
      <c r="B500" s="1015" t="s">
        <v>187</v>
      </c>
      <c r="C500" s="1016" t="s">
        <v>187</v>
      </c>
      <c r="D500" s="616"/>
      <c r="E500" s="609"/>
      <c r="F500" s="677"/>
      <c r="G500" s="610"/>
      <c r="H500" s="611"/>
      <c r="I500" s="612"/>
      <c r="J500" s="613"/>
      <c r="K500" s="617">
        <f t="shared" si="525"/>
        <v>0</v>
      </c>
      <c r="L500" s="615" t="s">
        <v>783</v>
      </c>
      <c r="M500" s="92"/>
      <c r="N500" s="92"/>
      <c r="O500" s="93">
        <f t="shared" si="532"/>
        <v>0</v>
      </c>
      <c r="P500" s="93">
        <f t="shared" si="527"/>
        <v>0</v>
      </c>
      <c r="Q500" s="94"/>
      <c r="R500" s="92">
        <f t="shared" si="528"/>
        <v>0</v>
      </c>
      <c r="S500" s="92">
        <f t="shared" si="529"/>
        <v>0</v>
      </c>
      <c r="T500" s="93">
        <f t="shared" si="530"/>
        <v>0</v>
      </c>
      <c r="U500" s="95">
        <f t="shared" si="531"/>
        <v>0</v>
      </c>
      <c r="V500" s="94"/>
      <c r="X500" s="580" t="str">
        <f t="shared" si="487"/>
        <v/>
      </c>
      <c r="Y500" s="580" t="str">
        <f t="shared" si="517"/>
        <v/>
      </c>
      <c r="Z500" s="580" t="str">
        <f t="shared" si="524"/>
        <v/>
      </c>
    </row>
    <row r="501" spans="1:26" ht="13.5" hidden="1" thickBot="1" x14ac:dyDescent="0.25">
      <c r="A501" s="602" t="s">
        <v>187</v>
      </c>
      <c r="B501" s="1015" t="s">
        <v>187</v>
      </c>
      <c r="C501" s="1016" t="s">
        <v>187</v>
      </c>
      <c r="D501" s="616"/>
      <c r="E501" s="609"/>
      <c r="F501" s="677"/>
      <c r="G501" s="610"/>
      <c r="H501" s="611"/>
      <c r="I501" s="612"/>
      <c r="J501" s="613"/>
      <c r="K501" s="617">
        <f t="shared" si="525"/>
        <v>0</v>
      </c>
      <c r="L501" s="615" t="s">
        <v>783</v>
      </c>
      <c r="M501" s="92"/>
      <c r="N501" s="92"/>
      <c r="O501" s="93">
        <f t="shared" si="532"/>
        <v>0</v>
      </c>
      <c r="P501" s="93">
        <f t="shared" si="527"/>
        <v>0</v>
      </c>
      <c r="Q501" s="94"/>
      <c r="R501" s="92">
        <f t="shared" si="528"/>
        <v>0</v>
      </c>
      <c r="S501" s="92">
        <f t="shared" si="529"/>
        <v>0</v>
      </c>
      <c r="T501" s="93">
        <f t="shared" si="530"/>
        <v>0</v>
      </c>
      <c r="U501" s="95">
        <f t="shared" si="531"/>
        <v>0</v>
      </c>
      <c r="V501" s="94"/>
      <c r="X501" s="580" t="str">
        <f t="shared" ref="X501:X654" si="533">IF(W501="X","x",IF(W501="xx","x",IF(W501="xy","x",IF(W501="y","x",IF(OR(P501&gt;0,U501&gt;0),"x","")))))</f>
        <v/>
      </c>
      <c r="Y501" s="580" t="str">
        <f t="shared" si="517"/>
        <v/>
      </c>
      <c r="Z501" s="580" t="str">
        <f t="shared" si="524"/>
        <v/>
      </c>
    </row>
    <row r="502" spans="1:26" ht="13.5" hidden="1" thickBot="1" x14ac:dyDescent="0.25">
      <c r="A502" s="602" t="s">
        <v>187</v>
      </c>
      <c r="B502" s="1015" t="s">
        <v>187</v>
      </c>
      <c r="C502" s="1016" t="s">
        <v>187</v>
      </c>
      <c r="D502" s="616"/>
      <c r="E502" s="609"/>
      <c r="F502" s="677"/>
      <c r="G502" s="610"/>
      <c r="H502" s="611"/>
      <c r="I502" s="612"/>
      <c r="J502" s="613"/>
      <c r="K502" s="617">
        <f t="shared" si="525"/>
        <v>0</v>
      </c>
      <c r="L502" s="615" t="s">
        <v>783</v>
      </c>
      <c r="M502" s="92"/>
      <c r="N502" s="92"/>
      <c r="O502" s="93">
        <f t="shared" si="532"/>
        <v>0</v>
      </c>
      <c r="P502" s="93">
        <f t="shared" si="527"/>
        <v>0</v>
      </c>
      <c r="Q502" s="94"/>
      <c r="R502" s="92">
        <f t="shared" si="528"/>
        <v>0</v>
      </c>
      <c r="S502" s="92">
        <f t="shared" si="529"/>
        <v>0</v>
      </c>
      <c r="T502" s="93">
        <f t="shared" si="530"/>
        <v>0</v>
      </c>
      <c r="U502" s="95">
        <f t="shared" si="531"/>
        <v>0</v>
      </c>
      <c r="V502" s="94"/>
      <c r="X502" s="580" t="str">
        <f t="shared" si="533"/>
        <v/>
      </c>
      <c r="Y502" s="580" t="str">
        <f t="shared" si="517"/>
        <v/>
      </c>
      <c r="Z502" s="580" t="str">
        <f t="shared" si="524"/>
        <v/>
      </c>
    </row>
    <row r="503" spans="1:26" ht="13.5" hidden="1" thickBot="1" x14ac:dyDescent="0.25">
      <c r="A503" s="602" t="s">
        <v>187</v>
      </c>
      <c r="B503" s="1015" t="s">
        <v>187</v>
      </c>
      <c r="C503" s="1016" t="s">
        <v>187</v>
      </c>
      <c r="D503" s="616"/>
      <c r="E503" s="609"/>
      <c r="F503" s="677"/>
      <c r="G503" s="610"/>
      <c r="H503" s="611"/>
      <c r="I503" s="612"/>
      <c r="J503" s="613"/>
      <c r="K503" s="617">
        <f t="shared" si="525"/>
        <v>0</v>
      </c>
      <c r="L503" s="615" t="s">
        <v>783</v>
      </c>
      <c r="M503" s="92"/>
      <c r="N503" s="92"/>
      <c r="O503" s="93">
        <f t="shared" si="532"/>
        <v>0</v>
      </c>
      <c r="P503" s="93">
        <f t="shared" si="527"/>
        <v>0</v>
      </c>
      <c r="Q503" s="94"/>
      <c r="R503" s="92">
        <f t="shared" si="528"/>
        <v>0</v>
      </c>
      <c r="S503" s="92">
        <f t="shared" si="529"/>
        <v>0</v>
      </c>
      <c r="T503" s="93">
        <f t="shared" si="530"/>
        <v>0</v>
      </c>
      <c r="U503" s="95">
        <f t="shared" si="531"/>
        <v>0</v>
      </c>
      <c r="V503" s="94"/>
      <c r="X503" s="580" t="str">
        <f t="shared" si="533"/>
        <v/>
      </c>
      <c r="Y503" s="580" t="str">
        <f t="shared" si="517"/>
        <v/>
      </c>
      <c r="Z503" s="580" t="str">
        <f t="shared" si="524"/>
        <v/>
      </c>
    </row>
    <row r="504" spans="1:26" ht="13.5" hidden="1" thickBot="1" x14ac:dyDescent="0.25">
      <c r="A504" s="602" t="s">
        <v>187</v>
      </c>
      <c r="B504" s="1015" t="s">
        <v>187</v>
      </c>
      <c r="C504" s="1016" t="s">
        <v>187</v>
      </c>
      <c r="D504" s="616"/>
      <c r="E504" s="609"/>
      <c r="F504" s="677"/>
      <c r="G504" s="610"/>
      <c r="H504" s="611"/>
      <c r="I504" s="612"/>
      <c r="J504" s="613"/>
      <c r="K504" s="617">
        <f t="shared" si="525"/>
        <v>0</v>
      </c>
      <c r="L504" s="615" t="s">
        <v>783</v>
      </c>
      <c r="M504" s="92"/>
      <c r="N504" s="92"/>
      <c r="O504" s="93">
        <f t="shared" si="532"/>
        <v>0</v>
      </c>
      <c r="P504" s="93">
        <f t="shared" si="527"/>
        <v>0</v>
      </c>
      <c r="Q504" s="94"/>
      <c r="R504" s="92">
        <f t="shared" si="528"/>
        <v>0</v>
      </c>
      <c r="S504" s="92">
        <f t="shared" si="529"/>
        <v>0</v>
      </c>
      <c r="T504" s="93">
        <f t="shared" si="530"/>
        <v>0</v>
      </c>
      <c r="U504" s="95">
        <f t="shared" si="531"/>
        <v>0</v>
      </c>
      <c r="V504" s="94"/>
      <c r="X504" s="580" t="str">
        <f t="shared" si="533"/>
        <v/>
      </c>
      <c r="Y504" s="580" t="str">
        <f t="shared" si="517"/>
        <v/>
      </c>
      <c r="Z504" s="580" t="str">
        <f t="shared" si="524"/>
        <v/>
      </c>
    </row>
    <row r="505" spans="1:26" ht="13.5" hidden="1" thickBot="1" x14ac:dyDescent="0.25">
      <c r="A505" s="602" t="s">
        <v>187</v>
      </c>
      <c r="B505" s="1015" t="s">
        <v>187</v>
      </c>
      <c r="C505" s="1016" t="s">
        <v>187</v>
      </c>
      <c r="D505" s="616"/>
      <c r="E505" s="609"/>
      <c r="F505" s="677"/>
      <c r="G505" s="610"/>
      <c r="H505" s="611"/>
      <c r="I505" s="612"/>
      <c r="J505" s="613"/>
      <c r="K505" s="617">
        <f t="shared" si="525"/>
        <v>0</v>
      </c>
      <c r="L505" s="615" t="s">
        <v>783</v>
      </c>
      <c r="M505" s="92"/>
      <c r="N505" s="92"/>
      <c r="O505" s="93">
        <f t="shared" si="532"/>
        <v>0</v>
      </c>
      <c r="P505" s="93">
        <f t="shared" si="527"/>
        <v>0</v>
      </c>
      <c r="Q505" s="94"/>
      <c r="R505" s="92">
        <f t="shared" si="528"/>
        <v>0</v>
      </c>
      <c r="S505" s="92">
        <f t="shared" si="529"/>
        <v>0</v>
      </c>
      <c r="T505" s="93">
        <f t="shared" si="530"/>
        <v>0</v>
      </c>
      <c r="U505" s="95">
        <f t="shared" si="531"/>
        <v>0</v>
      </c>
      <c r="V505" s="94"/>
      <c r="X505" s="580" t="str">
        <f t="shared" si="533"/>
        <v/>
      </c>
      <c r="Y505" s="580" t="str">
        <f t="shared" si="517"/>
        <v/>
      </c>
      <c r="Z505" s="580" t="str">
        <f t="shared" si="524"/>
        <v/>
      </c>
    </row>
    <row r="506" spans="1:26" ht="13.5" hidden="1" thickBot="1" x14ac:dyDescent="0.25">
      <c r="A506" s="602" t="s">
        <v>187</v>
      </c>
      <c r="B506" s="1015" t="s">
        <v>187</v>
      </c>
      <c r="C506" s="1016" t="s">
        <v>187</v>
      </c>
      <c r="D506" s="616"/>
      <c r="E506" s="609"/>
      <c r="F506" s="677"/>
      <c r="G506" s="610"/>
      <c r="H506" s="611"/>
      <c r="I506" s="612"/>
      <c r="J506" s="613"/>
      <c r="K506" s="617">
        <f t="shared" si="525"/>
        <v>0</v>
      </c>
      <c r="L506" s="615" t="s">
        <v>783</v>
      </c>
      <c r="M506" s="92"/>
      <c r="N506" s="92"/>
      <c r="O506" s="93">
        <f t="shared" si="532"/>
        <v>0</v>
      </c>
      <c r="P506" s="93">
        <f t="shared" si="527"/>
        <v>0</v>
      </c>
      <c r="Q506" s="94"/>
      <c r="R506" s="92">
        <f t="shared" si="528"/>
        <v>0</v>
      </c>
      <c r="S506" s="92">
        <f t="shared" si="529"/>
        <v>0</v>
      </c>
      <c r="T506" s="93">
        <f t="shared" si="530"/>
        <v>0</v>
      </c>
      <c r="U506" s="95">
        <f t="shared" si="531"/>
        <v>0</v>
      </c>
      <c r="V506" s="94"/>
      <c r="X506" s="580" t="str">
        <f t="shared" si="533"/>
        <v/>
      </c>
      <c r="Y506" s="580" t="str">
        <f t="shared" si="517"/>
        <v/>
      </c>
      <c r="Z506" s="580" t="str">
        <f t="shared" si="524"/>
        <v/>
      </c>
    </row>
    <row r="507" spans="1:26" ht="13.5" hidden="1" thickBot="1" x14ac:dyDescent="0.25">
      <c r="A507" s="602" t="s">
        <v>187</v>
      </c>
      <c r="B507" s="1015" t="s">
        <v>187</v>
      </c>
      <c r="C507" s="1016" t="s">
        <v>187</v>
      </c>
      <c r="D507" s="616"/>
      <c r="E507" s="609"/>
      <c r="F507" s="677"/>
      <c r="G507" s="610"/>
      <c r="H507" s="611"/>
      <c r="I507" s="612"/>
      <c r="J507" s="613"/>
      <c r="K507" s="617">
        <f t="shared" si="525"/>
        <v>0</v>
      </c>
      <c r="L507" s="615" t="s">
        <v>783</v>
      </c>
      <c r="M507" s="92"/>
      <c r="N507" s="92"/>
      <c r="O507" s="93">
        <f t="shared" si="532"/>
        <v>0</v>
      </c>
      <c r="P507" s="93">
        <f t="shared" si="527"/>
        <v>0</v>
      </c>
      <c r="Q507" s="94"/>
      <c r="R507" s="92">
        <f t="shared" si="528"/>
        <v>0</v>
      </c>
      <c r="S507" s="92">
        <f t="shared" si="529"/>
        <v>0</v>
      </c>
      <c r="T507" s="93">
        <f t="shared" si="530"/>
        <v>0</v>
      </c>
      <c r="U507" s="95">
        <f t="shared" si="531"/>
        <v>0</v>
      </c>
      <c r="V507" s="94"/>
      <c r="X507" s="580" t="str">
        <f t="shared" si="533"/>
        <v/>
      </c>
      <c r="Y507" s="580" t="str">
        <f t="shared" si="517"/>
        <v/>
      </c>
      <c r="Z507" s="580" t="str">
        <f t="shared" si="524"/>
        <v/>
      </c>
    </row>
    <row r="508" spans="1:26" ht="13.5" hidden="1" thickBot="1" x14ac:dyDescent="0.25">
      <c r="A508" s="602" t="s">
        <v>187</v>
      </c>
      <c r="B508" s="1015" t="s">
        <v>187</v>
      </c>
      <c r="C508" s="1016" t="s">
        <v>187</v>
      </c>
      <c r="D508" s="616"/>
      <c r="E508" s="609"/>
      <c r="F508" s="677"/>
      <c r="G508" s="610"/>
      <c r="H508" s="611"/>
      <c r="I508" s="612"/>
      <c r="J508" s="613"/>
      <c r="K508" s="617">
        <f t="shared" si="525"/>
        <v>0</v>
      </c>
      <c r="L508" s="615" t="s">
        <v>783</v>
      </c>
      <c r="M508" s="92"/>
      <c r="N508" s="92"/>
      <c r="O508" s="93">
        <f t="shared" si="532"/>
        <v>0</v>
      </c>
      <c r="P508" s="93">
        <f t="shared" si="527"/>
        <v>0</v>
      </c>
      <c r="Q508" s="94"/>
      <c r="R508" s="92">
        <f t="shared" si="528"/>
        <v>0</v>
      </c>
      <c r="S508" s="92">
        <f t="shared" si="529"/>
        <v>0</v>
      </c>
      <c r="T508" s="93">
        <f t="shared" si="530"/>
        <v>0</v>
      </c>
      <c r="U508" s="95">
        <f t="shared" si="531"/>
        <v>0</v>
      </c>
      <c r="V508" s="94"/>
      <c r="X508" s="580" t="str">
        <f t="shared" si="533"/>
        <v/>
      </c>
      <c r="Y508" s="580" t="str">
        <f t="shared" si="517"/>
        <v/>
      </c>
      <c r="Z508" s="580" t="str">
        <f t="shared" si="524"/>
        <v/>
      </c>
    </row>
    <row r="509" spans="1:26" ht="13.5" hidden="1" thickBot="1" x14ac:dyDescent="0.25">
      <c r="A509" s="602" t="s">
        <v>187</v>
      </c>
      <c r="B509" s="1015" t="s">
        <v>187</v>
      </c>
      <c r="C509" s="1016" t="s">
        <v>187</v>
      </c>
      <c r="D509" s="616"/>
      <c r="E509" s="609"/>
      <c r="F509" s="677"/>
      <c r="G509" s="610"/>
      <c r="H509" s="611"/>
      <c r="I509" s="612"/>
      <c r="J509" s="613"/>
      <c r="K509" s="617">
        <f t="shared" si="525"/>
        <v>0</v>
      </c>
      <c r="L509" s="615" t="s">
        <v>783</v>
      </c>
      <c r="M509" s="92"/>
      <c r="N509" s="92"/>
      <c r="O509" s="93">
        <f t="shared" si="532"/>
        <v>0</v>
      </c>
      <c r="P509" s="93">
        <f t="shared" si="527"/>
        <v>0</v>
      </c>
      <c r="Q509" s="94"/>
      <c r="R509" s="92">
        <f t="shared" si="528"/>
        <v>0</v>
      </c>
      <c r="S509" s="92">
        <f t="shared" si="529"/>
        <v>0</v>
      </c>
      <c r="T509" s="93">
        <f t="shared" si="530"/>
        <v>0</v>
      </c>
      <c r="U509" s="95">
        <f t="shared" si="531"/>
        <v>0</v>
      </c>
      <c r="V509" s="94"/>
      <c r="X509" s="580" t="str">
        <f t="shared" si="533"/>
        <v/>
      </c>
      <c r="Y509" s="580" t="str">
        <f t="shared" si="517"/>
        <v/>
      </c>
      <c r="Z509" s="580" t="str">
        <f t="shared" si="524"/>
        <v/>
      </c>
    </row>
    <row r="510" spans="1:26" ht="13.5" hidden="1" thickBot="1" x14ac:dyDescent="0.25">
      <c r="A510" s="602" t="s">
        <v>187</v>
      </c>
      <c r="B510" s="1015" t="s">
        <v>187</v>
      </c>
      <c r="C510" s="1016" t="s">
        <v>187</v>
      </c>
      <c r="D510" s="616"/>
      <c r="E510" s="609"/>
      <c r="F510" s="677"/>
      <c r="G510" s="610"/>
      <c r="H510" s="611"/>
      <c r="I510" s="612"/>
      <c r="J510" s="613"/>
      <c r="K510" s="617">
        <f t="shared" si="525"/>
        <v>0</v>
      </c>
      <c r="L510" s="615" t="s">
        <v>783</v>
      </c>
      <c r="M510" s="92"/>
      <c r="N510" s="92"/>
      <c r="O510" s="93">
        <f t="shared" si="532"/>
        <v>0</v>
      </c>
      <c r="P510" s="93">
        <f t="shared" si="527"/>
        <v>0</v>
      </c>
      <c r="Q510" s="94"/>
      <c r="R510" s="92">
        <f t="shared" si="528"/>
        <v>0</v>
      </c>
      <c r="S510" s="92">
        <f t="shared" si="529"/>
        <v>0</v>
      </c>
      <c r="T510" s="93">
        <f t="shared" si="530"/>
        <v>0</v>
      </c>
      <c r="U510" s="95">
        <f t="shared" si="531"/>
        <v>0</v>
      </c>
      <c r="V510" s="94"/>
      <c r="X510" s="580" t="str">
        <f t="shared" si="533"/>
        <v/>
      </c>
      <c r="Y510" s="580" t="str">
        <f t="shared" si="517"/>
        <v/>
      </c>
      <c r="Z510" s="580" t="str">
        <f t="shared" si="524"/>
        <v/>
      </c>
    </row>
    <row r="511" spans="1:26" ht="13.5" hidden="1" thickBot="1" x14ac:dyDescent="0.25">
      <c r="A511" s="602" t="s">
        <v>187</v>
      </c>
      <c r="B511" s="1015" t="s">
        <v>187</v>
      </c>
      <c r="C511" s="1016" t="s">
        <v>187</v>
      </c>
      <c r="D511" s="616"/>
      <c r="E511" s="609"/>
      <c r="F511" s="677"/>
      <c r="G511" s="610"/>
      <c r="H511" s="611"/>
      <c r="I511" s="612"/>
      <c r="J511" s="613"/>
      <c r="K511" s="617">
        <f t="shared" si="525"/>
        <v>0</v>
      </c>
      <c r="L511" s="615" t="s">
        <v>783</v>
      </c>
      <c r="M511" s="92"/>
      <c r="N511" s="92"/>
      <c r="O511" s="93">
        <f t="shared" si="532"/>
        <v>0</v>
      </c>
      <c r="P511" s="93">
        <f t="shared" si="527"/>
        <v>0</v>
      </c>
      <c r="Q511" s="94"/>
      <c r="R511" s="92">
        <f t="shared" si="528"/>
        <v>0</v>
      </c>
      <c r="S511" s="92">
        <f t="shared" si="529"/>
        <v>0</v>
      </c>
      <c r="T511" s="93">
        <f t="shared" si="530"/>
        <v>0</v>
      </c>
      <c r="U511" s="95">
        <f t="shared" si="531"/>
        <v>0</v>
      </c>
      <c r="V511" s="94"/>
      <c r="X511" s="580" t="str">
        <f t="shared" si="533"/>
        <v/>
      </c>
      <c r="Y511" s="580" t="str">
        <f t="shared" si="517"/>
        <v/>
      </c>
      <c r="Z511" s="580" t="str">
        <f t="shared" si="524"/>
        <v/>
      </c>
    </row>
    <row r="512" spans="1:26" ht="13.5" hidden="1" thickBot="1" x14ac:dyDescent="0.25">
      <c r="A512" s="602" t="s">
        <v>187</v>
      </c>
      <c r="B512" s="1015" t="s">
        <v>187</v>
      </c>
      <c r="C512" s="1016" t="s">
        <v>187</v>
      </c>
      <c r="D512" s="616"/>
      <c r="E512" s="609"/>
      <c r="F512" s="677"/>
      <c r="G512" s="610"/>
      <c r="H512" s="611"/>
      <c r="I512" s="612"/>
      <c r="J512" s="613"/>
      <c r="K512" s="617">
        <f t="shared" si="525"/>
        <v>0</v>
      </c>
      <c r="L512" s="615" t="s">
        <v>783</v>
      </c>
      <c r="M512" s="92"/>
      <c r="N512" s="92"/>
      <c r="O512" s="93">
        <f t="shared" si="532"/>
        <v>0</v>
      </c>
      <c r="P512" s="93">
        <f t="shared" si="527"/>
        <v>0</v>
      </c>
      <c r="Q512" s="94"/>
      <c r="R512" s="92">
        <f t="shared" si="528"/>
        <v>0</v>
      </c>
      <c r="S512" s="92">
        <f t="shared" si="529"/>
        <v>0</v>
      </c>
      <c r="T512" s="93">
        <f t="shared" si="530"/>
        <v>0</v>
      </c>
      <c r="U512" s="95">
        <f t="shared" si="531"/>
        <v>0</v>
      </c>
      <c r="V512" s="94"/>
      <c r="X512" s="580" t="str">
        <f t="shared" si="533"/>
        <v/>
      </c>
      <c r="Y512" s="580" t="str">
        <f t="shared" si="517"/>
        <v/>
      </c>
      <c r="Z512" s="580" t="str">
        <f t="shared" si="524"/>
        <v/>
      </c>
    </row>
    <row r="513" spans="1:26" ht="13.5" hidden="1" thickBot="1" x14ac:dyDescent="0.25">
      <c r="A513" s="602" t="s">
        <v>187</v>
      </c>
      <c r="B513" s="1015" t="s">
        <v>187</v>
      </c>
      <c r="C513" s="1016" t="s">
        <v>187</v>
      </c>
      <c r="D513" s="616"/>
      <c r="E513" s="609"/>
      <c r="F513" s="677"/>
      <c r="G513" s="610"/>
      <c r="H513" s="611"/>
      <c r="I513" s="612"/>
      <c r="J513" s="613"/>
      <c r="K513" s="617">
        <f t="shared" si="525"/>
        <v>0</v>
      </c>
      <c r="L513" s="615" t="s">
        <v>783</v>
      </c>
      <c r="M513" s="92"/>
      <c r="N513" s="92"/>
      <c r="O513" s="93">
        <f t="shared" si="532"/>
        <v>0</v>
      </c>
      <c r="P513" s="93">
        <f t="shared" si="527"/>
        <v>0</v>
      </c>
      <c r="Q513" s="94"/>
      <c r="R513" s="92">
        <f t="shared" si="528"/>
        <v>0</v>
      </c>
      <c r="S513" s="92">
        <f t="shared" si="529"/>
        <v>0</v>
      </c>
      <c r="T513" s="93">
        <f t="shared" si="530"/>
        <v>0</v>
      </c>
      <c r="U513" s="95">
        <f t="shared" si="531"/>
        <v>0</v>
      </c>
      <c r="V513" s="94"/>
      <c r="X513" s="580" t="str">
        <f t="shared" si="533"/>
        <v/>
      </c>
      <c r="Y513" s="580" t="str">
        <f t="shared" si="517"/>
        <v/>
      </c>
      <c r="Z513" s="580" t="str">
        <f t="shared" si="524"/>
        <v/>
      </c>
    </row>
    <row r="514" spans="1:26" ht="13.5" hidden="1" thickBot="1" x14ac:dyDescent="0.25">
      <c r="A514" s="602" t="s">
        <v>187</v>
      </c>
      <c r="B514" s="1015" t="s">
        <v>187</v>
      </c>
      <c r="C514" s="1016" t="s">
        <v>187</v>
      </c>
      <c r="D514" s="616"/>
      <c r="E514" s="609"/>
      <c r="F514" s="677"/>
      <c r="G514" s="610"/>
      <c r="H514" s="611"/>
      <c r="I514" s="612"/>
      <c r="J514" s="613"/>
      <c r="K514" s="617">
        <f t="shared" si="525"/>
        <v>0</v>
      </c>
      <c r="L514" s="615" t="s">
        <v>783</v>
      </c>
      <c r="M514" s="92"/>
      <c r="N514" s="92"/>
      <c r="O514" s="93">
        <f t="shared" si="532"/>
        <v>0</v>
      </c>
      <c r="P514" s="93">
        <f t="shared" si="527"/>
        <v>0</v>
      </c>
      <c r="Q514" s="94"/>
      <c r="R514" s="92">
        <f t="shared" si="528"/>
        <v>0</v>
      </c>
      <c r="S514" s="92">
        <f t="shared" si="529"/>
        <v>0</v>
      </c>
      <c r="T514" s="93">
        <f t="shared" si="530"/>
        <v>0</v>
      </c>
      <c r="U514" s="95">
        <f t="shared" si="531"/>
        <v>0</v>
      </c>
      <c r="V514" s="94"/>
      <c r="X514" s="580" t="str">
        <f t="shared" si="533"/>
        <v/>
      </c>
      <c r="Y514" s="580" t="str">
        <f t="shared" si="517"/>
        <v/>
      </c>
      <c r="Z514" s="580" t="str">
        <f t="shared" si="524"/>
        <v/>
      </c>
    </row>
    <row r="515" spans="1:26" ht="13.5" hidden="1" thickBot="1" x14ac:dyDescent="0.25">
      <c r="A515" s="602" t="s">
        <v>187</v>
      </c>
      <c r="B515" s="1015" t="s">
        <v>187</v>
      </c>
      <c r="C515" s="1016" t="s">
        <v>187</v>
      </c>
      <c r="D515" s="616"/>
      <c r="E515" s="609"/>
      <c r="F515" s="677"/>
      <c r="G515" s="610"/>
      <c r="H515" s="611"/>
      <c r="I515" s="612"/>
      <c r="J515" s="613"/>
      <c r="K515" s="617">
        <f t="shared" si="525"/>
        <v>0</v>
      </c>
      <c r="L515" s="615" t="s">
        <v>783</v>
      </c>
      <c r="M515" s="92"/>
      <c r="N515" s="92"/>
      <c r="O515" s="93">
        <f t="shared" si="532"/>
        <v>0</v>
      </c>
      <c r="P515" s="93">
        <f t="shared" si="527"/>
        <v>0</v>
      </c>
      <c r="Q515" s="94"/>
      <c r="R515" s="92">
        <f t="shared" si="528"/>
        <v>0</v>
      </c>
      <c r="S515" s="92">
        <f t="shared" si="529"/>
        <v>0</v>
      </c>
      <c r="T515" s="93">
        <f t="shared" si="530"/>
        <v>0</v>
      </c>
      <c r="U515" s="95">
        <f t="shared" si="531"/>
        <v>0</v>
      </c>
      <c r="V515" s="94"/>
      <c r="X515" s="580" t="str">
        <f t="shared" si="533"/>
        <v/>
      </c>
      <c r="Y515" s="580" t="str">
        <f t="shared" si="517"/>
        <v/>
      </c>
      <c r="Z515" s="580" t="str">
        <f t="shared" si="524"/>
        <v/>
      </c>
    </row>
    <row r="516" spans="1:26" ht="13.5" hidden="1" thickBot="1" x14ac:dyDescent="0.25">
      <c r="A516" s="602" t="s">
        <v>187</v>
      </c>
      <c r="B516" s="1015" t="s">
        <v>187</v>
      </c>
      <c r="C516" s="1016" t="s">
        <v>187</v>
      </c>
      <c r="D516" s="616"/>
      <c r="E516" s="609"/>
      <c r="F516" s="677"/>
      <c r="G516" s="610"/>
      <c r="H516" s="611"/>
      <c r="I516" s="612"/>
      <c r="J516" s="613"/>
      <c r="K516" s="617">
        <f t="shared" si="525"/>
        <v>0</v>
      </c>
      <c r="L516" s="615" t="s">
        <v>783</v>
      </c>
      <c r="M516" s="92"/>
      <c r="N516" s="92"/>
      <c r="O516" s="93">
        <f t="shared" si="532"/>
        <v>0</v>
      </c>
      <c r="P516" s="93">
        <f t="shared" si="527"/>
        <v>0</v>
      </c>
      <c r="Q516" s="94"/>
      <c r="R516" s="92">
        <f t="shared" si="528"/>
        <v>0</v>
      </c>
      <c r="S516" s="92">
        <f t="shared" si="529"/>
        <v>0</v>
      </c>
      <c r="T516" s="93">
        <f t="shared" si="530"/>
        <v>0</v>
      </c>
      <c r="U516" s="95">
        <f t="shared" si="531"/>
        <v>0</v>
      </c>
      <c r="V516" s="94"/>
      <c r="X516" s="580" t="str">
        <f t="shared" si="533"/>
        <v/>
      </c>
      <c r="Y516" s="580" t="str">
        <f t="shared" si="517"/>
        <v/>
      </c>
      <c r="Z516" s="580" t="str">
        <f t="shared" si="524"/>
        <v/>
      </c>
    </row>
    <row r="517" spans="1:26" ht="13.5" hidden="1" thickBot="1" x14ac:dyDescent="0.25">
      <c r="A517" s="602" t="s">
        <v>187</v>
      </c>
      <c r="B517" s="1015" t="s">
        <v>187</v>
      </c>
      <c r="C517" s="1016" t="s">
        <v>187</v>
      </c>
      <c r="D517" s="616"/>
      <c r="E517" s="609"/>
      <c r="F517" s="677"/>
      <c r="G517" s="610"/>
      <c r="H517" s="611"/>
      <c r="I517" s="612"/>
      <c r="J517" s="613"/>
      <c r="K517" s="617">
        <f t="shared" si="525"/>
        <v>0</v>
      </c>
      <c r="L517" s="615" t="s">
        <v>783</v>
      </c>
      <c r="M517" s="92"/>
      <c r="N517" s="92"/>
      <c r="O517" s="93">
        <f t="shared" si="532"/>
        <v>0</v>
      </c>
      <c r="P517" s="93">
        <f t="shared" si="527"/>
        <v>0</v>
      </c>
      <c r="Q517" s="94"/>
      <c r="R517" s="92">
        <f t="shared" si="528"/>
        <v>0</v>
      </c>
      <c r="S517" s="92">
        <f t="shared" si="529"/>
        <v>0</v>
      </c>
      <c r="T517" s="93">
        <f t="shared" si="530"/>
        <v>0</v>
      </c>
      <c r="U517" s="95">
        <f t="shared" si="531"/>
        <v>0</v>
      </c>
      <c r="V517" s="94"/>
      <c r="X517" s="580" t="str">
        <f t="shared" si="533"/>
        <v/>
      </c>
      <c r="Y517" s="580" t="str">
        <f t="shared" si="517"/>
        <v/>
      </c>
      <c r="Z517" s="580" t="str">
        <f t="shared" si="524"/>
        <v/>
      </c>
    </row>
    <row r="518" spans="1:26" ht="13.5" hidden="1" thickBot="1" x14ac:dyDescent="0.25">
      <c r="A518" s="602" t="s">
        <v>187</v>
      </c>
      <c r="B518" s="1015" t="s">
        <v>187</v>
      </c>
      <c r="C518" s="1016" t="s">
        <v>187</v>
      </c>
      <c r="D518" s="616"/>
      <c r="E518" s="609"/>
      <c r="F518" s="677"/>
      <c r="G518" s="610"/>
      <c r="H518" s="611"/>
      <c r="I518" s="612"/>
      <c r="J518" s="613"/>
      <c r="K518" s="617">
        <f t="shared" si="525"/>
        <v>0</v>
      </c>
      <c r="L518" s="615" t="s">
        <v>783</v>
      </c>
      <c r="M518" s="92"/>
      <c r="N518" s="92"/>
      <c r="O518" s="93">
        <f t="shared" si="532"/>
        <v>0</v>
      </c>
      <c r="P518" s="93">
        <f t="shared" si="527"/>
        <v>0</v>
      </c>
      <c r="Q518" s="94"/>
      <c r="R518" s="92">
        <f t="shared" si="528"/>
        <v>0</v>
      </c>
      <c r="S518" s="92">
        <f t="shared" si="529"/>
        <v>0</v>
      </c>
      <c r="T518" s="93">
        <f t="shared" si="530"/>
        <v>0</v>
      </c>
      <c r="U518" s="95">
        <f t="shared" si="531"/>
        <v>0</v>
      </c>
      <c r="V518" s="94"/>
      <c r="X518" s="580" t="str">
        <f t="shared" si="533"/>
        <v/>
      </c>
      <c r="Y518" s="580" t="str">
        <f t="shared" si="517"/>
        <v/>
      </c>
      <c r="Z518" s="580" t="str">
        <f t="shared" si="524"/>
        <v/>
      </c>
    </row>
    <row r="519" spans="1:26" ht="13.5" hidden="1" thickBot="1" x14ac:dyDescent="0.25">
      <c r="A519" s="602" t="s">
        <v>187</v>
      </c>
      <c r="B519" s="1015" t="s">
        <v>187</v>
      </c>
      <c r="C519" s="1016" t="s">
        <v>187</v>
      </c>
      <c r="D519" s="616"/>
      <c r="E519" s="609"/>
      <c r="F519" s="677"/>
      <c r="G519" s="610"/>
      <c r="H519" s="611"/>
      <c r="I519" s="612"/>
      <c r="J519" s="613"/>
      <c r="K519" s="617">
        <f t="shared" si="525"/>
        <v>0</v>
      </c>
      <c r="L519" s="615" t="s">
        <v>783</v>
      </c>
      <c r="M519" s="92"/>
      <c r="N519" s="92"/>
      <c r="O519" s="93">
        <f t="shared" si="532"/>
        <v>0</v>
      </c>
      <c r="P519" s="93">
        <f t="shared" si="527"/>
        <v>0</v>
      </c>
      <c r="Q519" s="94"/>
      <c r="R519" s="92">
        <f t="shared" si="528"/>
        <v>0</v>
      </c>
      <c r="S519" s="92">
        <f t="shared" si="529"/>
        <v>0</v>
      </c>
      <c r="T519" s="93">
        <f t="shared" si="530"/>
        <v>0</v>
      </c>
      <c r="U519" s="95">
        <f t="shared" si="531"/>
        <v>0</v>
      </c>
      <c r="V519" s="94"/>
      <c r="X519" s="580" t="str">
        <f t="shared" si="533"/>
        <v/>
      </c>
      <c r="Y519" s="580" t="str">
        <f t="shared" si="517"/>
        <v/>
      </c>
      <c r="Z519" s="580" t="str">
        <f t="shared" si="524"/>
        <v/>
      </c>
    </row>
    <row r="520" spans="1:26" ht="13.5" hidden="1" thickBot="1" x14ac:dyDescent="0.25">
      <c r="A520" s="602" t="s">
        <v>187</v>
      </c>
      <c r="B520" s="1015" t="s">
        <v>187</v>
      </c>
      <c r="C520" s="1016" t="s">
        <v>187</v>
      </c>
      <c r="D520" s="616"/>
      <c r="E520" s="609"/>
      <c r="F520" s="677"/>
      <c r="G520" s="610"/>
      <c r="H520" s="611"/>
      <c r="I520" s="612"/>
      <c r="J520" s="613"/>
      <c r="K520" s="617">
        <f t="shared" si="525"/>
        <v>0</v>
      </c>
      <c r="L520" s="615" t="s">
        <v>783</v>
      </c>
      <c r="M520" s="92"/>
      <c r="N520" s="92"/>
      <c r="O520" s="93">
        <f t="shared" si="532"/>
        <v>0</v>
      </c>
      <c r="P520" s="93">
        <f t="shared" si="527"/>
        <v>0</v>
      </c>
      <c r="Q520" s="94"/>
      <c r="R520" s="92">
        <f t="shared" si="528"/>
        <v>0</v>
      </c>
      <c r="S520" s="92">
        <f t="shared" si="529"/>
        <v>0</v>
      </c>
      <c r="T520" s="93">
        <f t="shared" si="530"/>
        <v>0</v>
      </c>
      <c r="U520" s="95">
        <f t="shared" si="531"/>
        <v>0</v>
      </c>
      <c r="V520" s="94"/>
      <c r="X520" s="580" t="str">
        <f t="shared" si="533"/>
        <v/>
      </c>
      <c r="Y520" s="580" t="str">
        <f t="shared" si="517"/>
        <v/>
      </c>
      <c r="Z520" s="580" t="str">
        <f t="shared" si="524"/>
        <v/>
      </c>
    </row>
    <row r="521" spans="1:26" ht="13.5" hidden="1" thickBot="1" x14ac:dyDescent="0.25">
      <c r="A521" s="602" t="s">
        <v>187</v>
      </c>
      <c r="B521" s="1017" t="s">
        <v>187</v>
      </c>
      <c r="C521" s="1018" t="s">
        <v>187</v>
      </c>
      <c r="D521" s="619"/>
      <c r="E521" s="620"/>
      <c r="F521" s="678"/>
      <c r="G521" s="621"/>
      <c r="H521" s="622"/>
      <c r="I521" s="623"/>
      <c r="J521" s="624"/>
      <c r="K521" s="625">
        <f t="shared" si="525"/>
        <v>0</v>
      </c>
      <c r="L521" s="626" t="s">
        <v>783</v>
      </c>
      <c r="M521" s="92"/>
      <c r="N521" s="92"/>
      <c r="O521" s="627">
        <f t="shared" si="532"/>
        <v>0</v>
      </c>
      <c r="P521" s="627">
        <f t="shared" si="527"/>
        <v>0</v>
      </c>
      <c r="Q521" s="94"/>
      <c r="R521" s="92">
        <f t="shared" si="528"/>
        <v>0</v>
      </c>
      <c r="S521" s="92">
        <f t="shared" si="529"/>
        <v>0</v>
      </c>
      <c r="T521" s="627">
        <f t="shared" si="530"/>
        <v>0</v>
      </c>
      <c r="U521" s="628">
        <f t="shared" si="531"/>
        <v>0</v>
      </c>
      <c r="V521" s="94"/>
      <c r="X521" s="580" t="str">
        <f t="shared" si="533"/>
        <v/>
      </c>
      <c r="Y521" s="580" t="str">
        <f t="shared" si="517"/>
        <v/>
      </c>
      <c r="Z521" s="580" t="str">
        <f t="shared" si="524"/>
        <v/>
      </c>
    </row>
    <row r="522" spans="1:26" ht="13.5" thickBot="1" x14ac:dyDescent="0.25">
      <c r="A522" s="97" t="s">
        <v>233</v>
      </c>
      <c r="B522" s="1124" t="s">
        <v>233</v>
      </c>
      <c r="C522" s="1125"/>
      <c r="D522" s="1126" t="s">
        <v>857</v>
      </c>
      <c r="E522" s="1102"/>
      <c r="F522" s="679"/>
      <c r="G522" s="574"/>
      <c r="H522" s="77"/>
      <c r="I522" s="576"/>
      <c r="J522" s="576"/>
      <c r="K522" s="576"/>
      <c r="L522" s="576" t="s">
        <v>783</v>
      </c>
      <c r="M522" s="575"/>
      <c r="N522" s="576"/>
      <c r="O522" s="576"/>
      <c r="P522" s="577"/>
      <c r="Q522" s="578">
        <f>SUM(P523:P718)</f>
        <v>184503.57</v>
      </c>
      <c r="R522" s="1103"/>
      <c r="S522" s="1104"/>
      <c r="T522" s="1104"/>
      <c r="U522" s="1105"/>
      <c r="V522" s="1106">
        <f>SUM(U523:U718)</f>
        <v>182134.95</v>
      </c>
      <c r="W522" s="579" t="str">
        <f>IF(OR(Q522&gt;0,V522&gt;0),"X","")</f>
        <v>X</v>
      </c>
      <c r="X522" s="580" t="str">
        <f t="shared" si="533"/>
        <v>x</v>
      </c>
      <c r="Y522" s="580" t="str">
        <f t="shared" si="517"/>
        <v>x</v>
      </c>
      <c r="Z522" s="580" t="str">
        <f t="shared" si="524"/>
        <v>x</v>
      </c>
    </row>
    <row r="523" spans="1:26" x14ac:dyDescent="0.2">
      <c r="A523" s="1008">
        <v>810250</v>
      </c>
      <c r="B523" s="1107" t="s">
        <v>2045</v>
      </c>
      <c r="C523" s="1108" t="s">
        <v>212</v>
      </c>
      <c r="D523" s="1109" t="s">
        <v>527</v>
      </c>
      <c r="E523" s="1110"/>
      <c r="F523" s="994">
        <v>10</v>
      </c>
      <c r="G523" s="918">
        <f>ROUND(0.017*2.34,4)</f>
        <v>3.9800000000000002E-2</v>
      </c>
      <c r="H523" s="661">
        <f t="shared" ref="H523:H526" si="534">IF(F523&lt;=30,(0.7*F523+1.45)*G523,((0.7*30+1.45)+0.58*(F523-30))*G523)</f>
        <v>0.33631</v>
      </c>
      <c r="I523" s="923">
        <v>16.496431999999999</v>
      </c>
      <c r="J523" s="592">
        <f>IF(ISBLANK(I523),"",SUM(H523:I523))</f>
        <v>16.832742</v>
      </c>
      <c r="K523" s="593">
        <f t="shared" ref="K523:K557" si="535">IF(ISBLANK(I523),0,ROUND(J523*(1+$F$10)*(1+$F$11*E523),2))</f>
        <v>20.49</v>
      </c>
      <c r="L523" s="594" t="s">
        <v>19</v>
      </c>
      <c r="M523" s="92">
        <v>959</v>
      </c>
      <c r="N523" s="92">
        <v>20.43</v>
      </c>
      <c r="O523" s="93">
        <f t="shared" ref="O523:O685" si="536">IF(ISBLANK(M523),0,ROUND(K523*M523,2))</f>
        <v>19649.91</v>
      </c>
      <c r="P523" s="93">
        <f t="shared" ref="P523:P685" si="537">IF(ISBLANK(N523),0,ROUND(M523*N523,2))</f>
        <v>19592.37</v>
      </c>
      <c r="Q523" s="94"/>
      <c r="R523" s="1111">
        <f t="shared" ref="R523:R571" si="538">M523</f>
        <v>959</v>
      </c>
      <c r="S523" s="1111">
        <f t="shared" ref="S523:S580" si="539">N523</f>
        <v>20.43</v>
      </c>
      <c r="T523" s="1112">
        <f t="shared" ref="T523:T685" si="540">IF(ISBLANK(R523),0,ROUND(K523*R523,2))</f>
        <v>19649.91</v>
      </c>
      <c r="U523" s="1113">
        <f t="shared" ref="U523:U543" si="541">IF(ISBLANK(R523),0,ROUND(R523*S523,2))</f>
        <v>19592.37</v>
      </c>
      <c r="V523" s="1114"/>
      <c r="X523" s="580" t="str">
        <f t="shared" si="533"/>
        <v>x</v>
      </c>
      <c r="Y523" s="580" t="str">
        <f t="shared" si="517"/>
        <v>x</v>
      </c>
      <c r="Z523" s="580" t="str">
        <f t="shared" si="524"/>
        <v>x</v>
      </c>
    </row>
    <row r="524" spans="1:26" hidden="1" x14ac:dyDescent="0.2">
      <c r="A524" s="1008">
        <v>810250</v>
      </c>
      <c r="B524" s="1010" t="s">
        <v>2046</v>
      </c>
      <c r="C524" s="978" t="s">
        <v>212</v>
      </c>
      <c r="D524" s="595" t="s">
        <v>789</v>
      </c>
      <c r="E524" s="596"/>
      <c r="F524" s="994">
        <v>10</v>
      </c>
      <c r="G524" s="918">
        <f>ROUND(0.01125*2.34,4)</f>
        <v>2.63E-2</v>
      </c>
      <c r="H524" s="661">
        <f t="shared" si="534"/>
        <v>0.22223499999999999</v>
      </c>
      <c r="I524" s="923">
        <v>10.852863999999999</v>
      </c>
      <c r="J524" s="592">
        <f>IF(ISBLANK(I524),"",SUM(H524:I524))</f>
        <v>11.075098999999998</v>
      </c>
      <c r="K524" s="593">
        <f t="shared" si="535"/>
        <v>13.48</v>
      </c>
      <c r="L524" s="594" t="s">
        <v>19</v>
      </c>
      <c r="M524" s="92"/>
      <c r="N524" s="92"/>
      <c r="O524" s="93">
        <f t="shared" ref="O524" si="542">IF(ISBLANK(M524),0,ROUND(K524*M524,2))</f>
        <v>0</v>
      </c>
      <c r="P524" s="93">
        <f t="shared" ref="P524" si="543">IF(ISBLANK(N524),0,ROUND(M524*N524,2))</f>
        <v>0</v>
      </c>
      <c r="Q524" s="94"/>
      <c r="R524" s="92">
        <f t="shared" ref="R524" si="544">M524</f>
        <v>0</v>
      </c>
      <c r="S524" s="92">
        <f t="shared" ref="S524" si="545">N524</f>
        <v>0</v>
      </c>
      <c r="T524" s="93">
        <f t="shared" ref="T524" si="546">IF(ISBLANK(R524),0,ROUND(K524*R524,2))</f>
        <v>0</v>
      </c>
      <c r="U524" s="95">
        <f t="shared" ref="U524" si="547">IF(ISBLANK(R524),0,ROUND(R524*S524,2))</f>
        <v>0</v>
      </c>
      <c r="V524" s="94"/>
      <c r="X524" s="580" t="str">
        <f t="shared" si="533"/>
        <v/>
      </c>
      <c r="Y524" s="580" t="str">
        <f t="shared" si="517"/>
        <v/>
      </c>
      <c r="Z524" s="580" t="str">
        <f t="shared" si="524"/>
        <v/>
      </c>
    </row>
    <row r="525" spans="1:26" hidden="1" x14ac:dyDescent="0.2">
      <c r="A525" s="1008">
        <v>810250</v>
      </c>
      <c r="B525" s="1010" t="s">
        <v>2047</v>
      </c>
      <c r="C525" s="978" t="s">
        <v>212</v>
      </c>
      <c r="D525" s="595" t="s">
        <v>529</v>
      </c>
      <c r="E525" s="596"/>
      <c r="F525" s="994">
        <v>10</v>
      </c>
      <c r="G525" s="918">
        <f>ROUND(0.014*2.34,4)</f>
        <v>3.2800000000000003E-2</v>
      </c>
      <c r="H525" s="661">
        <f t="shared" si="534"/>
        <v>0.27716000000000002</v>
      </c>
      <c r="I525" s="923">
        <v>13.505891999999999</v>
      </c>
      <c r="J525" s="592">
        <f>IF(ISBLANK(I525),"",SUM(H525:I525))</f>
        <v>13.783052</v>
      </c>
      <c r="K525" s="593">
        <f t="shared" si="535"/>
        <v>16.78</v>
      </c>
      <c r="L525" s="594" t="s">
        <v>19</v>
      </c>
      <c r="M525" s="92"/>
      <c r="N525" s="92"/>
      <c r="O525" s="93">
        <f t="shared" ref="O525" si="548">IF(ISBLANK(M525),0,ROUND(K525*M525,2))</f>
        <v>0</v>
      </c>
      <c r="P525" s="93">
        <f t="shared" ref="P525" si="549">IF(ISBLANK(N525),0,ROUND(M525*N525,2))</f>
        <v>0</v>
      </c>
      <c r="Q525" s="94"/>
      <c r="R525" s="92">
        <f t="shared" ref="R525" si="550">M525</f>
        <v>0</v>
      </c>
      <c r="S525" s="92">
        <f t="shared" ref="S525" si="551">N525</f>
        <v>0</v>
      </c>
      <c r="T525" s="93">
        <f t="shared" ref="T525" si="552">IF(ISBLANK(R525),0,ROUND(K525*R525,2))</f>
        <v>0</v>
      </c>
      <c r="U525" s="95">
        <f t="shared" ref="U525" si="553">IF(ISBLANK(R525),0,ROUND(R525*S525,2))</f>
        <v>0</v>
      </c>
      <c r="V525" s="94"/>
      <c r="X525" s="580" t="str">
        <f t="shared" si="533"/>
        <v/>
      </c>
      <c r="Y525" s="580" t="str">
        <f t="shared" si="517"/>
        <v/>
      </c>
      <c r="Z525" s="580" t="str">
        <f t="shared" si="524"/>
        <v/>
      </c>
    </row>
    <row r="526" spans="1:26" hidden="1" x14ac:dyDescent="0.2">
      <c r="A526" s="1008" t="s">
        <v>521</v>
      </c>
      <c r="B526" s="1010" t="s">
        <v>1913</v>
      </c>
      <c r="C526" s="978" t="s">
        <v>523</v>
      </c>
      <c r="D526" s="595" t="s">
        <v>530</v>
      </c>
      <c r="E526" s="596"/>
      <c r="F526" s="994">
        <v>10</v>
      </c>
      <c r="G526" s="918">
        <f>ROUND(0.012*1.8,4)</f>
        <v>2.1600000000000001E-2</v>
      </c>
      <c r="H526" s="661">
        <f t="shared" si="534"/>
        <v>0.18251999999999999</v>
      </c>
      <c r="I526" s="592">
        <v>41.73</v>
      </c>
      <c r="J526" s="592">
        <f>IF(ISBLANK(I526),"",SUM(H526:I526))</f>
        <v>41.912519999999994</v>
      </c>
      <c r="K526" s="593">
        <f t="shared" si="535"/>
        <v>51.01</v>
      </c>
      <c r="L526" s="594" t="s">
        <v>19</v>
      </c>
      <c r="M526" s="92"/>
      <c r="N526" s="92"/>
      <c r="O526" s="93">
        <f t="shared" ref="O526" si="554">IF(ISBLANK(M526),0,ROUND(K526*M526,2))</f>
        <v>0</v>
      </c>
      <c r="P526" s="93">
        <f t="shared" ref="P526" si="555">IF(ISBLANK(N526),0,ROUND(M526*N526,2))</f>
        <v>0</v>
      </c>
      <c r="Q526" s="94"/>
      <c r="R526" s="92">
        <f t="shared" ref="R526" si="556">M526</f>
        <v>0</v>
      </c>
      <c r="S526" s="92">
        <f t="shared" ref="S526" si="557">N526</f>
        <v>0</v>
      </c>
      <c r="T526" s="93">
        <f t="shared" ref="T526" si="558">IF(ISBLANK(R526),0,ROUND(K526*R526,2))</f>
        <v>0</v>
      </c>
      <c r="U526" s="95">
        <f t="shared" ref="U526" si="559">IF(ISBLANK(R526),0,ROUND(R526*S526,2))</f>
        <v>0</v>
      </c>
      <c r="V526" s="94"/>
      <c r="X526" s="580" t="str">
        <f t="shared" si="533"/>
        <v/>
      </c>
      <c r="Y526" s="580" t="str">
        <f t="shared" si="517"/>
        <v/>
      </c>
      <c r="Z526" s="580" t="str">
        <f t="shared" si="524"/>
        <v/>
      </c>
    </row>
    <row r="527" spans="1:26" hidden="1" x14ac:dyDescent="0.2">
      <c r="A527" s="1008">
        <v>606700</v>
      </c>
      <c r="B527" s="1010" t="s">
        <v>1909</v>
      </c>
      <c r="C527" s="978" t="s">
        <v>212</v>
      </c>
      <c r="D527" s="595" t="s">
        <v>287</v>
      </c>
      <c r="E527" s="596"/>
      <c r="F527" s="671">
        <v>0</v>
      </c>
      <c r="G527" s="597"/>
      <c r="H527" s="682">
        <v>0</v>
      </c>
      <c r="I527" s="592">
        <v>123.85000000000001</v>
      </c>
      <c r="J527" s="592">
        <f t="shared" ref="J527:J528" si="560">IF(ISBLANK(I527),"",SUM(H527:I527))</f>
        <v>123.85000000000001</v>
      </c>
      <c r="K527" s="593">
        <f t="shared" si="535"/>
        <v>150.74</v>
      </c>
      <c r="L527" s="594" t="s">
        <v>16</v>
      </c>
      <c r="M527" s="92"/>
      <c r="N527" s="92"/>
      <c r="O527" s="93">
        <f t="shared" si="536"/>
        <v>0</v>
      </c>
      <c r="P527" s="93">
        <f t="shared" si="537"/>
        <v>0</v>
      </c>
      <c r="Q527" s="94"/>
      <c r="R527" s="92">
        <f t="shared" si="538"/>
        <v>0</v>
      </c>
      <c r="S527" s="92">
        <f t="shared" si="539"/>
        <v>0</v>
      </c>
      <c r="T527" s="93">
        <f t="shared" si="540"/>
        <v>0</v>
      </c>
      <c r="U527" s="95">
        <f t="shared" si="541"/>
        <v>0</v>
      </c>
      <c r="V527" s="94"/>
      <c r="X527" s="580" t="str">
        <f t="shared" si="533"/>
        <v/>
      </c>
      <c r="Y527" s="580" t="str">
        <f t="shared" si="517"/>
        <v/>
      </c>
      <c r="Z527" s="580" t="str">
        <f t="shared" si="524"/>
        <v/>
      </c>
    </row>
    <row r="528" spans="1:26" hidden="1" x14ac:dyDescent="0.2">
      <c r="A528" s="1008">
        <v>606600</v>
      </c>
      <c r="B528" s="1010" t="s">
        <v>1905</v>
      </c>
      <c r="C528" s="978" t="s">
        <v>212</v>
      </c>
      <c r="D528" s="595" t="s">
        <v>1104</v>
      </c>
      <c r="E528" s="596"/>
      <c r="F528" s="671">
        <v>0</v>
      </c>
      <c r="G528" s="597"/>
      <c r="H528" s="682">
        <v>0</v>
      </c>
      <c r="I528" s="592">
        <v>259.06</v>
      </c>
      <c r="J528" s="592">
        <f t="shared" si="560"/>
        <v>259.06</v>
      </c>
      <c r="K528" s="593">
        <f t="shared" si="535"/>
        <v>315.3</v>
      </c>
      <c r="L528" s="594" t="s">
        <v>16</v>
      </c>
      <c r="M528" s="92"/>
      <c r="N528" s="92"/>
      <c r="O528" s="93">
        <f t="shared" si="536"/>
        <v>0</v>
      </c>
      <c r="P528" s="93">
        <f t="shared" si="537"/>
        <v>0</v>
      </c>
      <c r="Q528" s="94"/>
      <c r="R528" s="92">
        <f t="shared" si="538"/>
        <v>0</v>
      </c>
      <c r="S528" s="92">
        <f t="shared" si="539"/>
        <v>0</v>
      </c>
      <c r="T528" s="93">
        <f t="shared" si="540"/>
        <v>0</v>
      </c>
      <c r="U528" s="95">
        <f t="shared" si="541"/>
        <v>0</v>
      </c>
      <c r="V528" s="94"/>
      <c r="X528" s="580" t="str">
        <f t="shared" si="533"/>
        <v/>
      </c>
      <c r="Y528" s="580" t="str">
        <f t="shared" si="517"/>
        <v/>
      </c>
      <c r="Z528" s="580" t="str">
        <f t="shared" si="524"/>
        <v/>
      </c>
    </row>
    <row r="529" spans="1:26" hidden="1" x14ac:dyDescent="0.2">
      <c r="A529" s="97">
        <v>100576</v>
      </c>
      <c r="B529" s="1031" t="s">
        <v>2094</v>
      </c>
      <c r="C529" s="978" t="s">
        <v>883</v>
      </c>
      <c r="D529" s="595" t="s">
        <v>210</v>
      </c>
      <c r="E529" s="596"/>
      <c r="F529" s="601">
        <v>0</v>
      </c>
      <c r="G529" s="597"/>
      <c r="H529" s="682">
        <v>0</v>
      </c>
      <c r="I529" s="592">
        <v>1.65</v>
      </c>
      <c r="J529" s="592">
        <f>IF(ISBLANK(I529),"",SUM(H529:I529))</f>
        <v>1.65</v>
      </c>
      <c r="K529" s="593">
        <f t="shared" si="535"/>
        <v>2.0099999999999998</v>
      </c>
      <c r="L529" s="594" t="s">
        <v>18</v>
      </c>
      <c r="M529" s="92"/>
      <c r="N529" s="92"/>
      <c r="O529" s="93">
        <f t="shared" si="536"/>
        <v>0</v>
      </c>
      <c r="P529" s="93">
        <f t="shared" si="537"/>
        <v>0</v>
      </c>
      <c r="Q529" s="94"/>
      <c r="R529" s="92">
        <f t="shared" si="538"/>
        <v>0</v>
      </c>
      <c r="S529" s="92">
        <f t="shared" si="539"/>
        <v>0</v>
      </c>
      <c r="T529" s="93">
        <f t="shared" si="540"/>
        <v>0</v>
      </c>
      <c r="U529" s="95">
        <f t="shared" si="541"/>
        <v>0</v>
      </c>
      <c r="V529" s="94"/>
      <c r="X529" s="580" t="str">
        <f t="shared" si="533"/>
        <v/>
      </c>
      <c r="Y529" s="580" t="str">
        <f t="shared" si="517"/>
        <v/>
      </c>
      <c r="Z529" s="580" t="str">
        <f t="shared" si="524"/>
        <v/>
      </c>
    </row>
    <row r="530" spans="1:26" hidden="1" x14ac:dyDescent="0.2">
      <c r="A530" s="1008">
        <v>532500</v>
      </c>
      <c r="B530" s="1010" t="s">
        <v>1941</v>
      </c>
      <c r="C530" s="978" t="s">
        <v>212</v>
      </c>
      <c r="D530" s="916" t="s">
        <v>359</v>
      </c>
      <c r="E530" s="976"/>
      <c r="F530" s="994">
        <v>20</v>
      </c>
      <c r="G530" s="918">
        <v>1.7250000000000001</v>
      </c>
      <c r="H530" s="979">
        <f t="shared" ref="H530:H531" si="561">IF(F530=0,0,IF(F530&lt;=30,(0.7*F530+1.45)*G530,((0.7*30+1.45)+0.58*(F530-30))*G530))</f>
        <v>26.651250000000001</v>
      </c>
      <c r="I530" s="592">
        <v>64.550000000000011</v>
      </c>
      <c r="J530" s="592">
        <f>IF(ISBLANK(I530),"",SUM(H530:I530))</f>
        <v>91.201250000000016</v>
      </c>
      <c r="K530" s="593">
        <f t="shared" si="535"/>
        <v>111</v>
      </c>
      <c r="L530" s="594" t="s">
        <v>16</v>
      </c>
      <c r="M530" s="92"/>
      <c r="N530" s="92"/>
      <c r="O530" s="93">
        <f t="shared" si="536"/>
        <v>0</v>
      </c>
      <c r="P530" s="93">
        <f t="shared" si="537"/>
        <v>0</v>
      </c>
      <c r="Q530" s="94"/>
      <c r="R530" s="92">
        <f t="shared" si="538"/>
        <v>0</v>
      </c>
      <c r="S530" s="92">
        <f t="shared" si="539"/>
        <v>0</v>
      </c>
      <c r="T530" s="93">
        <f t="shared" si="540"/>
        <v>0</v>
      </c>
      <c r="U530" s="95">
        <f t="shared" si="541"/>
        <v>0</v>
      </c>
      <c r="V530" s="94"/>
      <c r="X530" s="580" t="str">
        <f t="shared" si="533"/>
        <v/>
      </c>
      <c r="Y530" s="580" t="str">
        <f t="shared" si="517"/>
        <v/>
      </c>
      <c r="Z530" s="580" t="str">
        <f t="shared" si="524"/>
        <v/>
      </c>
    </row>
    <row r="531" spans="1:26" hidden="1" x14ac:dyDescent="0.2">
      <c r="A531" s="1008">
        <v>603900</v>
      </c>
      <c r="B531" s="1010" t="s">
        <v>2067</v>
      </c>
      <c r="C531" s="978" t="s">
        <v>212</v>
      </c>
      <c r="D531" s="916" t="s">
        <v>360</v>
      </c>
      <c r="E531" s="976"/>
      <c r="F531" s="994">
        <v>20</v>
      </c>
      <c r="G531" s="918">
        <v>1.5</v>
      </c>
      <c r="H531" s="979">
        <f t="shared" si="561"/>
        <v>23.174999999999997</v>
      </c>
      <c r="I531" s="592">
        <v>107.99000000000001</v>
      </c>
      <c r="J531" s="592">
        <f>IF(ISBLANK(I531),"",SUM(H531:I531))</f>
        <v>131.16500000000002</v>
      </c>
      <c r="K531" s="593">
        <f t="shared" si="535"/>
        <v>159.63999999999999</v>
      </c>
      <c r="L531" s="594" t="s">
        <v>16</v>
      </c>
      <c r="M531" s="92"/>
      <c r="N531" s="92"/>
      <c r="O531" s="93">
        <f t="shared" si="536"/>
        <v>0</v>
      </c>
      <c r="P531" s="93">
        <f t="shared" si="537"/>
        <v>0</v>
      </c>
      <c r="Q531" s="94"/>
      <c r="R531" s="92">
        <f t="shared" si="538"/>
        <v>0</v>
      </c>
      <c r="S531" s="92">
        <f t="shared" si="539"/>
        <v>0</v>
      </c>
      <c r="T531" s="93">
        <f t="shared" si="540"/>
        <v>0</v>
      </c>
      <c r="U531" s="95">
        <f t="shared" si="541"/>
        <v>0</v>
      </c>
      <c r="V531" s="94"/>
      <c r="X531" s="580" t="str">
        <f t="shared" si="533"/>
        <v/>
      </c>
      <c r="Y531" s="580" t="str">
        <f t="shared" si="517"/>
        <v/>
      </c>
      <c r="Z531" s="580" t="str">
        <f t="shared" si="524"/>
        <v/>
      </c>
    </row>
    <row r="532" spans="1:26" hidden="1" x14ac:dyDescent="0.2">
      <c r="A532" s="1008">
        <v>605000</v>
      </c>
      <c r="B532" s="1010" t="s">
        <v>244</v>
      </c>
      <c r="C532" s="978" t="s">
        <v>212</v>
      </c>
      <c r="D532" s="909" t="s">
        <v>288</v>
      </c>
      <c r="E532" s="976"/>
      <c r="F532" s="994"/>
      <c r="G532" s="918"/>
      <c r="H532" s="979">
        <f>SUM(H533:H535)</f>
        <v>172.22290000000001</v>
      </c>
      <c r="I532" s="592">
        <v>340.38</v>
      </c>
      <c r="J532" s="592">
        <f t="shared" ref="J532" si="562">IF(ISBLANK(I532),"",SUM(H532:I532))</f>
        <v>512.60289999999998</v>
      </c>
      <c r="K532" s="593">
        <f t="shared" si="535"/>
        <v>623.89</v>
      </c>
      <c r="L532" s="594" t="s">
        <v>16</v>
      </c>
      <c r="M532" s="92"/>
      <c r="N532" s="92"/>
      <c r="O532" s="93">
        <f t="shared" si="536"/>
        <v>0</v>
      </c>
      <c r="P532" s="93">
        <f t="shared" si="537"/>
        <v>0</v>
      </c>
      <c r="Q532" s="94"/>
      <c r="R532" s="92">
        <f t="shared" si="538"/>
        <v>0</v>
      </c>
      <c r="S532" s="92">
        <f t="shared" si="539"/>
        <v>0</v>
      </c>
      <c r="T532" s="93">
        <f t="shared" si="540"/>
        <v>0</v>
      </c>
      <c r="U532" s="95">
        <f t="shared" si="541"/>
        <v>0</v>
      </c>
      <c r="V532" s="94"/>
      <c r="X532" s="580" t="str">
        <f t="shared" si="533"/>
        <v/>
      </c>
      <c r="Y532" s="580" t="str">
        <f t="shared" si="517"/>
        <v/>
      </c>
      <c r="Z532" s="580" t="str">
        <f t="shared" si="524"/>
        <v/>
      </c>
    </row>
    <row r="533" spans="1:26" hidden="1" x14ac:dyDescent="0.2">
      <c r="A533" s="479" t="s">
        <v>165</v>
      </c>
      <c r="B533" s="1028" t="s">
        <v>165</v>
      </c>
      <c r="C533" s="975"/>
      <c r="D533" s="989" t="s">
        <v>218</v>
      </c>
      <c r="E533" s="1029"/>
      <c r="F533" s="994">
        <v>500</v>
      </c>
      <c r="G533" s="997">
        <v>0.18</v>
      </c>
      <c r="H533" s="979">
        <f>IF(F533&lt;=30,(0.51*F533+4.28)*G533,((0.51*30+4.28)+0.42*(F533-30))*G533)</f>
        <v>39.056400000000004</v>
      </c>
      <c r="I533" s="592">
        <v>0</v>
      </c>
      <c r="J533" s="592"/>
      <c r="K533" s="593">
        <f t="shared" si="535"/>
        <v>0</v>
      </c>
      <c r="L533" s="670" t="s">
        <v>783</v>
      </c>
      <c r="M533" s="632"/>
      <c r="N533" s="633"/>
      <c r="O533" s="93">
        <f t="shared" si="536"/>
        <v>0</v>
      </c>
      <c r="P533" s="93">
        <f t="shared" si="537"/>
        <v>0</v>
      </c>
      <c r="Q533" s="94"/>
      <c r="R533" s="632">
        <f t="shared" si="538"/>
        <v>0</v>
      </c>
      <c r="S533" s="633">
        <f t="shared" si="539"/>
        <v>0</v>
      </c>
      <c r="T533" s="93">
        <f t="shared" si="540"/>
        <v>0</v>
      </c>
      <c r="U533" s="95">
        <f t="shared" si="541"/>
        <v>0</v>
      </c>
      <c r="V533" s="94"/>
      <c r="W533" s="579" t="str">
        <f>IF(U532&gt;0,"xx",IF(P532&gt;0,"xy",""))</f>
        <v/>
      </c>
      <c r="X533" s="580" t="str">
        <f t="shared" si="533"/>
        <v/>
      </c>
      <c r="Y533" s="580" t="str">
        <f t="shared" si="517"/>
        <v/>
      </c>
      <c r="Z533" s="580" t="str">
        <f t="shared" si="524"/>
        <v/>
      </c>
    </row>
    <row r="534" spans="1:26" hidden="1" x14ac:dyDescent="0.2">
      <c r="A534" s="479" t="s">
        <v>165</v>
      </c>
      <c r="B534" s="1028" t="s">
        <v>165</v>
      </c>
      <c r="C534" s="975"/>
      <c r="D534" s="989" t="s">
        <v>257</v>
      </c>
      <c r="E534" s="1029"/>
      <c r="F534" s="994">
        <v>180</v>
      </c>
      <c r="G534" s="997">
        <v>1.06</v>
      </c>
      <c r="H534" s="996">
        <f t="shared" ref="H534:H538" si="563">IF(F534&lt;=30,(0.7*F534+1.45)*G534,((0.7*30+1.45)+0.58*(F534-30))*G534)</f>
        <v>116.01700000000001</v>
      </c>
      <c r="I534" s="592">
        <v>0</v>
      </c>
      <c r="J534" s="592"/>
      <c r="K534" s="593">
        <f t="shared" si="535"/>
        <v>0</v>
      </c>
      <c r="L534" s="670" t="s">
        <v>783</v>
      </c>
      <c r="M534" s="632"/>
      <c r="N534" s="633"/>
      <c r="O534" s="93">
        <f t="shared" si="536"/>
        <v>0</v>
      </c>
      <c r="P534" s="93">
        <f t="shared" si="537"/>
        <v>0</v>
      </c>
      <c r="Q534" s="94"/>
      <c r="R534" s="632">
        <f t="shared" si="538"/>
        <v>0</v>
      </c>
      <c r="S534" s="633">
        <f t="shared" si="539"/>
        <v>0</v>
      </c>
      <c r="T534" s="93">
        <f t="shared" si="540"/>
        <v>0</v>
      </c>
      <c r="U534" s="95">
        <f t="shared" si="541"/>
        <v>0</v>
      </c>
      <c r="V534" s="94"/>
      <c r="W534" s="579" t="str">
        <f>IF(U532&gt;0,"xx",IF(P532&gt;0,"xy",""))</f>
        <v/>
      </c>
      <c r="X534" s="580" t="str">
        <f t="shared" si="533"/>
        <v/>
      </c>
      <c r="Y534" s="580" t="str">
        <f t="shared" si="517"/>
        <v/>
      </c>
      <c r="Z534" s="580" t="str">
        <f t="shared" si="524"/>
        <v/>
      </c>
    </row>
    <row r="535" spans="1:26" hidden="1" x14ac:dyDescent="0.2">
      <c r="A535" s="479" t="s">
        <v>165</v>
      </c>
      <c r="B535" s="1028" t="s">
        <v>165</v>
      </c>
      <c r="C535" s="975"/>
      <c r="D535" s="989" t="s">
        <v>261</v>
      </c>
      <c r="E535" s="1029"/>
      <c r="F535" s="994">
        <v>20</v>
      </c>
      <c r="G535" s="997">
        <v>1.1100000000000001</v>
      </c>
      <c r="H535" s="996">
        <f t="shared" si="563"/>
        <v>17.1495</v>
      </c>
      <c r="I535" s="592">
        <v>0</v>
      </c>
      <c r="J535" s="592"/>
      <c r="K535" s="593">
        <f t="shared" si="535"/>
        <v>0</v>
      </c>
      <c r="L535" s="670" t="s">
        <v>783</v>
      </c>
      <c r="M535" s="632"/>
      <c r="N535" s="633"/>
      <c r="O535" s="93">
        <f t="shared" si="536"/>
        <v>0</v>
      </c>
      <c r="P535" s="93">
        <f t="shared" si="537"/>
        <v>0</v>
      </c>
      <c r="Q535" s="94"/>
      <c r="R535" s="632">
        <f t="shared" si="538"/>
        <v>0</v>
      </c>
      <c r="S535" s="633">
        <f t="shared" si="539"/>
        <v>0</v>
      </c>
      <c r="T535" s="93">
        <f t="shared" si="540"/>
        <v>0</v>
      </c>
      <c r="U535" s="95">
        <f t="shared" si="541"/>
        <v>0</v>
      </c>
      <c r="V535" s="94"/>
      <c r="W535" s="579" t="str">
        <f>IF(U532&gt;0,"xx",IF(P532&gt;0,"xy",""))</f>
        <v/>
      </c>
      <c r="X535" s="580" t="str">
        <f t="shared" si="533"/>
        <v/>
      </c>
      <c r="Y535" s="580" t="str">
        <f t="shared" si="517"/>
        <v/>
      </c>
      <c r="Z535" s="580" t="str">
        <f t="shared" si="524"/>
        <v/>
      </c>
    </row>
    <row r="536" spans="1:26" hidden="1" x14ac:dyDescent="0.2">
      <c r="A536" s="1008">
        <v>400500</v>
      </c>
      <c r="B536" s="1010" t="s">
        <v>1958</v>
      </c>
      <c r="C536" s="978" t="s">
        <v>212</v>
      </c>
      <c r="D536" s="909" t="s">
        <v>2062</v>
      </c>
      <c r="E536" s="976"/>
      <c r="F536" s="994">
        <v>20</v>
      </c>
      <c r="G536" s="918">
        <v>1.73</v>
      </c>
      <c r="H536" s="996">
        <f t="shared" si="563"/>
        <v>26.728499999999997</v>
      </c>
      <c r="I536" s="592">
        <v>48.71</v>
      </c>
      <c r="J536" s="592">
        <f t="shared" ref="J536:J538" si="564">IF(ISBLANK(I536),"",SUM(H536:I536))</f>
        <v>75.438500000000005</v>
      </c>
      <c r="K536" s="593">
        <f t="shared" si="535"/>
        <v>91.82</v>
      </c>
      <c r="L536" s="594" t="s">
        <v>16</v>
      </c>
      <c r="M536" s="92"/>
      <c r="N536" s="92"/>
      <c r="O536" s="93">
        <f t="shared" si="536"/>
        <v>0</v>
      </c>
      <c r="P536" s="93">
        <f t="shared" si="537"/>
        <v>0</v>
      </c>
      <c r="Q536" s="94"/>
      <c r="R536" s="92">
        <f t="shared" si="538"/>
        <v>0</v>
      </c>
      <c r="S536" s="92">
        <f t="shared" si="539"/>
        <v>0</v>
      </c>
      <c r="T536" s="93">
        <f t="shared" si="540"/>
        <v>0</v>
      </c>
      <c r="U536" s="95">
        <f t="shared" si="541"/>
        <v>0</v>
      </c>
      <c r="V536" s="94"/>
      <c r="X536" s="580" t="str">
        <f t="shared" si="533"/>
        <v/>
      </c>
      <c r="Y536" s="580" t="str">
        <f t="shared" si="517"/>
        <v/>
      </c>
      <c r="Z536" s="580" t="str">
        <f t="shared" si="524"/>
        <v/>
      </c>
    </row>
    <row r="537" spans="1:26" hidden="1" x14ac:dyDescent="0.2">
      <c r="A537" s="1008">
        <v>532500</v>
      </c>
      <c r="B537" s="1010" t="s">
        <v>1942</v>
      </c>
      <c r="C537" s="978" t="s">
        <v>212</v>
      </c>
      <c r="D537" s="909" t="s">
        <v>2063</v>
      </c>
      <c r="E537" s="976"/>
      <c r="F537" s="994">
        <v>20</v>
      </c>
      <c r="G537" s="918">
        <v>1.7250000000000001</v>
      </c>
      <c r="H537" s="996">
        <f t="shared" si="563"/>
        <v>26.651250000000001</v>
      </c>
      <c r="I537" s="592">
        <v>64.550000000000011</v>
      </c>
      <c r="J537" s="592">
        <f t="shared" si="564"/>
        <v>91.201250000000016</v>
      </c>
      <c r="K537" s="593">
        <f t="shared" si="535"/>
        <v>111</v>
      </c>
      <c r="L537" s="594" t="s">
        <v>16</v>
      </c>
      <c r="M537" s="92"/>
      <c r="N537" s="92"/>
      <c r="O537" s="93">
        <f t="shared" si="536"/>
        <v>0</v>
      </c>
      <c r="P537" s="93">
        <f t="shared" si="537"/>
        <v>0</v>
      </c>
      <c r="Q537" s="94"/>
      <c r="R537" s="92">
        <f t="shared" si="538"/>
        <v>0</v>
      </c>
      <c r="S537" s="92">
        <f t="shared" si="539"/>
        <v>0</v>
      </c>
      <c r="T537" s="93">
        <f t="shared" si="540"/>
        <v>0</v>
      </c>
      <c r="U537" s="95">
        <f t="shared" si="541"/>
        <v>0</v>
      </c>
      <c r="V537" s="94"/>
      <c r="X537" s="580" t="str">
        <f t="shared" si="533"/>
        <v/>
      </c>
      <c r="Y537" s="580" t="str">
        <f t="shared" si="517"/>
        <v/>
      </c>
      <c r="Z537" s="580" t="str">
        <f t="shared" si="524"/>
        <v/>
      </c>
    </row>
    <row r="538" spans="1:26" hidden="1" x14ac:dyDescent="0.2">
      <c r="A538" s="1008">
        <v>532600</v>
      </c>
      <c r="B538" s="1010" t="s">
        <v>1944</v>
      </c>
      <c r="C538" s="978" t="s">
        <v>212</v>
      </c>
      <c r="D538" s="909" t="s">
        <v>2064</v>
      </c>
      <c r="E538" s="976"/>
      <c r="F538" s="977">
        <v>15</v>
      </c>
      <c r="G538" s="918">
        <f>ROUND(1.5*1.5,4)</f>
        <v>2.25</v>
      </c>
      <c r="H538" s="996">
        <f t="shared" si="563"/>
        <v>26.887499999999999</v>
      </c>
      <c r="I538" s="592">
        <v>12.666666666666668</v>
      </c>
      <c r="J538" s="592">
        <f t="shared" si="564"/>
        <v>39.554166666666667</v>
      </c>
      <c r="K538" s="593">
        <f t="shared" si="535"/>
        <v>48.14</v>
      </c>
      <c r="L538" s="594" t="s">
        <v>16</v>
      </c>
      <c r="M538" s="92"/>
      <c r="N538" s="92"/>
      <c r="O538" s="93">
        <f t="shared" si="536"/>
        <v>0</v>
      </c>
      <c r="P538" s="93">
        <f t="shared" si="537"/>
        <v>0</v>
      </c>
      <c r="Q538" s="94"/>
      <c r="R538" s="92">
        <f t="shared" si="538"/>
        <v>0</v>
      </c>
      <c r="S538" s="92">
        <f t="shared" si="539"/>
        <v>0</v>
      </c>
      <c r="T538" s="93">
        <f t="shared" si="540"/>
        <v>0</v>
      </c>
      <c r="U538" s="95">
        <f t="shared" si="541"/>
        <v>0</v>
      </c>
      <c r="V538" s="94"/>
      <c r="X538" s="580" t="str">
        <f t="shared" si="533"/>
        <v/>
      </c>
      <c r="Y538" s="580" t="str">
        <f t="shared" si="517"/>
        <v/>
      </c>
      <c r="Z538" s="580" t="str">
        <f t="shared" si="524"/>
        <v/>
      </c>
    </row>
    <row r="539" spans="1:26" hidden="1" x14ac:dyDescent="0.2">
      <c r="A539" s="1008">
        <v>603900</v>
      </c>
      <c r="B539" s="1010" t="s">
        <v>2070</v>
      </c>
      <c r="C539" s="978" t="s">
        <v>212</v>
      </c>
      <c r="D539" s="909" t="s">
        <v>2065</v>
      </c>
      <c r="E539" s="976"/>
      <c r="F539" s="994">
        <v>20</v>
      </c>
      <c r="G539" s="918">
        <v>1.5</v>
      </c>
      <c r="H539" s="979">
        <f t="shared" ref="H539" si="565">IF(F539=0,0,IF(F539&lt;=30,(0.7*F539+1.45)*G539,((0.7*30+1.45)+0.58*(F539-30))*G539))</f>
        <v>23.174999999999997</v>
      </c>
      <c r="I539" s="630">
        <v>107.99</v>
      </c>
      <c r="J539" s="592">
        <f>IF(ISBLANK(I539),"",SUM(H539:I539))</f>
        <v>131.16499999999999</v>
      </c>
      <c r="K539" s="593">
        <f t="shared" si="535"/>
        <v>159.63999999999999</v>
      </c>
      <c r="L539" s="594" t="s">
        <v>16</v>
      </c>
      <c r="M539" s="92"/>
      <c r="N539" s="92"/>
      <c r="O539" s="93">
        <f t="shared" si="536"/>
        <v>0</v>
      </c>
      <c r="P539" s="93">
        <f t="shared" si="537"/>
        <v>0</v>
      </c>
      <c r="Q539" s="94"/>
      <c r="R539" s="92">
        <f t="shared" si="538"/>
        <v>0</v>
      </c>
      <c r="S539" s="92">
        <f t="shared" si="539"/>
        <v>0</v>
      </c>
      <c r="T539" s="93">
        <f t="shared" si="540"/>
        <v>0</v>
      </c>
      <c r="U539" s="95">
        <f t="shared" si="541"/>
        <v>0</v>
      </c>
      <c r="V539" s="94"/>
      <c r="X539" s="580" t="str">
        <f t="shared" si="533"/>
        <v/>
      </c>
      <c r="Y539" s="580" t="str">
        <f t="shared" si="517"/>
        <v/>
      </c>
      <c r="Z539" s="580" t="str">
        <f t="shared" si="524"/>
        <v/>
      </c>
    </row>
    <row r="540" spans="1:26" hidden="1" x14ac:dyDescent="0.2">
      <c r="A540" s="1008">
        <v>601100</v>
      </c>
      <c r="B540" s="1010" t="s">
        <v>2132</v>
      </c>
      <c r="C540" s="978" t="s">
        <v>212</v>
      </c>
      <c r="D540" s="595" t="s">
        <v>289</v>
      </c>
      <c r="E540" s="596"/>
      <c r="F540" s="671"/>
      <c r="G540" s="597"/>
      <c r="H540" s="682">
        <f>IF(F540&lt;=30,(0.31*F540+0.77)*G540,((0.31*30+0.77)+0.31*(F540-30))*G540)</f>
        <v>0</v>
      </c>
      <c r="I540" s="592">
        <v>45.66</v>
      </c>
      <c r="J540" s="592">
        <f t="shared" ref="J540:J543" si="566">IF(ISBLANK(I540),"",SUM(H540:I540))</f>
        <v>45.66</v>
      </c>
      <c r="K540" s="593">
        <f t="shared" si="535"/>
        <v>55.57</v>
      </c>
      <c r="L540" s="594" t="s">
        <v>16</v>
      </c>
      <c r="M540" s="92"/>
      <c r="N540" s="92"/>
      <c r="O540" s="93">
        <f t="shared" si="536"/>
        <v>0</v>
      </c>
      <c r="P540" s="93">
        <f t="shared" si="537"/>
        <v>0</v>
      </c>
      <c r="Q540" s="94"/>
      <c r="R540" s="92">
        <f t="shared" si="538"/>
        <v>0</v>
      </c>
      <c r="S540" s="92">
        <f t="shared" si="539"/>
        <v>0</v>
      </c>
      <c r="T540" s="93">
        <f t="shared" si="540"/>
        <v>0</v>
      </c>
      <c r="U540" s="95">
        <f t="shared" si="541"/>
        <v>0</v>
      </c>
      <c r="V540" s="94"/>
      <c r="X540" s="580" t="str">
        <f t="shared" si="533"/>
        <v/>
      </c>
      <c r="Y540" s="580" t="str">
        <f t="shared" si="517"/>
        <v/>
      </c>
      <c r="Z540" s="580" t="str">
        <f t="shared" si="524"/>
        <v/>
      </c>
    </row>
    <row r="541" spans="1:26" hidden="1" x14ac:dyDescent="0.2">
      <c r="A541" s="1008">
        <v>602100</v>
      </c>
      <c r="B541" s="1010" t="s">
        <v>2134</v>
      </c>
      <c r="C541" s="978" t="s">
        <v>212</v>
      </c>
      <c r="D541" s="595" t="s">
        <v>290</v>
      </c>
      <c r="E541" s="596"/>
      <c r="F541" s="671"/>
      <c r="G541" s="597"/>
      <c r="H541" s="682">
        <f>IF(F541&lt;=30,(0.31*F541+0.77)*G541,((0.31*30+0.77)+0.31*(F541-30))*G541)</f>
        <v>0</v>
      </c>
      <c r="I541" s="592">
        <v>90.759999999999991</v>
      </c>
      <c r="J541" s="592">
        <f t="shared" si="566"/>
        <v>90.759999999999991</v>
      </c>
      <c r="K541" s="593">
        <f t="shared" si="535"/>
        <v>110.46</v>
      </c>
      <c r="L541" s="594" t="s">
        <v>18</v>
      </c>
      <c r="M541" s="92"/>
      <c r="N541" s="92"/>
      <c r="O541" s="93">
        <f t="shared" si="536"/>
        <v>0</v>
      </c>
      <c r="P541" s="93">
        <f t="shared" si="537"/>
        <v>0</v>
      </c>
      <c r="Q541" s="94"/>
      <c r="R541" s="92">
        <f t="shared" si="538"/>
        <v>0</v>
      </c>
      <c r="S541" s="92">
        <f t="shared" si="539"/>
        <v>0</v>
      </c>
      <c r="T541" s="93">
        <f t="shared" si="540"/>
        <v>0</v>
      </c>
      <c r="U541" s="95">
        <f t="shared" si="541"/>
        <v>0</v>
      </c>
      <c r="V541" s="94"/>
      <c r="X541" s="580" t="str">
        <f t="shared" si="533"/>
        <v/>
      </c>
      <c r="Y541" s="580" t="str">
        <f t="shared" si="517"/>
        <v/>
      </c>
      <c r="Z541" s="580" t="str">
        <f t="shared" si="524"/>
        <v/>
      </c>
    </row>
    <row r="542" spans="1:26" hidden="1" x14ac:dyDescent="0.2">
      <c r="A542" s="1008">
        <v>603000</v>
      </c>
      <c r="B542" s="1010" t="s">
        <v>2137</v>
      </c>
      <c r="C542" s="978" t="s">
        <v>212</v>
      </c>
      <c r="D542" s="595" t="s">
        <v>291</v>
      </c>
      <c r="E542" s="596"/>
      <c r="F542" s="671"/>
      <c r="G542" s="597"/>
      <c r="H542" s="682">
        <f>IF(F542&lt;=30,(0.31*F542+0.77)*G542,((0.31*30+0.77)+0.31*(F542-30))*G542)</f>
        <v>0</v>
      </c>
      <c r="I542" s="592">
        <v>18.079999999999998</v>
      </c>
      <c r="J542" s="592">
        <f t="shared" si="566"/>
        <v>18.079999999999998</v>
      </c>
      <c r="K542" s="593">
        <f t="shared" si="535"/>
        <v>22.01</v>
      </c>
      <c r="L542" s="594" t="s">
        <v>23</v>
      </c>
      <c r="M542" s="92"/>
      <c r="N542" s="92"/>
      <c r="O542" s="93">
        <f t="shared" si="536"/>
        <v>0</v>
      </c>
      <c r="P542" s="93">
        <f t="shared" si="537"/>
        <v>0</v>
      </c>
      <c r="Q542" s="94"/>
      <c r="R542" s="92">
        <f t="shared" si="538"/>
        <v>0</v>
      </c>
      <c r="S542" s="92">
        <f t="shared" si="539"/>
        <v>0</v>
      </c>
      <c r="T542" s="93">
        <f t="shared" si="540"/>
        <v>0</v>
      </c>
      <c r="U542" s="95">
        <f t="shared" si="541"/>
        <v>0</v>
      </c>
      <c r="V542" s="94"/>
      <c r="X542" s="580" t="str">
        <f t="shared" si="533"/>
        <v/>
      </c>
      <c r="Y542" s="580" t="str">
        <f t="shared" si="517"/>
        <v/>
      </c>
      <c r="Z542" s="580" t="str">
        <f t="shared" si="524"/>
        <v/>
      </c>
    </row>
    <row r="543" spans="1:26" hidden="1" x14ac:dyDescent="0.2">
      <c r="A543" s="1008">
        <v>603300</v>
      </c>
      <c r="B543" s="1010" t="s">
        <v>2140</v>
      </c>
      <c r="C543" s="978" t="s">
        <v>212</v>
      </c>
      <c r="D543" s="595" t="s">
        <v>292</v>
      </c>
      <c r="E543" s="596"/>
      <c r="F543" s="671"/>
      <c r="G543" s="597"/>
      <c r="H543" s="682">
        <f>IF(F543&lt;=30,(0.31*F543+0.77)*G543,((0.31*30+0.77)+0.31*(F543-30))*G543)</f>
        <v>0</v>
      </c>
      <c r="I543" s="592">
        <v>19.34</v>
      </c>
      <c r="J543" s="592">
        <f t="shared" si="566"/>
        <v>19.34</v>
      </c>
      <c r="K543" s="593">
        <f t="shared" si="535"/>
        <v>23.54</v>
      </c>
      <c r="L543" s="594" t="s">
        <v>23</v>
      </c>
      <c r="M543" s="92"/>
      <c r="N543" s="92"/>
      <c r="O543" s="93">
        <f t="shared" si="536"/>
        <v>0</v>
      </c>
      <c r="P543" s="93">
        <f t="shared" si="537"/>
        <v>0</v>
      </c>
      <c r="Q543" s="94"/>
      <c r="R543" s="92">
        <f t="shared" si="538"/>
        <v>0</v>
      </c>
      <c r="S543" s="92">
        <f t="shared" si="539"/>
        <v>0</v>
      </c>
      <c r="T543" s="93">
        <f t="shared" si="540"/>
        <v>0</v>
      </c>
      <c r="U543" s="95">
        <f t="shared" si="541"/>
        <v>0</v>
      </c>
      <c r="V543" s="94"/>
      <c r="X543" s="580" t="str">
        <f t="shared" si="533"/>
        <v/>
      </c>
      <c r="Y543" s="580" t="str">
        <f t="shared" si="517"/>
        <v/>
      </c>
      <c r="Z543" s="580" t="str">
        <f t="shared" si="524"/>
        <v/>
      </c>
    </row>
    <row r="544" spans="1:26" hidden="1" x14ac:dyDescent="0.2">
      <c r="A544" s="1008">
        <v>605000</v>
      </c>
      <c r="B544" s="1010" t="s">
        <v>329</v>
      </c>
      <c r="C544" s="978" t="s">
        <v>212</v>
      </c>
      <c r="D544" s="595" t="s">
        <v>293</v>
      </c>
      <c r="E544" s="596"/>
      <c r="F544" s="671"/>
      <c r="G544" s="597"/>
      <c r="H544" s="682">
        <f>SUM(H545:H547)*0.05</f>
        <v>0.45201525000000004</v>
      </c>
      <c r="I544" s="923">
        <v>23.207000000000001</v>
      </c>
      <c r="J544" s="592">
        <f t="shared" ref="J544:J547" si="567">IF(ISBLANK(I544),"",SUM(H544:I544))</f>
        <v>23.659015249999999</v>
      </c>
      <c r="K544" s="593">
        <f t="shared" si="535"/>
        <v>28.8</v>
      </c>
      <c r="L544" s="594" t="s">
        <v>18</v>
      </c>
      <c r="M544" s="92"/>
      <c r="N544" s="92"/>
      <c r="O544" s="93">
        <f t="shared" ref="O544:O547" si="568">IF(ISBLANK(M544),0,ROUND(K544*M544,2))</f>
        <v>0</v>
      </c>
      <c r="P544" s="93">
        <f t="shared" ref="P544:P547" si="569">IF(ISBLANK(N544),0,ROUND(M544*N544,2))</f>
        <v>0</v>
      </c>
      <c r="Q544" s="94"/>
      <c r="R544" s="92">
        <f t="shared" ref="R544:R547" si="570">M544</f>
        <v>0</v>
      </c>
      <c r="S544" s="92">
        <f t="shared" ref="S544:S547" si="571">N544</f>
        <v>0</v>
      </c>
      <c r="T544" s="93">
        <f t="shared" ref="T544:T547" si="572">IF(ISBLANK(R544),0,ROUND(K544*R544,2))</f>
        <v>0</v>
      </c>
      <c r="U544" s="95">
        <f t="shared" ref="U544:U547" si="573">IF(ISBLANK(R544),0,ROUND(R544*S544,2))</f>
        <v>0</v>
      </c>
      <c r="V544" s="94"/>
      <c r="X544" s="580" t="str">
        <f t="shared" si="533"/>
        <v/>
      </c>
      <c r="Y544" s="580" t="str">
        <f t="shared" si="517"/>
        <v/>
      </c>
      <c r="Z544" s="580" t="str">
        <f t="shared" si="524"/>
        <v/>
      </c>
    </row>
    <row r="545" spans="1:26" hidden="1" x14ac:dyDescent="0.2">
      <c r="A545" s="97" t="s">
        <v>165</v>
      </c>
      <c r="B545" s="1031" t="s">
        <v>165</v>
      </c>
      <c r="C545" s="978"/>
      <c r="D545" s="631" t="s">
        <v>218</v>
      </c>
      <c r="E545" s="596"/>
      <c r="F545" s="671">
        <v>500</v>
      </c>
      <c r="G545" s="997">
        <f>ROUND(0.27*0.05,4)</f>
        <v>1.35E-2</v>
      </c>
      <c r="H545" s="682">
        <f>IF(F545&lt;=30,(0.51*F545+4.28)*G545,((0.51*30+4.28)+0.42*(F545-30))*G545)</f>
        <v>2.92923</v>
      </c>
      <c r="I545" s="923"/>
      <c r="J545" s="592" t="str">
        <f t="shared" si="567"/>
        <v/>
      </c>
      <c r="K545" s="593">
        <f t="shared" si="535"/>
        <v>0</v>
      </c>
      <c r="L545" s="670" t="s">
        <v>783</v>
      </c>
      <c r="M545" s="632"/>
      <c r="N545" s="633"/>
      <c r="O545" s="93">
        <f t="shared" si="568"/>
        <v>0</v>
      </c>
      <c r="P545" s="93">
        <f t="shared" si="569"/>
        <v>0</v>
      </c>
      <c r="Q545" s="94"/>
      <c r="R545" s="632">
        <f t="shared" si="570"/>
        <v>0</v>
      </c>
      <c r="S545" s="633">
        <f t="shared" si="571"/>
        <v>0</v>
      </c>
      <c r="T545" s="93">
        <f t="shared" si="572"/>
        <v>0</v>
      </c>
      <c r="U545" s="95">
        <f t="shared" si="573"/>
        <v>0</v>
      </c>
      <c r="V545" s="94"/>
      <c r="W545" s="579" t="str">
        <f>IF(U544&gt;0,"xx",IF(P544&gt;0,"xy",""))</f>
        <v/>
      </c>
      <c r="X545" s="580" t="str">
        <f t="shared" si="533"/>
        <v/>
      </c>
      <c r="Y545" s="580" t="str">
        <f t="shared" si="517"/>
        <v/>
      </c>
      <c r="Z545" s="580" t="str">
        <f t="shared" si="524"/>
        <v/>
      </c>
    </row>
    <row r="546" spans="1:26" hidden="1" x14ac:dyDescent="0.2">
      <c r="A546" s="97" t="s">
        <v>165</v>
      </c>
      <c r="B546" s="1031" t="s">
        <v>165</v>
      </c>
      <c r="C546" s="978"/>
      <c r="D546" s="631" t="s">
        <v>257</v>
      </c>
      <c r="E546" s="596"/>
      <c r="F546" s="671">
        <v>180</v>
      </c>
      <c r="G546" s="997">
        <f>ROUND(0.96*0.05,4)</f>
        <v>4.8000000000000001E-2</v>
      </c>
      <c r="H546" s="661">
        <f t="shared" ref="H546:H547" si="574">IF(F546&lt;=30,(0.7*F546+1.45)*G546,((0.7*30+1.45)+0.58*(F546-30))*G546)</f>
        <v>5.2536000000000005</v>
      </c>
      <c r="I546" s="923"/>
      <c r="J546" s="592" t="str">
        <f t="shared" si="567"/>
        <v/>
      </c>
      <c r="K546" s="593">
        <f t="shared" si="535"/>
        <v>0</v>
      </c>
      <c r="L546" s="670" t="s">
        <v>783</v>
      </c>
      <c r="M546" s="632"/>
      <c r="N546" s="633"/>
      <c r="O546" s="93">
        <f t="shared" si="568"/>
        <v>0</v>
      </c>
      <c r="P546" s="93">
        <f t="shared" si="569"/>
        <v>0</v>
      </c>
      <c r="Q546" s="94"/>
      <c r="R546" s="632">
        <f t="shared" si="570"/>
        <v>0</v>
      </c>
      <c r="S546" s="633">
        <f t="shared" si="571"/>
        <v>0</v>
      </c>
      <c r="T546" s="93">
        <f t="shared" si="572"/>
        <v>0</v>
      </c>
      <c r="U546" s="95">
        <f t="shared" si="573"/>
        <v>0</v>
      </c>
      <c r="V546" s="94"/>
      <c r="W546" s="579" t="str">
        <f>IF(U544&gt;0,"xx",IF(P544&gt;0,"xy",""))</f>
        <v/>
      </c>
      <c r="X546" s="580" t="str">
        <f t="shared" si="533"/>
        <v/>
      </c>
      <c r="Y546" s="580" t="str">
        <f t="shared" si="517"/>
        <v/>
      </c>
      <c r="Z546" s="580" t="str">
        <f t="shared" si="524"/>
        <v/>
      </c>
    </row>
    <row r="547" spans="1:26" hidden="1" x14ac:dyDescent="0.2">
      <c r="A547" s="97" t="s">
        <v>165</v>
      </c>
      <c r="B547" s="1031" t="s">
        <v>165</v>
      </c>
      <c r="C547" s="978"/>
      <c r="D547" s="631" t="s">
        <v>261</v>
      </c>
      <c r="E547" s="596"/>
      <c r="F547" s="671">
        <v>20</v>
      </c>
      <c r="G547" s="997">
        <f>ROUND(1.11*0.05,4)</f>
        <v>5.5500000000000001E-2</v>
      </c>
      <c r="H547" s="661">
        <f t="shared" si="574"/>
        <v>0.85747499999999999</v>
      </c>
      <c r="I547" s="923"/>
      <c r="J547" s="592" t="str">
        <f t="shared" si="567"/>
        <v/>
      </c>
      <c r="K547" s="593">
        <f t="shared" si="535"/>
        <v>0</v>
      </c>
      <c r="L547" s="670" t="s">
        <v>783</v>
      </c>
      <c r="M547" s="632"/>
      <c r="N547" s="633"/>
      <c r="O547" s="93">
        <f t="shared" si="568"/>
        <v>0</v>
      </c>
      <c r="P547" s="93">
        <f t="shared" si="569"/>
        <v>0</v>
      </c>
      <c r="Q547" s="94"/>
      <c r="R547" s="632">
        <f t="shared" si="570"/>
        <v>0</v>
      </c>
      <c r="S547" s="633">
        <f t="shared" si="571"/>
        <v>0</v>
      </c>
      <c r="T547" s="93">
        <f t="shared" si="572"/>
        <v>0</v>
      </c>
      <c r="U547" s="95">
        <f t="shared" si="573"/>
        <v>0</v>
      </c>
      <c r="V547" s="94"/>
      <c r="W547" s="579" t="str">
        <f>IF(U544&gt;0,"xx",IF(P544&gt;0,"xy",""))</f>
        <v/>
      </c>
      <c r="X547" s="580" t="str">
        <f t="shared" si="533"/>
        <v/>
      </c>
      <c r="Y547" s="580" t="str">
        <f t="shared" si="517"/>
        <v/>
      </c>
      <c r="Z547" s="580" t="str">
        <f t="shared" si="524"/>
        <v/>
      </c>
    </row>
    <row r="548" spans="1:26" hidden="1" x14ac:dyDescent="0.2">
      <c r="A548" s="1008">
        <v>605000</v>
      </c>
      <c r="B548" s="1010" t="s">
        <v>330</v>
      </c>
      <c r="C548" s="978" t="s">
        <v>212</v>
      </c>
      <c r="D548" s="595" t="s">
        <v>794</v>
      </c>
      <c r="E548" s="596"/>
      <c r="F548" s="671"/>
      <c r="G548" s="997"/>
      <c r="H548" s="682">
        <f>SUM(H549:H551)*0.06</f>
        <v>0.65090195999999989</v>
      </c>
      <c r="I548" s="923">
        <v>27.518399999999996</v>
      </c>
      <c r="J548" s="592">
        <f t="shared" ref="J548:J551" si="575">IF(ISBLANK(I548),"",SUM(H548:I548))</f>
        <v>28.169301959999995</v>
      </c>
      <c r="K548" s="593">
        <f t="shared" si="535"/>
        <v>34.28</v>
      </c>
      <c r="L548" s="594" t="s">
        <v>18</v>
      </c>
      <c r="M548" s="92"/>
      <c r="N548" s="92"/>
      <c r="O548" s="93">
        <f t="shared" ref="O548:O551" si="576">IF(ISBLANK(M548),0,ROUND(K548*M548,2))</f>
        <v>0</v>
      </c>
      <c r="P548" s="93">
        <f t="shared" ref="P548:P551" si="577">IF(ISBLANK(N548),0,ROUND(M548*N548,2))</f>
        <v>0</v>
      </c>
      <c r="Q548" s="94"/>
      <c r="R548" s="92">
        <f t="shared" ref="R548:R551" si="578">M548</f>
        <v>0</v>
      </c>
      <c r="S548" s="92">
        <f t="shared" ref="S548:S551" si="579">N548</f>
        <v>0</v>
      </c>
      <c r="T548" s="93">
        <f t="shared" ref="T548:T551" si="580">IF(ISBLANK(R548),0,ROUND(K548*R548,2))</f>
        <v>0</v>
      </c>
      <c r="U548" s="95">
        <f t="shared" ref="U548:U551" si="581">IF(ISBLANK(R548),0,ROUND(R548*S548,2))</f>
        <v>0</v>
      </c>
      <c r="V548" s="94"/>
      <c r="X548" s="580" t="str">
        <f t="shared" si="533"/>
        <v/>
      </c>
      <c r="Y548" s="580" t="str">
        <f t="shared" si="517"/>
        <v/>
      </c>
      <c r="Z548" s="580" t="str">
        <f t="shared" si="524"/>
        <v/>
      </c>
    </row>
    <row r="549" spans="1:26" hidden="1" x14ac:dyDescent="0.2">
      <c r="A549" s="97" t="s">
        <v>165</v>
      </c>
      <c r="B549" s="1031" t="s">
        <v>165</v>
      </c>
      <c r="C549" s="978"/>
      <c r="D549" s="631" t="s">
        <v>218</v>
      </c>
      <c r="E549" s="596"/>
      <c r="F549" s="671">
        <v>500</v>
      </c>
      <c r="G549" s="997">
        <f>ROUND(0.27*0.06,4)</f>
        <v>1.6199999999999999E-2</v>
      </c>
      <c r="H549" s="682">
        <f>IF(F549&lt;=30,(0.51*F549+4.28)*G549,((0.51*30+4.28)+0.42*(F549-30))*G549)</f>
        <v>3.5150760000000001</v>
      </c>
      <c r="I549" s="923"/>
      <c r="J549" s="592" t="str">
        <f t="shared" si="575"/>
        <v/>
      </c>
      <c r="K549" s="593">
        <f t="shared" si="535"/>
        <v>0</v>
      </c>
      <c r="L549" s="670" t="s">
        <v>783</v>
      </c>
      <c r="M549" s="632"/>
      <c r="N549" s="633"/>
      <c r="O549" s="93">
        <f t="shared" si="576"/>
        <v>0</v>
      </c>
      <c r="P549" s="93">
        <f t="shared" si="577"/>
        <v>0</v>
      </c>
      <c r="Q549" s="94"/>
      <c r="R549" s="632">
        <f t="shared" si="578"/>
        <v>0</v>
      </c>
      <c r="S549" s="633">
        <f t="shared" si="579"/>
        <v>0</v>
      </c>
      <c r="T549" s="93">
        <f t="shared" si="580"/>
        <v>0</v>
      </c>
      <c r="U549" s="95">
        <f t="shared" si="581"/>
        <v>0</v>
      </c>
      <c r="V549" s="94"/>
      <c r="W549" s="579" t="str">
        <f>IF(U548&gt;0,"xx",IF(P548&gt;0,"xy",""))</f>
        <v/>
      </c>
      <c r="X549" s="580" t="str">
        <f t="shared" si="533"/>
        <v/>
      </c>
      <c r="Y549" s="580" t="str">
        <f t="shared" si="517"/>
        <v/>
      </c>
      <c r="Z549" s="580" t="str">
        <f t="shared" si="524"/>
        <v/>
      </c>
    </row>
    <row r="550" spans="1:26" hidden="1" x14ac:dyDescent="0.2">
      <c r="A550" s="97" t="s">
        <v>165</v>
      </c>
      <c r="B550" s="1031" t="s">
        <v>165</v>
      </c>
      <c r="C550" s="978"/>
      <c r="D550" s="631" t="s">
        <v>257</v>
      </c>
      <c r="E550" s="596"/>
      <c r="F550" s="671">
        <v>180</v>
      </c>
      <c r="G550" s="997">
        <f>ROUND(0.96*0.06,4)</f>
        <v>5.7599999999999998E-2</v>
      </c>
      <c r="H550" s="661">
        <f t="shared" ref="H550:H551" si="582">IF(F550&lt;=30,(0.7*F550+1.45)*G550,((0.7*30+1.45)+0.58*(F550-30))*G550)</f>
        <v>6.3043199999999997</v>
      </c>
      <c r="I550" s="923"/>
      <c r="J550" s="592" t="str">
        <f t="shared" si="575"/>
        <v/>
      </c>
      <c r="K550" s="593">
        <f t="shared" si="535"/>
        <v>0</v>
      </c>
      <c r="L550" s="670" t="s">
        <v>783</v>
      </c>
      <c r="M550" s="632"/>
      <c r="N550" s="633"/>
      <c r="O550" s="93">
        <f t="shared" si="576"/>
        <v>0</v>
      </c>
      <c r="P550" s="93">
        <f t="shared" si="577"/>
        <v>0</v>
      </c>
      <c r="Q550" s="94"/>
      <c r="R550" s="632">
        <f t="shared" si="578"/>
        <v>0</v>
      </c>
      <c r="S550" s="633">
        <f t="shared" si="579"/>
        <v>0</v>
      </c>
      <c r="T550" s="93">
        <f t="shared" si="580"/>
        <v>0</v>
      </c>
      <c r="U550" s="95">
        <f t="shared" si="581"/>
        <v>0</v>
      </c>
      <c r="V550" s="94"/>
      <c r="W550" s="579" t="str">
        <f>IF(U548&gt;0,"xx",IF(P548&gt;0,"xy",""))</f>
        <v/>
      </c>
      <c r="X550" s="580" t="str">
        <f t="shared" si="533"/>
        <v/>
      </c>
      <c r="Y550" s="580" t="str">
        <f t="shared" si="517"/>
        <v/>
      </c>
      <c r="Z550" s="580" t="str">
        <f t="shared" si="524"/>
        <v/>
      </c>
    </row>
    <row r="551" spans="1:26" hidden="1" x14ac:dyDescent="0.2">
      <c r="A551" s="97" t="s">
        <v>165</v>
      </c>
      <c r="B551" s="1031" t="s">
        <v>165</v>
      </c>
      <c r="C551" s="978"/>
      <c r="D551" s="631" t="s">
        <v>261</v>
      </c>
      <c r="E551" s="596"/>
      <c r="F551" s="671">
        <v>20</v>
      </c>
      <c r="G551" s="997">
        <f>ROUND(1.11*0.06,4)</f>
        <v>6.6600000000000006E-2</v>
      </c>
      <c r="H551" s="661">
        <f t="shared" si="582"/>
        <v>1.0289700000000002</v>
      </c>
      <c r="I551" s="923"/>
      <c r="J551" s="592" t="str">
        <f t="shared" si="575"/>
        <v/>
      </c>
      <c r="K551" s="593">
        <f t="shared" si="535"/>
        <v>0</v>
      </c>
      <c r="L551" s="670" t="s">
        <v>783</v>
      </c>
      <c r="M551" s="632"/>
      <c r="N551" s="633"/>
      <c r="O551" s="93">
        <f t="shared" si="576"/>
        <v>0</v>
      </c>
      <c r="P551" s="93">
        <f t="shared" si="577"/>
        <v>0</v>
      </c>
      <c r="Q551" s="94"/>
      <c r="R551" s="632">
        <f t="shared" si="578"/>
        <v>0</v>
      </c>
      <c r="S551" s="633">
        <f t="shared" si="579"/>
        <v>0</v>
      </c>
      <c r="T551" s="93">
        <f t="shared" si="580"/>
        <v>0</v>
      </c>
      <c r="U551" s="95">
        <f t="shared" si="581"/>
        <v>0</v>
      </c>
      <c r="V551" s="94"/>
      <c r="W551" s="579" t="str">
        <f>IF(U548&gt;0,"xx",IF(P548&gt;0,"xy",""))</f>
        <v/>
      </c>
      <c r="X551" s="580" t="str">
        <f t="shared" si="533"/>
        <v/>
      </c>
      <c r="Y551" s="580" t="str">
        <f t="shared" si="517"/>
        <v/>
      </c>
      <c r="Z551" s="580" t="str">
        <f t="shared" si="524"/>
        <v/>
      </c>
    </row>
    <row r="552" spans="1:26" hidden="1" x14ac:dyDescent="0.2">
      <c r="A552" s="1008">
        <v>605000</v>
      </c>
      <c r="B552" s="1010" t="s">
        <v>331</v>
      </c>
      <c r="C552" s="978" t="s">
        <v>212</v>
      </c>
      <c r="D552" s="595" t="s">
        <v>795</v>
      </c>
      <c r="E552" s="596"/>
      <c r="F552" s="671"/>
      <c r="G552" s="997"/>
      <c r="H552" s="682">
        <f>SUM(H553:H555)*0.07</f>
        <v>0.88594989000000002</v>
      </c>
      <c r="I552" s="923">
        <v>31.829800000000002</v>
      </c>
      <c r="J552" s="592">
        <f t="shared" ref="J552:J556" si="583">IF(ISBLANK(I552),"",SUM(H552:I552))</f>
        <v>32.715749890000005</v>
      </c>
      <c r="K552" s="593">
        <f t="shared" si="535"/>
        <v>39.82</v>
      </c>
      <c r="L552" s="594" t="s">
        <v>18</v>
      </c>
      <c r="M552" s="92"/>
      <c r="N552" s="92"/>
      <c r="O552" s="93">
        <f t="shared" ref="O552:O559" si="584">IF(ISBLANK(M552),0,ROUND(K552*M552,2))</f>
        <v>0</v>
      </c>
      <c r="P552" s="93">
        <f t="shared" ref="P552:P559" si="585">IF(ISBLANK(N552),0,ROUND(M552*N552,2))</f>
        <v>0</v>
      </c>
      <c r="Q552" s="94"/>
      <c r="R552" s="92">
        <f t="shared" ref="R552:R559" si="586">M552</f>
        <v>0</v>
      </c>
      <c r="S552" s="92">
        <f t="shared" ref="S552:S559" si="587">N552</f>
        <v>0</v>
      </c>
      <c r="T552" s="93">
        <f t="shared" ref="T552:T559" si="588">IF(ISBLANK(R552),0,ROUND(K552*R552,2))</f>
        <v>0</v>
      </c>
      <c r="U552" s="95">
        <f t="shared" ref="U552:U559" si="589">IF(ISBLANK(R552),0,ROUND(R552*S552,2))</f>
        <v>0</v>
      </c>
      <c r="V552" s="94"/>
      <c r="X552" s="580" t="str">
        <f t="shared" si="533"/>
        <v/>
      </c>
      <c r="Y552" s="580" t="str">
        <f t="shared" si="517"/>
        <v/>
      </c>
      <c r="Z552" s="580" t="str">
        <f t="shared" si="524"/>
        <v/>
      </c>
    </row>
    <row r="553" spans="1:26" hidden="1" x14ac:dyDescent="0.2">
      <c r="A553" s="97" t="s">
        <v>165</v>
      </c>
      <c r="B553" s="1031" t="s">
        <v>165</v>
      </c>
      <c r="C553" s="978"/>
      <c r="D553" s="631" t="s">
        <v>218</v>
      </c>
      <c r="E553" s="596"/>
      <c r="F553" s="671">
        <v>500</v>
      </c>
      <c r="G553" s="997">
        <f>ROUND(0.27*0.07,4)</f>
        <v>1.89E-2</v>
      </c>
      <c r="H553" s="682">
        <f>IF(F553&lt;=30,(0.51*F553+4.28)*G553,((0.51*30+4.28)+0.42*(F553-30))*G553)</f>
        <v>4.1009220000000006</v>
      </c>
      <c r="I553" s="923"/>
      <c r="J553" s="592" t="str">
        <f t="shared" si="583"/>
        <v/>
      </c>
      <c r="K553" s="593">
        <f t="shared" si="535"/>
        <v>0</v>
      </c>
      <c r="L553" s="670" t="s">
        <v>783</v>
      </c>
      <c r="M553" s="632"/>
      <c r="N553" s="633"/>
      <c r="O553" s="93">
        <f t="shared" si="584"/>
        <v>0</v>
      </c>
      <c r="P553" s="93">
        <f t="shared" si="585"/>
        <v>0</v>
      </c>
      <c r="Q553" s="94"/>
      <c r="R553" s="632">
        <f t="shared" si="586"/>
        <v>0</v>
      </c>
      <c r="S553" s="633">
        <f t="shared" si="587"/>
        <v>0</v>
      </c>
      <c r="T553" s="93">
        <f t="shared" si="588"/>
        <v>0</v>
      </c>
      <c r="U553" s="95">
        <f t="shared" si="589"/>
        <v>0</v>
      </c>
      <c r="V553" s="94"/>
      <c r="W553" s="579" t="str">
        <f>IF(U552&gt;0,"xx",IF(P552&gt;0,"xy",""))</f>
        <v/>
      </c>
      <c r="X553" s="580" t="str">
        <f t="shared" si="533"/>
        <v/>
      </c>
      <c r="Y553" s="580" t="str">
        <f t="shared" si="517"/>
        <v/>
      </c>
      <c r="Z553" s="580" t="str">
        <f t="shared" si="524"/>
        <v/>
      </c>
    </row>
    <row r="554" spans="1:26" hidden="1" x14ac:dyDescent="0.2">
      <c r="A554" s="97" t="s">
        <v>165</v>
      </c>
      <c r="B554" s="1031" t="s">
        <v>165</v>
      </c>
      <c r="C554" s="978"/>
      <c r="D554" s="631" t="s">
        <v>257</v>
      </c>
      <c r="E554" s="596"/>
      <c r="F554" s="671">
        <v>180</v>
      </c>
      <c r="G554" s="997">
        <f>ROUND(0.96*0.07,4)</f>
        <v>6.7199999999999996E-2</v>
      </c>
      <c r="H554" s="661">
        <f t="shared" ref="H554:H555" si="590">IF(F554&lt;=30,(0.7*F554+1.45)*G554,((0.7*30+1.45)+0.58*(F554-30))*G554)</f>
        <v>7.3550399999999998</v>
      </c>
      <c r="I554" s="923"/>
      <c r="J554" s="592" t="str">
        <f t="shared" si="583"/>
        <v/>
      </c>
      <c r="K554" s="593">
        <f t="shared" si="535"/>
        <v>0</v>
      </c>
      <c r="L554" s="670" t="s">
        <v>783</v>
      </c>
      <c r="M554" s="632"/>
      <c r="N554" s="633"/>
      <c r="O554" s="93">
        <f t="shared" si="584"/>
        <v>0</v>
      </c>
      <c r="P554" s="93">
        <f t="shared" si="585"/>
        <v>0</v>
      </c>
      <c r="Q554" s="94"/>
      <c r="R554" s="632">
        <f t="shared" si="586"/>
        <v>0</v>
      </c>
      <c r="S554" s="633">
        <f t="shared" si="587"/>
        <v>0</v>
      </c>
      <c r="T554" s="93">
        <f t="shared" si="588"/>
        <v>0</v>
      </c>
      <c r="U554" s="95">
        <f t="shared" si="589"/>
        <v>0</v>
      </c>
      <c r="V554" s="94"/>
      <c r="W554" s="579" t="str">
        <f>IF(U552&gt;0,"xx",IF(P552&gt;0,"xy",""))</f>
        <v/>
      </c>
      <c r="X554" s="580" t="str">
        <f t="shared" si="533"/>
        <v/>
      </c>
      <c r="Y554" s="580" t="str">
        <f t="shared" si="517"/>
        <v/>
      </c>
      <c r="Z554" s="580" t="str">
        <f t="shared" si="524"/>
        <v/>
      </c>
    </row>
    <row r="555" spans="1:26" hidden="1" x14ac:dyDescent="0.2">
      <c r="A555" s="97" t="s">
        <v>165</v>
      </c>
      <c r="B555" s="1031" t="s">
        <v>165</v>
      </c>
      <c r="C555" s="978"/>
      <c r="D555" s="631" t="s">
        <v>261</v>
      </c>
      <c r="E555" s="596"/>
      <c r="F555" s="671">
        <v>20</v>
      </c>
      <c r="G555" s="997">
        <f>ROUND(1.11*0.07,4)</f>
        <v>7.7700000000000005E-2</v>
      </c>
      <c r="H555" s="661">
        <f t="shared" si="590"/>
        <v>1.2004650000000001</v>
      </c>
      <c r="I555" s="923"/>
      <c r="J555" s="592" t="str">
        <f t="shared" si="583"/>
        <v/>
      </c>
      <c r="K555" s="593">
        <f t="shared" si="535"/>
        <v>0</v>
      </c>
      <c r="L555" s="670" t="s">
        <v>783</v>
      </c>
      <c r="M555" s="632"/>
      <c r="N555" s="633"/>
      <c r="O555" s="93">
        <f t="shared" si="584"/>
        <v>0</v>
      </c>
      <c r="P555" s="93">
        <f t="shared" si="585"/>
        <v>0</v>
      </c>
      <c r="Q555" s="94"/>
      <c r="R555" s="632">
        <f t="shared" si="586"/>
        <v>0</v>
      </c>
      <c r="S555" s="633">
        <f t="shared" si="587"/>
        <v>0</v>
      </c>
      <c r="T555" s="93">
        <f t="shared" si="588"/>
        <v>0</v>
      </c>
      <c r="U555" s="95">
        <f t="shared" si="589"/>
        <v>0</v>
      </c>
      <c r="V555" s="94"/>
      <c r="W555" s="579" t="str">
        <f>IF(U552&gt;0,"xx",IF(P552&gt;0,"xy",""))</f>
        <v/>
      </c>
      <c r="X555" s="580" t="str">
        <f t="shared" si="533"/>
        <v/>
      </c>
      <c r="Y555" s="580" t="str">
        <f t="shared" si="517"/>
        <v/>
      </c>
      <c r="Z555" s="580" t="str">
        <f t="shared" si="524"/>
        <v/>
      </c>
    </row>
    <row r="556" spans="1:26" hidden="1" x14ac:dyDescent="0.2">
      <c r="A556" s="1008">
        <v>605000</v>
      </c>
      <c r="B556" s="1010" t="s">
        <v>2143</v>
      </c>
      <c r="C556" s="978" t="s">
        <v>212</v>
      </c>
      <c r="D556" s="595" t="s">
        <v>804</v>
      </c>
      <c r="E556" s="596"/>
      <c r="F556" s="671"/>
      <c r="G556" s="997"/>
      <c r="H556" s="682">
        <f>SUM(H557:H559)*0.08</f>
        <v>1.15715904</v>
      </c>
      <c r="I556" s="923">
        <v>36.141199999999998</v>
      </c>
      <c r="J556" s="592">
        <f t="shared" si="583"/>
        <v>37.298359040000001</v>
      </c>
      <c r="K556" s="593">
        <f t="shared" si="535"/>
        <v>45.4</v>
      </c>
      <c r="L556" s="594" t="s">
        <v>18</v>
      </c>
      <c r="M556" s="92"/>
      <c r="N556" s="92"/>
      <c r="O556" s="93">
        <f t="shared" si="584"/>
        <v>0</v>
      </c>
      <c r="P556" s="93">
        <f t="shared" si="585"/>
        <v>0</v>
      </c>
      <c r="Q556" s="94"/>
      <c r="R556" s="92">
        <f t="shared" si="586"/>
        <v>0</v>
      </c>
      <c r="S556" s="92">
        <f t="shared" si="587"/>
        <v>0</v>
      </c>
      <c r="T556" s="93">
        <f t="shared" si="588"/>
        <v>0</v>
      </c>
      <c r="U556" s="95">
        <f t="shared" si="589"/>
        <v>0</v>
      </c>
      <c r="V556" s="94"/>
      <c r="X556" s="580" t="str">
        <f t="shared" si="533"/>
        <v/>
      </c>
      <c r="Y556" s="580" t="str">
        <f t="shared" si="517"/>
        <v/>
      </c>
      <c r="Z556" s="580" t="str">
        <f t="shared" si="524"/>
        <v/>
      </c>
    </row>
    <row r="557" spans="1:26" hidden="1" x14ac:dyDescent="0.2">
      <c r="A557" s="97" t="s">
        <v>165</v>
      </c>
      <c r="B557" s="1031" t="s">
        <v>165</v>
      </c>
      <c r="C557" s="978"/>
      <c r="D557" s="631" t="s">
        <v>218</v>
      </c>
      <c r="E557" s="596"/>
      <c r="F557" s="671">
        <v>500</v>
      </c>
      <c r="G557" s="997">
        <f>ROUND(0.27*0.08,4)</f>
        <v>2.1600000000000001E-2</v>
      </c>
      <c r="H557" s="682">
        <f>IF(F557&lt;=30,(0.51*F557+4.28)*G557,((0.51*30+4.28)+0.42*(F557-30))*G557)</f>
        <v>4.6867680000000007</v>
      </c>
      <c r="I557" s="592">
        <v>0</v>
      </c>
      <c r="J557" s="592"/>
      <c r="K557" s="593">
        <f t="shared" si="535"/>
        <v>0</v>
      </c>
      <c r="L557" s="670" t="s">
        <v>783</v>
      </c>
      <c r="M557" s="632"/>
      <c r="N557" s="633"/>
      <c r="O557" s="93">
        <f t="shared" si="584"/>
        <v>0</v>
      </c>
      <c r="P557" s="93">
        <f t="shared" si="585"/>
        <v>0</v>
      </c>
      <c r="Q557" s="94"/>
      <c r="R557" s="632">
        <f t="shared" si="586"/>
        <v>0</v>
      </c>
      <c r="S557" s="633">
        <f t="shared" si="587"/>
        <v>0</v>
      </c>
      <c r="T557" s="93">
        <f t="shared" si="588"/>
        <v>0</v>
      </c>
      <c r="U557" s="95">
        <f t="shared" si="589"/>
        <v>0</v>
      </c>
      <c r="V557" s="94"/>
      <c r="W557" s="579" t="str">
        <f>IF(U556&gt;0,"xx",IF(P556&gt;0,"xy",""))</f>
        <v/>
      </c>
      <c r="X557" s="580" t="str">
        <f t="shared" si="533"/>
        <v/>
      </c>
      <c r="Y557" s="580" t="str">
        <f t="shared" si="517"/>
        <v/>
      </c>
      <c r="Z557" s="580" t="str">
        <f t="shared" si="524"/>
        <v/>
      </c>
    </row>
    <row r="558" spans="1:26" hidden="1" x14ac:dyDescent="0.2">
      <c r="A558" s="97" t="s">
        <v>165</v>
      </c>
      <c r="B558" s="1031" t="s">
        <v>165</v>
      </c>
      <c r="C558" s="978"/>
      <c r="D558" s="631" t="s">
        <v>257</v>
      </c>
      <c r="E558" s="596"/>
      <c r="F558" s="671">
        <v>180</v>
      </c>
      <c r="G558" s="997">
        <f>ROUND(0.96*0.08,4)</f>
        <v>7.6799999999999993E-2</v>
      </c>
      <c r="H558" s="661">
        <f t="shared" ref="H558:H559" si="591">IF(F558&lt;=30,(0.7*F558+1.45)*G558,((0.7*30+1.45)+0.58*(F558-30))*G558)</f>
        <v>8.405759999999999</v>
      </c>
      <c r="I558" s="592">
        <v>0</v>
      </c>
      <c r="J558" s="592"/>
      <c r="K558" s="593">
        <f t="shared" ref="K558:K589" si="592">IF(ISBLANK(I558),0,ROUND(J558*(1+$F$10)*(1+$F$11*E558),2))</f>
        <v>0</v>
      </c>
      <c r="L558" s="670" t="s">
        <v>783</v>
      </c>
      <c r="M558" s="632"/>
      <c r="N558" s="633"/>
      <c r="O558" s="93">
        <f t="shared" si="584"/>
        <v>0</v>
      </c>
      <c r="P558" s="93">
        <f t="shared" si="585"/>
        <v>0</v>
      </c>
      <c r="Q558" s="94"/>
      <c r="R558" s="632">
        <f t="shared" si="586"/>
        <v>0</v>
      </c>
      <c r="S558" s="633">
        <f t="shared" si="587"/>
        <v>0</v>
      </c>
      <c r="T558" s="93">
        <f t="shared" si="588"/>
        <v>0</v>
      </c>
      <c r="U558" s="95">
        <f t="shared" si="589"/>
        <v>0</v>
      </c>
      <c r="V558" s="94"/>
      <c r="W558" s="579" t="str">
        <f>IF(U556&gt;0,"xx",IF(P556&gt;0,"xy",""))</f>
        <v/>
      </c>
      <c r="X558" s="580" t="str">
        <f t="shared" si="533"/>
        <v/>
      </c>
      <c r="Y558" s="580" t="str">
        <f t="shared" si="517"/>
        <v/>
      </c>
      <c r="Z558" s="580" t="str">
        <f t="shared" si="524"/>
        <v/>
      </c>
    </row>
    <row r="559" spans="1:26" hidden="1" x14ac:dyDescent="0.2">
      <c r="A559" s="97" t="s">
        <v>165</v>
      </c>
      <c r="B559" s="1031" t="s">
        <v>165</v>
      </c>
      <c r="C559" s="978"/>
      <c r="D559" s="631" t="s">
        <v>261</v>
      </c>
      <c r="E559" s="596"/>
      <c r="F559" s="671">
        <v>20</v>
      </c>
      <c r="G559" s="997">
        <f>ROUND(1.11*0.08,4)</f>
        <v>8.8800000000000004E-2</v>
      </c>
      <c r="H559" s="661">
        <f t="shared" si="591"/>
        <v>1.3719600000000001</v>
      </c>
      <c r="I559" s="592">
        <v>0</v>
      </c>
      <c r="J559" s="592"/>
      <c r="K559" s="593">
        <f t="shared" si="592"/>
        <v>0</v>
      </c>
      <c r="L559" s="670" t="s">
        <v>783</v>
      </c>
      <c r="M559" s="632"/>
      <c r="N559" s="633"/>
      <c r="O559" s="93">
        <f t="shared" si="584"/>
        <v>0</v>
      </c>
      <c r="P559" s="93">
        <f t="shared" si="585"/>
        <v>0</v>
      </c>
      <c r="Q559" s="94"/>
      <c r="R559" s="632">
        <f t="shared" si="586"/>
        <v>0</v>
      </c>
      <c r="S559" s="633">
        <f t="shared" si="587"/>
        <v>0</v>
      </c>
      <c r="T559" s="93">
        <f t="shared" si="588"/>
        <v>0</v>
      </c>
      <c r="U559" s="95">
        <f t="shared" si="589"/>
        <v>0</v>
      </c>
      <c r="V559" s="94"/>
      <c r="W559" s="579" t="str">
        <f>IF(U556&gt;0,"xx",IF(P556&gt;0,"xy",""))</f>
        <v/>
      </c>
      <c r="X559" s="580" t="str">
        <f t="shared" si="533"/>
        <v/>
      </c>
      <c r="Y559" s="580" t="str">
        <f t="shared" si="517"/>
        <v/>
      </c>
      <c r="Z559" s="580" t="str">
        <f t="shared" si="524"/>
        <v/>
      </c>
    </row>
    <row r="560" spans="1:26" hidden="1" x14ac:dyDescent="0.2">
      <c r="A560" s="1008">
        <v>511000</v>
      </c>
      <c r="B560" s="1010" t="s">
        <v>1953</v>
      </c>
      <c r="C560" s="978" t="s">
        <v>212</v>
      </c>
      <c r="D560" s="595" t="s">
        <v>298</v>
      </c>
      <c r="E560" s="596"/>
      <c r="F560" s="671">
        <v>0</v>
      </c>
      <c r="G560" s="597"/>
      <c r="H560" s="682">
        <v>0</v>
      </c>
      <c r="I560" s="592">
        <v>3.38</v>
      </c>
      <c r="J560" s="592">
        <f t="shared" ref="J560:J561" si="593">IF(ISBLANK(I560),"",SUM(H560:I560))</f>
        <v>3.38</v>
      </c>
      <c r="K560" s="593">
        <f t="shared" si="592"/>
        <v>4.1100000000000003</v>
      </c>
      <c r="L560" s="594" t="s">
        <v>18</v>
      </c>
      <c r="M560" s="92"/>
      <c r="N560" s="92"/>
      <c r="O560" s="93">
        <f t="shared" si="536"/>
        <v>0</v>
      </c>
      <c r="P560" s="93">
        <f t="shared" si="537"/>
        <v>0</v>
      </c>
      <c r="Q560" s="94"/>
      <c r="R560" s="92">
        <f t="shared" si="538"/>
        <v>0</v>
      </c>
      <c r="S560" s="92">
        <f t="shared" si="539"/>
        <v>0</v>
      </c>
      <c r="T560" s="93">
        <f t="shared" si="540"/>
        <v>0</v>
      </c>
      <c r="U560" s="95">
        <f t="shared" ref="U560:U654" si="594">IF(ISBLANK(R560),0,ROUND(R560*S560,2))</f>
        <v>0</v>
      </c>
      <c r="V560" s="94"/>
      <c r="X560" s="580" t="str">
        <f t="shared" si="533"/>
        <v/>
      </c>
      <c r="Y560" s="580" t="str">
        <f t="shared" si="517"/>
        <v/>
      </c>
      <c r="Z560" s="580" t="str">
        <f t="shared" si="524"/>
        <v/>
      </c>
    </row>
    <row r="561" spans="1:26" x14ac:dyDescent="0.2">
      <c r="A561" s="1008">
        <v>511100</v>
      </c>
      <c r="B561" s="1107" t="s">
        <v>1960</v>
      </c>
      <c r="C561" s="1108" t="s">
        <v>212</v>
      </c>
      <c r="D561" s="1109" t="s">
        <v>299</v>
      </c>
      <c r="E561" s="1110"/>
      <c r="F561" s="671">
        <v>0</v>
      </c>
      <c r="G561" s="597">
        <v>0</v>
      </c>
      <c r="H561" s="682">
        <v>0</v>
      </c>
      <c r="I561" s="592">
        <v>2.81</v>
      </c>
      <c r="J561" s="592">
        <f t="shared" si="593"/>
        <v>2.81</v>
      </c>
      <c r="K561" s="593">
        <f t="shared" si="592"/>
        <v>3.42</v>
      </c>
      <c r="L561" s="594" t="s">
        <v>18</v>
      </c>
      <c r="M561" s="92">
        <v>5206.6499999999996</v>
      </c>
      <c r="N561" s="92">
        <v>3.48</v>
      </c>
      <c r="O561" s="93">
        <f t="shared" si="536"/>
        <v>17806.740000000002</v>
      </c>
      <c r="P561" s="93">
        <f t="shared" si="537"/>
        <v>18119.14</v>
      </c>
      <c r="Q561" s="94"/>
      <c r="R561" s="1111">
        <f t="shared" si="538"/>
        <v>5206.6499999999996</v>
      </c>
      <c r="S561" s="1111">
        <f>K561</f>
        <v>3.42</v>
      </c>
      <c r="T561" s="1112">
        <f t="shared" si="540"/>
        <v>17806.740000000002</v>
      </c>
      <c r="U561" s="1113">
        <f t="shared" si="594"/>
        <v>17806.740000000002</v>
      </c>
      <c r="V561" s="1114"/>
      <c r="X561" s="580" t="str">
        <f t="shared" si="533"/>
        <v>x</v>
      </c>
      <c r="Y561" s="580" t="str">
        <f t="shared" si="517"/>
        <v>x</v>
      </c>
      <c r="Z561" s="580" t="str">
        <f t="shared" si="524"/>
        <v>x</v>
      </c>
    </row>
    <row r="562" spans="1:26" hidden="1" x14ac:dyDescent="0.2">
      <c r="A562" s="1008">
        <v>520100</v>
      </c>
      <c r="B562" s="1010" t="s">
        <v>1933</v>
      </c>
      <c r="C562" s="978" t="s">
        <v>212</v>
      </c>
      <c r="D562" s="595" t="s">
        <v>300</v>
      </c>
      <c r="E562" s="596"/>
      <c r="F562" s="601">
        <v>0.5</v>
      </c>
      <c r="G562" s="591">
        <f>1.5*1.4</f>
        <v>2.0999999999999996</v>
      </c>
      <c r="H562" s="661">
        <f t="shared" ref="H562" si="595">IF(F562&lt;=30,(0.7*F562+1.45)*G562,((0.7*30+1.45)+0.58*(F562-30))*G562)</f>
        <v>3.7799999999999989</v>
      </c>
      <c r="I562" s="630">
        <v>8.8219999999999992</v>
      </c>
      <c r="J562" s="592">
        <f>IF(ISBLANK(I562),"",SUM(H562:I562))</f>
        <v>12.601999999999999</v>
      </c>
      <c r="K562" s="593">
        <f t="shared" si="592"/>
        <v>15.34</v>
      </c>
      <c r="L562" s="594" t="s">
        <v>16</v>
      </c>
      <c r="M562" s="92"/>
      <c r="N562" s="92"/>
      <c r="O562" s="93">
        <f t="shared" si="536"/>
        <v>0</v>
      </c>
      <c r="P562" s="93">
        <f t="shared" si="537"/>
        <v>0</v>
      </c>
      <c r="Q562" s="94"/>
      <c r="R562" s="92">
        <f t="shared" si="538"/>
        <v>0</v>
      </c>
      <c r="S562" s="92">
        <f t="shared" si="539"/>
        <v>0</v>
      </c>
      <c r="T562" s="93">
        <f t="shared" si="540"/>
        <v>0</v>
      </c>
      <c r="U562" s="95">
        <f t="shared" si="594"/>
        <v>0</v>
      </c>
      <c r="V562" s="94"/>
      <c r="X562" s="580" t="str">
        <f t="shared" si="533"/>
        <v/>
      </c>
      <c r="Y562" s="580" t="str">
        <f t="shared" si="517"/>
        <v/>
      </c>
      <c r="Z562" s="580" t="str">
        <f t="shared" ref="Z562:Z670" si="596">IF(W562="X","x",IF(U562&gt;0,"x",""))</f>
        <v/>
      </c>
    </row>
    <row r="563" spans="1:26" hidden="1" x14ac:dyDescent="0.2">
      <c r="A563" s="1008">
        <v>520100</v>
      </c>
      <c r="B563" s="1010" t="s">
        <v>1954</v>
      </c>
      <c r="C563" s="978" t="s">
        <v>212</v>
      </c>
      <c r="D563" s="595" t="s">
        <v>301</v>
      </c>
      <c r="E563" s="596"/>
      <c r="F563" s="601">
        <v>15</v>
      </c>
      <c r="G563" s="591">
        <f>1.5*1.4</f>
        <v>2.0999999999999996</v>
      </c>
      <c r="H563" s="661">
        <f t="shared" ref="H563:H570" si="597">IF(F563&lt;=30,(0.7*F563+1.45)*G563,((0.7*30+1.45)+0.58*(F563-30))*G563)</f>
        <v>25.094999999999995</v>
      </c>
      <c r="I563" s="630">
        <v>8.8219999999999992</v>
      </c>
      <c r="J563" s="592">
        <f>IF(ISBLANK(I563),"",SUM(H563:I563))</f>
        <v>33.916999999999994</v>
      </c>
      <c r="K563" s="593">
        <f t="shared" si="592"/>
        <v>41.28</v>
      </c>
      <c r="L563" s="594" t="s">
        <v>16</v>
      </c>
      <c r="M563" s="92"/>
      <c r="N563" s="92"/>
      <c r="O563" s="93">
        <f t="shared" si="536"/>
        <v>0</v>
      </c>
      <c r="P563" s="93">
        <f t="shared" si="537"/>
        <v>0</v>
      </c>
      <c r="Q563" s="94"/>
      <c r="R563" s="92">
        <f t="shared" si="538"/>
        <v>0</v>
      </c>
      <c r="S563" s="92">
        <f t="shared" si="539"/>
        <v>0</v>
      </c>
      <c r="T563" s="93">
        <f t="shared" si="540"/>
        <v>0</v>
      </c>
      <c r="U563" s="95">
        <f t="shared" si="594"/>
        <v>0</v>
      </c>
      <c r="V563" s="94"/>
      <c r="X563" s="580" t="str">
        <f t="shared" si="533"/>
        <v/>
      </c>
      <c r="Y563" s="580" t="str">
        <f t="shared" si="517"/>
        <v/>
      </c>
      <c r="Z563" s="580" t="str">
        <f t="shared" si="596"/>
        <v/>
      </c>
    </row>
    <row r="564" spans="1:26" hidden="1" x14ac:dyDescent="0.2">
      <c r="A564" s="1008">
        <v>533500</v>
      </c>
      <c r="B564" s="1010" t="s">
        <v>1947</v>
      </c>
      <c r="C564" s="978" t="s">
        <v>212</v>
      </c>
      <c r="D564" s="595" t="s">
        <v>519</v>
      </c>
      <c r="E564" s="596"/>
      <c r="F564" s="601">
        <v>15</v>
      </c>
      <c r="G564" s="591">
        <v>1.95</v>
      </c>
      <c r="H564" s="661">
        <f t="shared" si="597"/>
        <v>23.302499999999998</v>
      </c>
      <c r="I564" s="592">
        <v>17.39</v>
      </c>
      <c r="J564" s="592">
        <f t="shared" ref="J564:J565" si="598">IF(ISBLANK(I564),"",SUM(H564:I564))</f>
        <v>40.692499999999995</v>
      </c>
      <c r="K564" s="593">
        <f t="shared" si="592"/>
        <v>49.53</v>
      </c>
      <c r="L564" s="594" t="s">
        <v>16</v>
      </c>
      <c r="M564" s="92"/>
      <c r="N564" s="92"/>
      <c r="O564" s="93">
        <f t="shared" si="536"/>
        <v>0</v>
      </c>
      <c r="P564" s="93">
        <f t="shared" si="537"/>
        <v>0</v>
      </c>
      <c r="Q564" s="94"/>
      <c r="R564" s="92">
        <f t="shared" si="538"/>
        <v>0</v>
      </c>
      <c r="S564" s="92">
        <f t="shared" si="539"/>
        <v>0</v>
      </c>
      <c r="T564" s="93">
        <f t="shared" si="540"/>
        <v>0</v>
      </c>
      <c r="U564" s="95">
        <f t="shared" si="594"/>
        <v>0</v>
      </c>
      <c r="V564" s="94"/>
      <c r="X564" s="580" t="str">
        <f t="shared" si="533"/>
        <v/>
      </c>
      <c r="Y564" s="580" t="str">
        <f t="shared" si="517"/>
        <v/>
      </c>
      <c r="Z564" s="580" t="str">
        <f t="shared" si="596"/>
        <v/>
      </c>
    </row>
    <row r="565" spans="1:26" hidden="1" x14ac:dyDescent="0.2">
      <c r="A565" s="1008">
        <v>533100</v>
      </c>
      <c r="B565" s="1010" t="s">
        <v>1950</v>
      </c>
      <c r="C565" s="978" t="s">
        <v>212</v>
      </c>
      <c r="D565" s="595" t="s">
        <v>531</v>
      </c>
      <c r="E565" s="596"/>
      <c r="F565" s="601">
        <v>15</v>
      </c>
      <c r="G565" s="591">
        <v>1.98</v>
      </c>
      <c r="H565" s="661">
        <f t="shared" si="597"/>
        <v>23.660999999999998</v>
      </c>
      <c r="I565" s="592">
        <v>20.67</v>
      </c>
      <c r="J565" s="592">
        <f t="shared" si="598"/>
        <v>44.331000000000003</v>
      </c>
      <c r="K565" s="593">
        <f t="shared" si="592"/>
        <v>53.96</v>
      </c>
      <c r="L565" s="594" t="s">
        <v>16</v>
      </c>
      <c r="M565" s="92"/>
      <c r="N565" s="92"/>
      <c r="O565" s="93">
        <f t="shared" si="536"/>
        <v>0</v>
      </c>
      <c r="P565" s="93">
        <f t="shared" si="537"/>
        <v>0</v>
      </c>
      <c r="Q565" s="94"/>
      <c r="R565" s="92">
        <f t="shared" si="538"/>
        <v>0</v>
      </c>
      <c r="S565" s="92">
        <f t="shared" si="539"/>
        <v>0</v>
      </c>
      <c r="T565" s="93">
        <f t="shared" si="540"/>
        <v>0</v>
      </c>
      <c r="U565" s="95">
        <f t="shared" si="594"/>
        <v>0</v>
      </c>
      <c r="V565" s="94"/>
      <c r="X565" s="580" t="str">
        <f t="shared" si="533"/>
        <v/>
      </c>
      <c r="Y565" s="580" t="str">
        <f t="shared" si="517"/>
        <v/>
      </c>
      <c r="Z565" s="580" t="str">
        <f t="shared" si="596"/>
        <v/>
      </c>
    </row>
    <row r="566" spans="1:26" hidden="1" x14ac:dyDescent="0.2">
      <c r="A566" s="1008">
        <v>533100</v>
      </c>
      <c r="B566" s="1010" t="s">
        <v>1951</v>
      </c>
      <c r="C566" s="978" t="s">
        <v>212</v>
      </c>
      <c r="D566" s="595" t="s">
        <v>302</v>
      </c>
      <c r="E566" s="596"/>
      <c r="F566" s="601">
        <v>15</v>
      </c>
      <c r="G566" s="591">
        <v>2.1</v>
      </c>
      <c r="H566" s="661">
        <f t="shared" si="597"/>
        <v>25.094999999999999</v>
      </c>
      <c r="I566" s="592">
        <v>20.67</v>
      </c>
      <c r="J566" s="592">
        <f t="shared" ref="J566:J571" si="599">IF(ISBLANK(I566),"",SUM(H566:I566))</f>
        <v>45.765000000000001</v>
      </c>
      <c r="K566" s="593">
        <f t="shared" si="592"/>
        <v>55.7</v>
      </c>
      <c r="L566" s="594" t="s">
        <v>16</v>
      </c>
      <c r="M566" s="92"/>
      <c r="N566" s="92"/>
      <c r="O566" s="93">
        <f t="shared" si="536"/>
        <v>0</v>
      </c>
      <c r="P566" s="93">
        <f t="shared" si="537"/>
        <v>0</v>
      </c>
      <c r="Q566" s="94"/>
      <c r="R566" s="92">
        <f t="shared" si="538"/>
        <v>0</v>
      </c>
      <c r="S566" s="92">
        <f t="shared" si="539"/>
        <v>0</v>
      </c>
      <c r="T566" s="93">
        <f t="shared" si="540"/>
        <v>0</v>
      </c>
      <c r="U566" s="95">
        <f t="shared" si="594"/>
        <v>0</v>
      </c>
      <c r="V566" s="94"/>
      <c r="X566" s="580" t="str">
        <f t="shared" si="533"/>
        <v/>
      </c>
      <c r="Y566" s="580" t="str">
        <f t="shared" si="517"/>
        <v/>
      </c>
      <c r="Z566" s="580" t="str">
        <f t="shared" si="596"/>
        <v/>
      </c>
    </row>
    <row r="567" spans="1:26" hidden="1" x14ac:dyDescent="0.2">
      <c r="A567" s="1008">
        <v>530200</v>
      </c>
      <c r="B567" s="1010" t="s">
        <v>2096</v>
      </c>
      <c r="C567" s="978" t="s">
        <v>212</v>
      </c>
      <c r="D567" s="595" t="s">
        <v>245</v>
      </c>
      <c r="E567" s="596"/>
      <c r="F567" s="601">
        <v>20</v>
      </c>
      <c r="G567" s="591">
        <v>2.2000000000000002</v>
      </c>
      <c r="H567" s="661">
        <f t="shared" si="597"/>
        <v>33.99</v>
      </c>
      <c r="I567" s="592">
        <v>76.62</v>
      </c>
      <c r="J567" s="592">
        <f t="shared" si="599"/>
        <v>110.61000000000001</v>
      </c>
      <c r="K567" s="593">
        <f t="shared" si="592"/>
        <v>134.62</v>
      </c>
      <c r="L567" s="594" t="s">
        <v>16</v>
      </c>
      <c r="M567" s="92"/>
      <c r="N567" s="92"/>
      <c r="O567" s="93">
        <f t="shared" si="536"/>
        <v>0</v>
      </c>
      <c r="P567" s="93">
        <f t="shared" si="537"/>
        <v>0</v>
      </c>
      <c r="Q567" s="94"/>
      <c r="R567" s="92">
        <f t="shared" si="538"/>
        <v>0</v>
      </c>
      <c r="S567" s="92">
        <f t="shared" si="539"/>
        <v>0</v>
      </c>
      <c r="T567" s="93">
        <f t="shared" si="540"/>
        <v>0</v>
      </c>
      <c r="U567" s="95">
        <f t="shared" si="594"/>
        <v>0</v>
      </c>
      <c r="V567" s="94"/>
      <c r="X567" s="580" t="str">
        <f t="shared" si="533"/>
        <v/>
      </c>
      <c r="Y567" s="580" t="str">
        <f t="shared" si="517"/>
        <v/>
      </c>
      <c r="Z567" s="580" t="str">
        <f t="shared" si="596"/>
        <v/>
      </c>
    </row>
    <row r="568" spans="1:26" hidden="1" x14ac:dyDescent="0.2">
      <c r="A568" s="1008" t="s">
        <v>1127</v>
      </c>
      <c r="B568" s="1010" t="s">
        <v>2020</v>
      </c>
      <c r="C568" s="978" t="s">
        <v>523</v>
      </c>
      <c r="D568" s="595" t="s">
        <v>806</v>
      </c>
      <c r="E568" s="596"/>
      <c r="F568" s="601">
        <v>10</v>
      </c>
      <c r="G568" s="591">
        <v>1.95</v>
      </c>
      <c r="H568" s="661">
        <f t="shared" si="597"/>
        <v>16.477499999999999</v>
      </c>
      <c r="I568" s="592">
        <v>72.11</v>
      </c>
      <c r="J568" s="592">
        <f t="shared" si="599"/>
        <v>88.587500000000006</v>
      </c>
      <c r="K568" s="593">
        <f t="shared" si="592"/>
        <v>107.82</v>
      </c>
      <c r="L568" s="594" t="s">
        <v>16</v>
      </c>
      <c r="M568" s="92"/>
      <c r="N568" s="92"/>
      <c r="O568" s="93">
        <f t="shared" si="536"/>
        <v>0</v>
      </c>
      <c r="P568" s="93">
        <f t="shared" si="537"/>
        <v>0</v>
      </c>
      <c r="Q568" s="94"/>
      <c r="R568" s="92">
        <f t="shared" si="538"/>
        <v>0</v>
      </c>
      <c r="S568" s="92">
        <f t="shared" si="539"/>
        <v>0</v>
      </c>
      <c r="T568" s="93">
        <f t="shared" si="540"/>
        <v>0</v>
      </c>
      <c r="U568" s="95">
        <f t="shared" si="594"/>
        <v>0</v>
      </c>
      <c r="V568" s="94"/>
      <c r="X568" s="580" t="str">
        <f t="shared" si="533"/>
        <v/>
      </c>
      <c r="Y568" s="580" t="str">
        <f t="shared" si="517"/>
        <v/>
      </c>
      <c r="Z568" s="580" t="str">
        <f t="shared" si="596"/>
        <v/>
      </c>
    </row>
    <row r="569" spans="1:26" hidden="1" x14ac:dyDescent="0.2">
      <c r="A569" s="1008" t="s">
        <v>1128</v>
      </c>
      <c r="B569" s="1010" t="s">
        <v>2021</v>
      </c>
      <c r="C569" s="978" t="s">
        <v>523</v>
      </c>
      <c r="D569" s="595" t="s">
        <v>807</v>
      </c>
      <c r="E569" s="596"/>
      <c r="F569" s="601">
        <v>11</v>
      </c>
      <c r="G569" s="591">
        <v>2.1</v>
      </c>
      <c r="H569" s="661">
        <f t="shared" si="597"/>
        <v>19.214999999999996</v>
      </c>
      <c r="I569" s="592">
        <v>88.65</v>
      </c>
      <c r="J569" s="592">
        <f t="shared" si="599"/>
        <v>107.86500000000001</v>
      </c>
      <c r="K569" s="593">
        <f t="shared" si="592"/>
        <v>131.28</v>
      </c>
      <c r="L569" s="594" t="s">
        <v>16</v>
      </c>
      <c r="M569" s="92"/>
      <c r="N569" s="92"/>
      <c r="O569" s="93">
        <f t="shared" si="536"/>
        <v>0</v>
      </c>
      <c r="P569" s="93">
        <f t="shared" si="537"/>
        <v>0</v>
      </c>
      <c r="Q569" s="94"/>
      <c r="R569" s="92">
        <f t="shared" si="538"/>
        <v>0</v>
      </c>
      <c r="S569" s="92">
        <f t="shared" si="539"/>
        <v>0</v>
      </c>
      <c r="T569" s="93">
        <f t="shared" si="540"/>
        <v>0</v>
      </c>
      <c r="U569" s="95">
        <f t="shared" si="594"/>
        <v>0</v>
      </c>
      <c r="V569" s="94"/>
      <c r="X569" s="580" t="str">
        <f t="shared" si="533"/>
        <v/>
      </c>
      <c r="Y569" s="580" t="str">
        <f t="shared" si="517"/>
        <v/>
      </c>
      <c r="Z569" s="580" t="str">
        <f t="shared" si="596"/>
        <v/>
      </c>
    </row>
    <row r="570" spans="1:26" hidden="1" x14ac:dyDescent="0.2">
      <c r="A570" s="1008">
        <v>530200</v>
      </c>
      <c r="B570" s="1010" t="s">
        <v>2097</v>
      </c>
      <c r="C570" s="978" t="s">
        <v>212</v>
      </c>
      <c r="D570" s="595" t="s">
        <v>532</v>
      </c>
      <c r="E570" s="596"/>
      <c r="F570" s="601">
        <v>20</v>
      </c>
      <c r="G570" s="591">
        <v>2.2000000000000002</v>
      </c>
      <c r="H570" s="661">
        <f t="shared" si="597"/>
        <v>33.99</v>
      </c>
      <c r="I570" s="592">
        <v>76.62</v>
      </c>
      <c r="J570" s="592">
        <f t="shared" si="599"/>
        <v>110.61000000000001</v>
      </c>
      <c r="K570" s="593">
        <f t="shared" si="592"/>
        <v>134.62</v>
      </c>
      <c r="L570" s="594" t="s">
        <v>16</v>
      </c>
      <c r="M570" s="92"/>
      <c r="N570" s="92"/>
      <c r="O570" s="93">
        <f t="shared" si="536"/>
        <v>0</v>
      </c>
      <c r="P570" s="93">
        <f t="shared" si="537"/>
        <v>0</v>
      </c>
      <c r="Q570" s="94"/>
      <c r="R570" s="92">
        <f t="shared" si="538"/>
        <v>0</v>
      </c>
      <c r="S570" s="92">
        <f t="shared" si="539"/>
        <v>0</v>
      </c>
      <c r="T570" s="93">
        <f t="shared" si="540"/>
        <v>0</v>
      </c>
      <c r="U570" s="95">
        <f t="shared" si="594"/>
        <v>0</v>
      </c>
      <c r="V570" s="94"/>
      <c r="X570" s="580" t="str">
        <f t="shared" si="533"/>
        <v/>
      </c>
      <c r="Y570" s="580" t="str">
        <f t="shared" si="517"/>
        <v/>
      </c>
      <c r="Z570" s="580" t="str">
        <f t="shared" si="596"/>
        <v/>
      </c>
    </row>
    <row r="571" spans="1:26" x14ac:dyDescent="0.2">
      <c r="A571" s="1008">
        <v>531000</v>
      </c>
      <c r="B571" s="1107" t="s">
        <v>2154</v>
      </c>
      <c r="C571" s="1108" t="s">
        <v>212</v>
      </c>
      <c r="D571" s="1109" t="s">
        <v>303</v>
      </c>
      <c r="E571" s="1110"/>
      <c r="F571" s="1091">
        <v>4.7</v>
      </c>
      <c r="G571" s="597">
        <v>2.4</v>
      </c>
      <c r="H571" s="682">
        <f>IF(F571&lt;=30,(0.7*F571+2.91)*G571,((0.7*30+2.91)+0.58*(F571-30))*G571)</f>
        <v>14.879999999999999</v>
      </c>
      <c r="I571" s="592">
        <v>102.38</v>
      </c>
      <c r="J571" s="592">
        <f t="shared" si="599"/>
        <v>117.25999999999999</v>
      </c>
      <c r="K571" s="593">
        <f t="shared" si="592"/>
        <v>142.72</v>
      </c>
      <c r="L571" s="594" t="s">
        <v>16</v>
      </c>
      <c r="M571" s="662">
        <v>138.97</v>
      </c>
      <c r="N571" s="662">
        <v>123.42</v>
      </c>
      <c r="O571" s="627">
        <f t="shared" si="536"/>
        <v>19833.8</v>
      </c>
      <c r="P571" s="627">
        <f t="shared" si="537"/>
        <v>17151.68</v>
      </c>
      <c r="Q571" s="94"/>
      <c r="R571" s="1111">
        <f t="shared" si="538"/>
        <v>138.97</v>
      </c>
      <c r="S571" s="1111">
        <f t="shared" si="539"/>
        <v>123.42</v>
      </c>
      <c r="T571" s="1112">
        <f t="shared" si="540"/>
        <v>19833.8</v>
      </c>
      <c r="U571" s="1113">
        <f t="shared" si="594"/>
        <v>17151.68</v>
      </c>
      <c r="V571" s="1114"/>
      <c r="X571" s="580" t="str">
        <f t="shared" si="533"/>
        <v>x</v>
      </c>
      <c r="Y571" s="580" t="str">
        <f t="shared" si="517"/>
        <v>x</v>
      </c>
      <c r="Z571" s="580" t="str">
        <f t="shared" si="596"/>
        <v>x</v>
      </c>
    </row>
    <row r="572" spans="1:26" hidden="1" x14ac:dyDescent="0.2">
      <c r="A572" s="1008">
        <v>560100</v>
      </c>
      <c r="B572" s="1039" t="s">
        <v>994</v>
      </c>
      <c r="C572" s="1040" t="s">
        <v>212</v>
      </c>
      <c r="D572" s="646" t="s">
        <v>1828</v>
      </c>
      <c r="E572" s="647"/>
      <c r="F572" s="991" t="s">
        <v>856</v>
      </c>
      <c r="G572" s="992">
        <v>1.1999999999999999E-3</v>
      </c>
      <c r="H572" s="993"/>
      <c r="I572" s="648">
        <v>0.33</v>
      </c>
      <c r="J572" s="1041">
        <f>I572</f>
        <v>0.33</v>
      </c>
      <c r="K572" s="649">
        <f t="shared" si="592"/>
        <v>0.4</v>
      </c>
      <c r="L572" s="650" t="s">
        <v>18</v>
      </c>
      <c r="M572" s="1045"/>
      <c r="N572" s="1046"/>
      <c r="O572" s="1066">
        <f t="shared" si="536"/>
        <v>0</v>
      </c>
      <c r="P572" s="1067">
        <f t="shared" si="537"/>
        <v>0</v>
      </c>
      <c r="Q572" s="1038"/>
      <c r="R572" s="1045">
        <f>M572</f>
        <v>0</v>
      </c>
      <c r="S572" s="1046">
        <f t="shared" si="539"/>
        <v>0</v>
      </c>
      <c r="T572" s="651">
        <f t="shared" si="540"/>
        <v>0</v>
      </c>
      <c r="U572" s="652">
        <f t="shared" si="594"/>
        <v>0</v>
      </c>
      <c r="V572" s="94"/>
      <c r="X572" s="580" t="str">
        <f t="shared" si="533"/>
        <v/>
      </c>
      <c r="Y572" s="580" t="str">
        <f t="shared" ref="Y572:Y654" si="600">IF(W572="X","x",IF(W572="y","x",IF(W572="xx","x",IF(U572&gt;0,"x",""))))</f>
        <v/>
      </c>
      <c r="Z572" s="580" t="str">
        <f t="shared" si="596"/>
        <v/>
      </c>
    </row>
    <row r="573" spans="1:26" ht="13.5" hidden="1" thickBot="1" x14ac:dyDescent="0.25">
      <c r="A573" s="1008">
        <v>589420</v>
      </c>
      <c r="B573" s="1047" t="s">
        <v>1000</v>
      </c>
      <c r="C573" s="1079" t="s">
        <v>241</v>
      </c>
      <c r="D573" s="981" t="s">
        <v>832</v>
      </c>
      <c r="E573" s="653"/>
      <c r="F573" s="1049">
        <v>500</v>
      </c>
      <c r="G573" s="1050">
        <v>1</v>
      </c>
      <c r="H573" s="996">
        <f>(0.52*F573+25.75)*G573</f>
        <v>285.75</v>
      </c>
      <c r="I573" s="654">
        <f>LIGANTES!$M$24</f>
        <v>2934.27</v>
      </c>
      <c r="J573" s="1051">
        <f>IF(ISBLANK(I573),"",I573*(1+$F$9)/(1+$F$10))+H573</f>
        <v>3139.7380256347051</v>
      </c>
      <c r="K573" s="655">
        <f t="shared" si="592"/>
        <v>3821.38</v>
      </c>
      <c r="L573" s="656" t="s">
        <v>20</v>
      </c>
      <c r="M573" s="1052">
        <f>ROUND(M572*G572,2)</f>
        <v>0</v>
      </c>
      <c r="N573" s="1053"/>
      <c r="O573" s="1054">
        <f t="shared" si="536"/>
        <v>0</v>
      </c>
      <c r="P573" s="1055">
        <f t="shared" si="537"/>
        <v>0</v>
      </c>
      <c r="Q573" s="1038"/>
      <c r="R573" s="1056">
        <f>ROUND(R572*G572,2)</f>
        <v>0</v>
      </c>
      <c r="S573" s="1053">
        <f t="shared" si="539"/>
        <v>0</v>
      </c>
      <c r="T573" s="657">
        <f t="shared" si="540"/>
        <v>0</v>
      </c>
      <c r="U573" s="658">
        <f t="shared" si="594"/>
        <v>0</v>
      </c>
      <c r="V573" s="94"/>
      <c r="X573" s="580" t="str">
        <f t="shared" si="533"/>
        <v/>
      </c>
      <c r="Y573" s="580" t="str">
        <f t="shared" si="600"/>
        <v/>
      </c>
      <c r="Z573" s="580" t="str">
        <f t="shared" si="596"/>
        <v/>
      </c>
    </row>
    <row r="574" spans="1:26" hidden="1" x14ac:dyDescent="0.2">
      <c r="A574" s="1008">
        <v>560100</v>
      </c>
      <c r="B574" s="1039" t="s">
        <v>1964</v>
      </c>
      <c r="C574" s="1040" t="s">
        <v>212</v>
      </c>
      <c r="D574" s="646" t="s">
        <v>819</v>
      </c>
      <c r="E574" s="647"/>
      <c r="F574" s="991" t="s">
        <v>2233</v>
      </c>
      <c r="G574" s="992">
        <v>1.1000000000000001E-3</v>
      </c>
      <c r="H574" s="993"/>
      <c r="I574" s="648">
        <v>0.33</v>
      </c>
      <c r="J574" s="1041">
        <f t="shared" ref="J574" si="601">IF(ISBLANK(I574),"",SUM(H574:I574))</f>
        <v>0.33</v>
      </c>
      <c r="K574" s="649">
        <f t="shared" si="592"/>
        <v>0.4</v>
      </c>
      <c r="L574" s="650" t="s">
        <v>18</v>
      </c>
      <c r="M574" s="1042"/>
      <c r="N574" s="92"/>
      <c r="O574" s="1043">
        <f t="shared" si="536"/>
        <v>0</v>
      </c>
      <c r="P574" s="1044">
        <f t="shared" si="537"/>
        <v>0</v>
      </c>
      <c r="Q574" s="1038"/>
      <c r="R574" s="1045">
        <f>M574</f>
        <v>0</v>
      </c>
      <c r="S574" s="1046">
        <f t="shared" si="539"/>
        <v>0</v>
      </c>
      <c r="T574" s="651">
        <f t="shared" si="540"/>
        <v>0</v>
      </c>
      <c r="U574" s="652">
        <f t="shared" si="594"/>
        <v>0</v>
      </c>
      <c r="V574" s="94"/>
      <c r="X574" s="580" t="str">
        <f t="shared" si="533"/>
        <v/>
      </c>
      <c r="Y574" s="580" t="str">
        <f t="shared" si="600"/>
        <v/>
      </c>
      <c r="Z574" s="580" t="str">
        <f t="shared" si="596"/>
        <v/>
      </c>
    </row>
    <row r="575" spans="1:26" ht="13.5" hidden="1" thickBot="1" x14ac:dyDescent="0.25">
      <c r="A575" s="1008">
        <v>589190</v>
      </c>
      <c r="B575" s="1047" t="s">
        <v>2043</v>
      </c>
      <c r="C575" s="1079" t="s">
        <v>241</v>
      </c>
      <c r="D575" s="981" t="s">
        <v>833</v>
      </c>
      <c r="E575" s="653"/>
      <c r="F575" s="1049">
        <v>500</v>
      </c>
      <c r="G575" s="1050">
        <v>1</v>
      </c>
      <c r="H575" s="996">
        <f>(0.52*F575+25.75)*G575</f>
        <v>285.75</v>
      </c>
      <c r="I575" s="654">
        <f>LIGANTES!$M$19</f>
        <v>3540.56</v>
      </c>
      <c r="J575" s="1051">
        <f>IF(ISBLANK(I575),"",I575*(1+$F$9)/(1+$F$10))+H575</f>
        <v>3729.4398595020948</v>
      </c>
      <c r="K575" s="655">
        <f t="shared" si="592"/>
        <v>4539.1000000000004</v>
      </c>
      <c r="L575" s="656" t="s">
        <v>20</v>
      </c>
      <c r="M575" s="1052">
        <f>ROUND(M574*G574,2)</f>
        <v>0</v>
      </c>
      <c r="N575" s="1053"/>
      <c r="O575" s="1054">
        <f t="shared" si="536"/>
        <v>0</v>
      </c>
      <c r="P575" s="1055">
        <f t="shared" si="537"/>
        <v>0</v>
      </c>
      <c r="Q575" s="1038"/>
      <c r="R575" s="1056">
        <f>ROUND(R574*G574,2)</f>
        <v>0</v>
      </c>
      <c r="S575" s="1053">
        <f t="shared" si="539"/>
        <v>0</v>
      </c>
      <c r="T575" s="657">
        <f t="shared" si="540"/>
        <v>0</v>
      </c>
      <c r="U575" s="658">
        <f t="shared" si="594"/>
        <v>0</v>
      </c>
      <c r="V575" s="94"/>
      <c r="X575" s="580" t="str">
        <f t="shared" si="533"/>
        <v/>
      </c>
      <c r="Y575" s="580" t="str">
        <f t="shared" si="600"/>
        <v/>
      </c>
      <c r="Z575" s="580" t="str">
        <f t="shared" si="596"/>
        <v/>
      </c>
    </row>
    <row r="576" spans="1:26" hidden="1" x14ac:dyDescent="0.2">
      <c r="A576" s="1008">
        <v>560400</v>
      </c>
      <c r="B576" s="1039" t="s">
        <v>2098</v>
      </c>
      <c r="C576" s="1040" t="s">
        <v>212</v>
      </c>
      <c r="D576" s="646" t="s">
        <v>820</v>
      </c>
      <c r="E576" s="647"/>
      <c r="F576" s="991" t="s">
        <v>2234</v>
      </c>
      <c r="G576" s="992">
        <v>1.1999999999999999E-3</v>
      </c>
      <c r="H576" s="993"/>
      <c r="I576" s="648">
        <v>0.33</v>
      </c>
      <c r="J576" s="1041">
        <f t="shared" ref="J576:J578" si="602">IF(ISBLANK(I576),"",SUM(H576:I576))</f>
        <v>0.33</v>
      </c>
      <c r="K576" s="649">
        <f t="shared" si="592"/>
        <v>0.4</v>
      </c>
      <c r="L576" s="650" t="s">
        <v>18</v>
      </c>
      <c r="M576" s="1042"/>
      <c r="N576" s="92"/>
      <c r="O576" s="1043">
        <f t="shared" si="536"/>
        <v>0</v>
      </c>
      <c r="P576" s="1044">
        <f t="shared" si="537"/>
        <v>0</v>
      </c>
      <c r="Q576" s="1038"/>
      <c r="R576" s="1045">
        <f>M576</f>
        <v>0</v>
      </c>
      <c r="S576" s="1046">
        <f t="shared" si="539"/>
        <v>0</v>
      </c>
      <c r="T576" s="651">
        <f t="shared" si="540"/>
        <v>0</v>
      </c>
      <c r="U576" s="652">
        <f t="shared" si="594"/>
        <v>0</v>
      </c>
      <c r="V576" s="94"/>
      <c r="X576" s="580" t="str">
        <f t="shared" si="533"/>
        <v/>
      </c>
      <c r="Y576" s="580" t="str">
        <f t="shared" si="600"/>
        <v/>
      </c>
      <c r="Z576" s="580" t="str">
        <f t="shared" si="596"/>
        <v/>
      </c>
    </row>
    <row r="577" spans="1:26" ht="13.5" hidden="1" thickBot="1" x14ac:dyDescent="0.25">
      <c r="A577" s="1008">
        <v>589100</v>
      </c>
      <c r="B577" s="1047" t="s">
        <v>2099</v>
      </c>
      <c r="C577" s="1079" t="s">
        <v>241</v>
      </c>
      <c r="D577" s="981" t="s">
        <v>834</v>
      </c>
      <c r="E577" s="653"/>
      <c r="F577" s="1049">
        <v>500</v>
      </c>
      <c r="G577" s="1050">
        <v>1</v>
      </c>
      <c r="H577" s="996">
        <f>(0.52*F577+25.75)*G577</f>
        <v>285.75</v>
      </c>
      <c r="I577" s="654">
        <f>LIGANTES!$M$12</f>
        <v>5774.08</v>
      </c>
      <c r="J577" s="1051">
        <f>IF(ISBLANK(I577),"",I577*(1+$F$9)/(1+$F$10))+H577</f>
        <v>5901.8504880453538</v>
      </c>
      <c r="K577" s="655">
        <f t="shared" si="592"/>
        <v>7183.14</v>
      </c>
      <c r="L577" s="656" t="s">
        <v>20</v>
      </c>
      <c r="M577" s="1052">
        <f>ROUND(M576*G576,2)</f>
        <v>0</v>
      </c>
      <c r="N577" s="1053"/>
      <c r="O577" s="1054">
        <f t="shared" si="536"/>
        <v>0</v>
      </c>
      <c r="P577" s="1055">
        <f t="shared" si="537"/>
        <v>0</v>
      </c>
      <c r="Q577" s="1038"/>
      <c r="R577" s="1056">
        <f>ROUND(R576*G576,2)</f>
        <v>0</v>
      </c>
      <c r="S577" s="1053">
        <f t="shared" si="539"/>
        <v>0</v>
      </c>
      <c r="T577" s="657">
        <f t="shared" si="540"/>
        <v>0</v>
      </c>
      <c r="U577" s="658">
        <f t="shared" si="594"/>
        <v>0</v>
      </c>
      <c r="V577" s="94"/>
      <c r="X577" s="580" t="str">
        <f t="shared" si="533"/>
        <v/>
      </c>
      <c r="Y577" s="580" t="str">
        <f t="shared" si="600"/>
        <v/>
      </c>
      <c r="Z577" s="580" t="str">
        <f t="shared" si="596"/>
        <v/>
      </c>
    </row>
    <row r="578" spans="1:26" hidden="1" x14ac:dyDescent="0.2">
      <c r="A578" s="1008">
        <v>561100</v>
      </c>
      <c r="B578" s="1039" t="s">
        <v>2100</v>
      </c>
      <c r="C578" s="1040" t="s">
        <v>212</v>
      </c>
      <c r="D578" s="646" t="s">
        <v>821</v>
      </c>
      <c r="E578" s="647"/>
      <c r="F578" s="991" t="s">
        <v>856</v>
      </c>
      <c r="G578" s="992">
        <v>5.0000000000000001E-4</v>
      </c>
      <c r="H578" s="993"/>
      <c r="I578" s="648">
        <v>0.23</v>
      </c>
      <c r="J578" s="1041">
        <f t="shared" si="602"/>
        <v>0.23</v>
      </c>
      <c r="K578" s="649">
        <f t="shared" si="592"/>
        <v>0.28000000000000003</v>
      </c>
      <c r="L578" s="650" t="s">
        <v>18</v>
      </c>
      <c r="M578" s="1042"/>
      <c r="N578" s="92"/>
      <c r="O578" s="1043">
        <f t="shared" si="536"/>
        <v>0</v>
      </c>
      <c r="P578" s="1044">
        <f t="shared" si="537"/>
        <v>0</v>
      </c>
      <c r="Q578" s="1038"/>
      <c r="R578" s="1045">
        <f>M578</f>
        <v>0</v>
      </c>
      <c r="S578" s="1046">
        <f t="shared" si="539"/>
        <v>0</v>
      </c>
      <c r="T578" s="651">
        <f t="shared" si="540"/>
        <v>0</v>
      </c>
      <c r="U578" s="652">
        <f t="shared" si="594"/>
        <v>0</v>
      </c>
      <c r="V578" s="94"/>
      <c r="X578" s="580" t="str">
        <f t="shared" si="533"/>
        <v/>
      </c>
      <c r="Y578" s="580" t="str">
        <f t="shared" si="600"/>
        <v/>
      </c>
      <c r="Z578" s="580" t="str">
        <f t="shared" si="596"/>
        <v/>
      </c>
    </row>
    <row r="579" spans="1:26" ht="13.5" hidden="1" thickBot="1" x14ac:dyDescent="0.25">
      <c r="A579" s="1008">
        <v>589420</v>
      </c>
      <c r="B579" s="1047" t="s">
        <v>1965</v>
      </c>
      <c r="C579" s="1079" t="s">
        <v>241</v>
      </c>
      <c r="D579" s="981" t="s">
        <v>997</v>
      </c>
      <c r="E579" s="653"/>
      <c r="F579" s="1049">
        <v>500</v>
      </c>
      <c r="G579" s="1057">
        <v>1</v>
      </c>
      <c r="H579" s="1000">
        <f>(0.52*F579+25.75)*G579</f>
        <v>285.75</v>
      </c>
      <c r="I579" s="654">
        <f>LIGANTES!$M$24</f>
        <v>2934.27</v>
      </c>
      <c r="J579" s="1051">
        <f>IF(ISBLANK(I579),"",I579*(1+$F$9)/(1+$F$10))+H579</f>
        <v>3139.7380256347051</v>
      </c>
      <c r="K579" s="655">
        <f t="shared" si="592"/>
        <v>3821.38</v>
      </c>
      <c r="L579" s="656" t="s">
        <v>20</v>
      </c>
      <c r="M579" s="1052">
        <f>ROUND(M578*G578,2)</f>
        <v>0</v>
      </c>
      <c r="N579" s="1053"/>
      <c r="O579" s="1054">
        <f t="shared" si="536"/>
        <v>0</v>
      </c>
      <c r="P579" s="1055">
        <f t="shared" si="537"/>
        <v>0</v>
      </c>
      <c r="Q579" s="1038"/>
      <c r="R579" s="1056">
        <f>ROUND(R578*G578,2)</f>
        <v>0</v>
      </c>
      <c r="S579" s="1053">
        <f t="shared" si="539"/>
        <v>0</v>
      </c>
      <c r="T579" s="657">
        <f t="shared" si="540"/>
        <v>0</v>
      </c>
      <c r="U579" s="658">
        <f t="shared" si="594"/>
        <v>0</v>
      </c>
      <c r="V579" s="94"/>
      <c r="X579" s="580" t="str">
        <f t="shared" si="533"/>
        <v/>
      </c>
      <c r="Y579" s="580" t="str">
        <f t="shared" si="600"/>
        <v/>
      </c>
      <c r="Z579" s="580" t="str">
        <f t="shared" si="596"/>
        <v/>
      </c>
    </row>
    <row r="580" spans="1:26" hidden="1" x14ac:dyDescent="0.2">
      <c r="A580" s="1008">
        <v>563100</v>
      </c>
      <c r="B580" s="1064" t="s">
        <v>2109</v>
      </c>
      <c r="C580" s="1065" t="s">
        <v>212</v>
      </c>
      <c r="D580" s="646" t="s">
        <v>270</v>
      </c>
      <c r="E580" s="647"/>
      <c r="F580" s="991" t="s">
        <v>850</v>
      </c>
      <c r="G580" s="992">
        <v>5.0000000000000001E-4</v>
      </c>
      <c r="H580" s="993">
        <f>SUM(H581:H581)</f>
        <v>0.10815</v>
      </c>
      <c r="I580" s="648">
        <v>0.88</v>
      </c>
      <c r="J580" s="1041">
        <f t="shared" ref="J580" si="603">IF(ISBLANK(I580),"",SUM(H580:I580))</f>
        <v>0.98814999999999997</v>
      </c>
      <c r="K580" s="649">
        <f t="shared" si="592"/>
        <v>1.2</v>
      </c>
      <c r="L580" s="650" t="s">
        <v>18</v>
      </c>
      <c r="M580" s="1045"/>
      <c r="N580" s="1046"/>
      <c r="O580" s="1066">
        <f t="shared" si="536"/>
        <v>0</v>
      </c>
      <c r="P580" s="1067">
        <f t="shared" si="537"/>
        <v>0</v>
      </c>
      <c r="Q580" s="1038"/>
      <c r="R580" s="1045">
        <f t="shared" ref="R580" si="604">M580</f>
        <v>0</v>
      </c>
      <c r="S580" s="1046">
        <f t="shared" si="539"/>
        <v>0</v>
      </c>
      <c r="T580" s="651">
        <f t="shared" si="540"/>
        <v>0</v>
      </c>
      <c r="U580" s="652">
        <f t="shared" si="594"/>
        <v>0</v>
      </c>
      <c r="V580" s="94"/>
      <c r="X580" s="580" t="str">
        <f t="shared" si="533"/>
        <v/>
      </c>
      <c r="Y580" s="580" t="str">
        <f t="shared" si="600"/>
        <v/>
      </c>
      <c r="Z580" s="580" t="str">
        <f t="shared" si="596"/>
        <v/>
      </c>
    </row>
    <row r="581" spans="1:26" hidden="1" x14ac:dyDescent="0.2">
      <c r="A581" s="97" t="s">
        <v>165</v>
      </c>
      <c r="B581" s="1031" t="s">
        <v>165</v>
      </c>
      <c r="C581" s="978"/>
      <c r="D581" s="631" t="s">
        <v>261</v>
      </c>
      <c r="E581" s="596"/>
      <c r="F581" s="977">
        <v>20</v>
      </c>
      <c r="G581" s="997">
        <v>7.0000000000000001E-3</v>
      </c>
      <c r="H581" s="996">
        <f t="shared" ref="H581" si="605">IF(F581&lt;=30,(0.7*F581+1.45)*G581,((0.7*30+1.45)+0.58*(F581-30))*G581)</f>
        <v>0.10815</v>
      </c>
      <c r="I581" s="592"/>
      <c r="J581" s="1030"/>
      <c r="K581" s="593">
        <f t="shared" si="592"/>
        <v>0</v>
      </c>
      <c r="L581" s="670" t="s">
        <v>783</v>
      </c>
      <c r="M581" s="1068"/>
      <c r="N581" s="1069"/>
      <c r="O581" s="1070">
        <f t="shared" si="536"/>
        <v>0</v>
      </c>
      <c r="P581" s="1071">
        <f t="shared" si="537"/>
        <v>0</v>
      </c>
      <c r="Q581" s="1038"/>
      <c r="R581" s="1068"/>
      <c r="S581" s="1069"/>
      <c r="T581" s="93">
        <f t="shared" si="540"/>
        <v>0</v>
      </c>
      <c r="U581" s="95">
        <f t="shared" si="594"/>
        <v>0</v>
      </c>
      <c r="V581" s="94"/>
      <c r="W581" s="579" t="str">
        <f>IF(U580&gt;0,"xx",IF(P580&gt;0,"xy",""))</f>
        <v/>
      </c>
      <c r="X581" s="580" t="str">
        <f t="shared" si="533"/>
        <v/>
      </c>
      <c r="Y581" s="580" t="str">
        <f t="shared" si="600"/>
        <v/>
      </c>
      <c r="Z581" s="580" t="str">
        <f t="shared" si="596"/>
        <v/>
      </c>
    </row>
    <row r="582" spans="1:26" ht="13.5" hidden="1" thickBot="1" x14ac:dyDescent="0.25">
      <c r="A582" s="1008">
        <v>589520</v>
      </c>
      <c r="B582" s="1004" t="s">
        <v>2036</v>
      </c>
      <c r="C582" s="1048" t="s">
        <v>241</v>
      </c>
      <c r="D582" s="664" t="s">
        <v>843</v>
      </c>
      <c r="E582" s="653"/>
      <c r="F582" s="998">
        <v>500</v>
      </c>
      <c r="G582" s="999">
        <v>1</v>
      </c>
      <c r="H582" s="1000">
        <f>(0.52*F582+25.75)*G582</f>
        <v>285.75</v>
      </c>
      <c r="I582" s="654">
        <f>LIGANTES!$M$26</f>
        <v>3314.7</v>
      </c>
      <c r="J582" s="1051">
        <f>IF(ISBLANK(I582),"",I582*(1+$F$9)/(1+$F$10))+H582</f>
        <v>3509.7594158245001</v>
      </c>
      <c r="K582" s="655">
        <f t="shared" si="592"/>
        <v>4271.7299999999996</v>
      </c>
      <c r="L582" s="656" t="s">
        <v>20</v>
      </c>
      <c r="M582" s="1052">
        <f>ROUND(M580*G580,2)</f>
        <v>0</v>
      </c>
      <c r="N582" s="1075"/>
      <c r="O582" s="1054">
        <f t="shared" si="536"/>
        <v>0</v>
      </c>
      <c r="P582" s="1055">
        <f t="shared" si="537"/>
        <v>0</v>
      </c>
      <c r="Q582" s="1038"/>
      <c r="R582" s="1056">
        <f>ROUND(R580*G580,2)</f>
        <v>0</v>
      </c>
      <c r="S582" s="1076">
        <f t="shared" ref="S582:S583" si="606">N582</f>
        <v>0</v>
      </c>
      <c r="T582" s="657">
        <f t="shared" si="540"/>
        <v>0</v>
      </c>
      <c r="U582" s="658">
        <f t="shared" si="594"/>
        <v>0</v>
      </c>
      <c r="V582" s="94"/>
      <c r="W582" s="579" t="str">
        <f>IF(U580&gt;0,"xx",IF(P580&gt;0,"xy",""))</f>
        <v/>
      </c>
      <c r="X582" s="580" t="str">
        <f t="shared" si="533"/>
        <v/>
      </c>
      <c r="Y582" s="580" t="str">
        <f t="shared" si="600"/>
        <v/>
      </c>
      <c r="Z582" s="580" t="str">
        <f t="shared" si="596"/>
        <v/>
      </c>
    </row>
    <row r="583" spans="1:26" hidden="1" x14ac:dyDescent="0.2">
      <c r="A583" s="1008">
        <v>534000</v>
      </c>
      <c r="B583" s="1064" t="s">
        <v>2110</v>
      </c>
      <c r="C583" s="1065" t="s">
        <v>212</v>
      </c>
      <c r="D583" s="327" t="s">
        <v>859</v>
      </c>
      <c r="E583" s="915"/>
      <c r="F583" s="991" t="s">
        <v>852</v>
      </c>
      <c r="G583" s="992">
        <v>0.08</v>
      </c>
      <c r="H583" s="993">
        <f>SUM(H584:H587)</f>
        <v>40.572800000000008</v>
      </c>
      <c r="I583" s="648">
        <v>110.27</v>
      </c>
      <c r="J583" s="1041">
        <f t="shared" ref="J583" si="607">IF(ISBLANK(I583),"",SUM(H583:I583))</f>
        <v>150.84280000000001</v>
      </c>
      <c r="K583" s="649">
        <f t="shared" si="592"/>
        <v>183.59</v>
      </c>
      <c r="L583" s="650" t="s">
        <v>16</v>
      </c>
      <c r="M583" s="1045"/>
      <c r="N583" s="1046"/>
      <c r="O583" s="1066">
        <f t="shared" si="536"/>
        <v>0</v>
      </c>
      <c r="P583" s="1067">
        <f t="shared" si="537"/>
        <v>0</v>
      </c>
      <c r="Q583" s="1038"/>
      <c r="R583" s="1045">
        <f t="shared" ref="R583" si="608">M583</f>
        <v>0</v>
      </c>
      <c r="S583" s="1046">
        <f t="shared" si="606"/>
        <v>0</v>
      </c>
      <c r="T583" s="651">
        <f t="shared" si="540"/>
        <v>0</v>
      </c>
      <c r="U583" s="652">
        <f t="shared" si="594"/>
        <v>0</v>
      </c>
      <c r="V583" s="94"/>
      <c r="X583" s="580" t="str">
        <f t="shared" si="533"/>
        <v/>
      </c>
      <c r="Y583" s="580" t="str">
        <f t="shared" si="600"/>
        <v/>
      </c>
      <c r="Z583" s="580" t="str">
        <f t="shared" si="596"/>
        <v/>
      </c>
    </row>
    <row r="584" spans="1:26" hidden="1" x14ac:dyDescent="0.2">
      <c r="A584" s="97" t="s">
        <v>165</v>
      </c>
      <c r="B584" s="1031" t="s">
        <v>165</v>
      </c>
      <c r="C584" s="978"/>
      <c r="D584" s="916" t="s">
        <v>257</v>
      </c>
      <c r="E584" s="917"/>
      <c r="F584" s="994">
        <v>180</v>
      </c>
      <c r="G584" s="997"/>
      <c r="H584" s="996">
        <f t="shared" ref="H584" si="609">IF(F584&lt;=30,(0.7*F584+1.45)*G584,((0.7*30+1.45)+0.58*(F584-30))*G584)</f>
        <v>0</v>
      </c>
      <c r="I584" s="592"/>
      <c r="J584" s="1030" t="str">
        <f t="shared" ref="J584" si="610">IF(ISBLANK(I584),"",SUM(H584:I584))</f>
        <v/>
      </c>
      <c r="K584" s="593">
        <f t="shared" si="592"/>
        <v>0</v>
      </c>
      <c r="L584" s="594" t="s">
        <v>783</v>
      </c>
      <c r="M584" s="1068"/>
      <c r="N584" s="1069"/>
      <c r="O584" s="1070">
        <f t="shared" si="536"/>
        <v>0</v>
      </c>
      <c r="P584" s="1071">
        <f t="shared" si="537"/>
        <v>0</v>
      </c>
      <c r="Q584" s="1038"/>
      <c r="R584" s="1068"/>
      <c r="S584" s="1069"/>
      <c r="T584" s="93">
        <f t="shared" si="540"/>
        <v>0</v>
      </c>
      <c r="U584" s="95">
        <f t="shared" si="594"/>
        <v>0</v>
      </c>
      <c r="V584" s="94"/>
      <c r="W584" s="579" t="str">
        <f>IF(U583&gt;0,"xx",IF(P583&gt;0,"xy",""))</f>
        <v/>
      </c>
      <c r="X584" s="580" t="str">
        <f t="shared" si="533"/>
        <v/>
      </c>
      <c r="Y584" s="580" t="str">
        <f t="shared" si="600"/>
        <v/>
      </c>
      <c r="Z584" s="580" t="str">
        <f t="shared" si="596"/>
        <v/>
      </c>
    </row>
    <row r="585" spans="1:26" hidden="1" x14ac:dyDescent="0.2">
      <c r="A585" s="97" t="s">
        <v>165</v>
      </c>
      <c r="B585" s="1031" t="s">
        <v>165</v>
      </c>
      <c r="C585" s="978"/>
      <c r="D585" s="916" t="s">
        <v>258</v>
      </c>
      <c r="E585" s="917"/>
      <c r="F585" s="994">
        <v>500</v>
      </c>
      <c r="G585" s="997"/>
      <c r="H585" s="979">
        <f>IF(F585&lt;=30,(0.51*F585+4.28)*G585,((0.51*30+4.28)+0.42*(F585-30))*G585)</f>
        <v>0</v>
      </c>
      <c r="I585" s="592"/>
      <c r="J585" s="1030" t="str">
        <f t="shared" ref="J585" si="611">IF(ISBLANK(I585),"",SUM(H585:I585))</f>
        <v/>
      </c>
      <c r="K585" s="593">
        <f t="shared" si="592"/>
        <v>0</v>
      </c>
      <c r="L585" s="594" t="s">
        <v>783</v>
      </c>
      <c r="M585" s="1068"/>
      <c r="N585" s="1069"/>
      <c r="O585" s="1070">
        <f t="shared" si="536"/>
        <v>0</v>
      </c>
      <c r="P585" s="1071">
        <f t="shared" si="537"/>
        <v>0</v>
      </c>
      <c r="Q585" s="1038"/>
      <c r="R585" s="1068"/>
      <c r="S585" s="1069"/>
      <c r="T585" s="93">
        <f t="shared" ref="T585:T586" si="612">IF(ISBLANK(R585),0,ROUND(K585*R585,2))</f>
        <v>0</v>
      </c>
      <c r="U585" s="95">
        <f t="shared" ref="U585:U586" si="613">IF(ISBLANK(R585),0,ROUND(R585*S585,2))</f>
        <v>0</v>
      </c>
      <c r="V585" s="94"/>
      <c r="W585" s="579" t="str">
        <f>IF(U583&gt;0,"xx",IF(P583&gt;0,"xy",""))</f>
        <v/>
      </c>
      <c r="X585" s="580" t="str">
        <f t="shared" ref="X585:X586" si="614">IF(W585="X","x",IF(W585="xx","x",IF(W585="xy","x",IF(W585="y","x",IF(OR(P585&gt;0,U585&gt;0),"x","")))))</f>
        <v/>
      </c>
      <c r="Y585" s="580" t="str">
        <f t="shared" ref="Y585:Y586" si="615">IF(W585="X","x",IF(W585="y","x",IF(W585="xx","x",IF(U585&gt;0,"x",""))))</f>
        <v/>
      </c>
      <c r="Z585" s="580" t="str">
        <f t="shared" ref="Z585:Z586" si="616">IF(W585="X","x",IF(U585&gt;0,"x",""))</f>
        <v/>
      </c>
    </row>
    <row r="586" spans="1:26" hidden="1" x14ac:dyDescent="0.2">
      <c r="A586" s="97" t="s">
        <v>165</v>
      </c>
      <c r="B586" s="1031" t="s">
        <v>165</v>
      </c>
      <c r="C586" s="978"/>
      <c r="D586" s="916" t="s">
        <v>271</v>
      </c>
      <c r="E586" s="917"/>
      <c r="F586" s="994">
        <v>0.2</v>
      </c>
      <c r="G586" s="997">
        <v>2.12</v>
      </c>
      <c r="H586" s="979">
        <f>IF(F586=0,0,IF(F586&lt;=30,(0.7*F586+1.45)*G586,((0.7*30+1.45)+0.58*(F586-30))*G586))</f>
        <v>3.3708</v>
      </c>
      <c r="I586" s="592"/>
      <c r="J586" s="1030"/>
      <c r="K586" s="593">
        <f t="shared" si="592"/>
        <v>0</v>
      </c>
      <c r="L586" s="594" t="s">
        <v>783</v>
      </c>
      <c r="M586" s="1068"/>
      <c r="N586" s="1069"/>
      <c r="O586" s="1070">
        <f t="shared" si="536"/>
        <v>0</v>
      </c>
      <c r="P586" s="1071">
        <f t="shared" si="537"/>
        <v>0</v>
      </c>
      <c r="Q586" s="1038"/>
      <c r="R586" s="1068"/>
      <c r="S586" s="1069"/>
      <c r="T586" s="93">
        <f t="shared" si="612"/>
        <v>0</v>
      </c>
      <c r="U586" s="95">
        <f t="shared" si="613"/>
        <v>0</v>
      </c>
      <c r="V586" s="94"/>
      <c r="W586" s="579" t="str">
        <f>IF(U583&gt;0,"xx",IF(P583&gt;0,"xy",""))</f>
        <v/>
      </c>
      <c r="X586" s="580" t="str">
        <f t="shared" si="614"/>
        <v/>
      </c>
      <c r="Y586" s="580" t="str">
        <f t="shared" si="615"/>
        <v/>
      </c>
      <c r="Z586" s="580" t="str">
        <f t="shared" si="616"/>
        <v/>
      </c>
    </row>
    <row r="587" spans="1:26" hidden="1" x14ac:dyDescent="0.2">
      <c r="A587" s="97" t="s">
        <v>165</v>
      </c>
      <c r="B587" s="1031" t="s">
        <v>165</v>
      </c>
      <c r="C587" s="978"/>
      <c r="D587" s="916" t="s">
        <v>272</v>
      </c>
      <c r="E587" s="917"/>
      <c r="F587" s="994">
        <v>20</v>
      </c>
      <c r="G587" s="997">
        <f>SUM(G583:G586)</f>
        <v>2.2000000000000002</v>
      </c>
      <c r="H587" s="979">
        <f>IF(F587&lt;=30,(0.7*F587+2.91)*G587,((0.7*30+2.91)+0.58*(F587-30))*G587)</f>
        <v>37.202000000000005</v>
      </c>
      <c r="I587" s="592"/>
      <c r="J587" s="1030"/>
      <c r="K587" s="593">
        <f t="shared" si="592"/>
        <v>0</v>
      </c>
      <c r="L587" s="594" t="s">
        <v>783</v>
      </c>
      <c r="M587" s="1068"/>
      <c r="N587" s="1077"/>
      <c r="O587" s="1070">
        <f t="shared" si="536"/>
        <v>0</v>
      </c>
      <c r="P587" s="1071">
        <f t="shared" si="537"/>
        <v>0</v>
      </c>
      <c r="Q587" s="1038"/>
      <c r="R587" s="1068"/>
      <c r="S587" s="1069"/>
      <c r="T587" s="93">
        <f t="shared" si="540"/>
        <v>0</v>
      </c>
      <c r="U587" s="95">
        <f t="shared" si="594"/>
        <v>0</v>
      </c>
      <c r="V587" s="94"/>
      <c r="W587" s="579" t="str">
        <f>IF(U583&gt;0,"xx",IF(P583&gt;0,"xy",""))</f>
        <v/>
      </c>
      <c r="X587" s="580" t="str">
        <f t="shared" si="533"/>
        <v/>
      </c>
      <c r="Y587" s="580" t="str">
        <f t="shared" si="600"/>
        <v/>
      </c>
      <c r="Z587" s="580" t="str">
        <f t="shared" si="596"/>
        <v/>
      </c>
    </row>
    <row r="588" spans="1:26" ht="13.5" hidden="1" thickBot="1" x14ac:dyDescent="0.25">
      <c r="A588" s="1008">
        <v>589320</v>
      </c>
      <c r="B588" s="1004" t="s">
        <v>2116</v>
      </c>
      <c r="C588" s="1048" t="s">
        <v>241</v>
      </c>
      <c r="D588" s="914" t="s">
        <v>991</v>
      </c>
      <c r="E588" s="919"/>
      <c r="F588" s="998">
        <v>500</v>
      </c>
      <c r="G588" s="999">
        <v>1</v>
      </c>
      <c r="H588" s="1000">
        <f>(0.52*F588+25.75)*G588</f>
        <v>285.75</v>
      </c>
      <c r="I588" s="654">
        <f>LIGANTES!$M$23</f>
        <v>3617.13</v>
      </c>
      <c r="J588" s="1051">
        <f>IF(ISBLANK(I588),"",I588*(1+$F$9)/(1+$F$10))+H588</f>
        <v>3803.9148952427904</v>
      </c>
      <c r="K588" s="655">
        <f t="shared" si="592"/>
        <v>4629.74</v>
      </c>
      <c r="L588" s="656" t="s">
        <v>20</v>
      </c>
      <c r="M588" s="1052">
        <f>ROUND(M583*G583,2)</f>
        <v>0</v>
      </c>
      <c r="N588" s="1072"/>
      <c r="O588" s="1054">
        <f t="shared" si="536"/>
        <v>0</v>
      </c>
      <c r="P588" s="1055">
        <f t="shared" si="537"/>
        <v>0</v>
      </c>
      <c r="Q588" s="1038"/>
      <c r="R588" s="1056">
        <f>ROUND(R583*G583,2)</f>
        <v>0</v>
      </c>
      <c r="S588" s="1076">
        <f t="shared" ref="S588:S589" si="617">N588</f>
        <v>0</v>
      </c>
      <c r="T588" s="657">
        <f t="shared" si="540"/>
        <v>0</v>
      </c>
      <c r="U588" s="658">
        <f t="shared" si="594"/>
        <v>0</v>
      </c>
      <c r="V588" s="94"/>
      <c r="W588" s="579" t="str">
        <f>IF(U583&gt;0,"xx",IF(P583&gt;0,"xy",""))</f>
        <v/>
      </c>
      <c r="X588" s="580" t="str">
        <f t="shared" si="533"/>
        <v/>
      </c>
      <c r="Y588" s="580" t="str">
        <f t="shared" si="600"/>
        <v/>
      </c>
      <c r="Z588" s="580" t="str">
        <f t="shared" si="596"/>
        <v/>
      </c>
    </row>
    <row r="589" spans="1:26" hidden="1" x14ac:dyDescent="0.2">
      <c r="A589" s="1008">
        <v>534000</v>
      </c>
      <c r="B589" s="1064" t="s">
        <v>2111</v>
      </c>
      <c r="C589" s="1065" t="s">
        <v>212</v>
      </c>
      <c r="D589" s="327" t="s">
        <v>858</v>
      </c>
      <c r="E589" s="915"/>
      <c r="F589" s="991" t="s">
        <v>852</v>
      </c>
      <c r="G589" s="992">
        <v>0.08</v>
      </c>
      <c r="H589" s="993">
        <f>SUM(H590:H593)</f>
        <v>40.572800000000008</v>
      </c>
      <c r="I589" s="648">
        <v>110.27</v>
      </c>
      <c r="J589" s="1041">
        <f t="shared" ref="J589" si="618">IF(ISBLANK(I589),"",SUM(H589:I589))</f>
        <v>150.84280000000001</v>
      </c>
      <c r="K589" s="649">
        <f t="shared" si="592"/>
        <v>183.59</v>
      </c>
      <c r="L589" s="650" t="s">
        <v>16</v>
      </c>
      <c r="M589" s="1045"/>
      <c r="N589" s="1046"/>
      <c r="O589" s="1066">
        <f t="shared" si="536"/>
        <v>0</v>
      </c>
      <c r="P589" s="1067">
        <f t="shared" si="537"/>
        <v>0</v>
      </c>
      <c r="Q589" s="1038"/>
      <c r="R589" s="1045">
        <f t="shared" ref="R589" si="619">M589</f>
        <v>0</v>
      </c>
      <c r="S589" s="1046">
        <f t="shared" si="617"/>
        <v>0</v>
      </c>
      <c r="T589" s="651">
        <f t="shared" si="540"/>
        <v>0</v>
      </c>
      <c r="U589" s="652">
        <f t="shared" si="594"/>
        <v>0</v>
      </c>
      <c r="V589" s="94"/>
      <c r="X589" s="580" t="str">
        <f t="shared" si="533"/>
        <v/>
      </c>
      <c r="Y589" s="580" t="str">
        <f t="shared" si="600"/>
        <v/>
      </c>
      <c r="Z589" s="580" t="str">
        <f t="shared" si="596"/>
        <v/>
      </c>
    </row>
    <row r="590" spans="1:26" hidden="1" x14ac:dyDescent="0.2">
      <c r="A590" s="97" t="s">
        <v>165</v>
      </c>
      <c r="B590" s="1031" t="s">
        <v>165</v>
      </c>
      <c r="C590" s="978"/>
      <c r="D590" s="916" t="s">
        <v>257</v>
      </c>
      <c r="E590" s="917"/>
      <c r="F590" s="994">
        <v>180</v>
      </c>
      <c r="G590" s="997"/>
      <c r="H590" s="996">
        <f t="shared" ref="H590" si="620">IF(F590&lt;=30,(0.7*F590+1.45)*G590,((0.7*30+1.45)+0.58*(F590-30))*G590)</f>
        <v>0</v>
      </c>
      <c r="I590" s="592"/>
      <c r="J590" s="1030" t="str">
        <f t="shared" ref="J590" si="621">IF(ISBLANK(I590),"",SUM(H590:I590))</f>
        <v/>
      </c>
      <c r="K590" s="593">
        <f t="shared" ref="K590:K633" si="622">IF(ISBLANK(I590),0,ROUND(J590*(1+$F$10)*(1+$F$11*E590),2))</f>
        <v>0</v>
      </c>
      <c r="L590" s="594" t="s">
        <v>783</v>
      </c>
      <c r="M590" s="1068"/>
      <c r="N590" s="1069"/>
      <c r="O590" s="1070">
        <f t="shared" si="536"/>
        <v>0</v>
      </c>
      <c r="P590" s="1071">
        <f t="shared" si="537"/>
        <v>0</v>
      </c>
      <c r="Q590" s="1038"/>
      <c r="R590" s="1068"/>
      <c r="S590" s="1069"/>
      <c r="T590" s="93">
        <f t="shared" si="540"/>
        <v>0</v>
      </c>
      <c r="U590" s="95">
        <f t="shared" si="594"/>
        <v>0</v>
      </c>
      <c r="V590" s="94"/>
      <c r="W590" s="579" t="str">
        <f>IF(U589&gt;0,"xx",IF(P589&gt;0,"xy",""))</f>
        <v/>
      </c>
      <c r="X590" s="580" t="str">
        <f t="shared" si="533"/>
        <v/>
      </c>
      <c r="Y590" s="580" t="str">
        <f t="shared" si="600"/>
        <v/>
      </c>
      <c r="Z590" s="580" t="str">
        <f t="shared" si="596"/>
        <v/>
      </c>
    </row>
    <row r="591" spans="1:26" hidden="1" x14ac:dyDescent="0.2">
      <c r="A591" s="97" t="s">
        <v>165</v>
      </c>
      <c r="B591" s="1031" t="s">
        <v>165</v>
      </c>
      <c r="C591" s="978"/>
      <c r="D591" s="916" t="s">
        <v>258</v>
      </c>
      <c r="E591" s="917"/>
      <c r="F591" s="994">
        <v>500</v>
      </c>
      <c r="G591" s="997"/>
      <c r="H591" s="979">
        <f>IF(F591&lt;=30,(0.51*F591+4.28)*G591,((0.51*30+4.28)+0.42*(F591-30))*G591)</f>
        <v>0</v>
      </c>
      <c r="I591" s="592"/>
      <c r="J591" s="1030" t="str">
        <f t="shared" ref="J591" si="623">IF(ISBLANK(I591),"",SUM(H591:I591))</f>
        <v/>
      </c>
      <c r="K591" s="593">
        <f t="shared" si="622"/>
        <v>0</v>
      </c>
      <c r="L591" s="594" t="s">
        <v>783</v>
      </c>
      <c r="M591" s="1068"/>
      <c r="N591" s="1069"/>
      <c r="O591" s="1070">
        <f t="shared" si="536"/>
        <v>0</v>
      </c>
      <c r="P591" s="1071">
        <f t="shared" si="537"/>
        <v>0</v>
      </c>
      <c r="Q591" s="1038"/>
      <c r="R591" s="1068"/>
      <c r="S591" s="1069"/>
      <c r="T591" s="93">
        <f t="shared" ref="T591:T592" si="624">IF(ISBLANK(R591),0,ROUND(K591*R591,2))</f>
        <v>0</v>
      </c>
      <c r="U591" s="95">
        <f t="shared" ref="U591:U592" si="625">IF(ISBLANK(R591),0,ROUND(R591*S591,2))</f>
        <v>0</v>
      </c>
      <c r="V591" s="94"/>
      <c r="W591" s="579" t="str">
        <f>IF(U589&gt;0,"xx",IF(P589&gt;0,"xy",""))</f>
        <v/>
      </c>
      <c r="X591" s="580" t="str">
        <f t="shared" ref="X591:X592" si="626">IF(W591="X","x",IF(W591="xx","x",IF(W591="xy","x",IF(W591="y","x",IF(OR(P591&gt;0,U591&gt;0),"x","")))))</f>
        <v/>
      </c>
      <c r="Y591" s="580" t="str">
        <f t="shared" ref="Y591:Y592" si="627">IF(W591="X","x",IF(W591="y","x",IF(W591="xx","x",IF(U591&gt;0,"x",""))))</f>
        <v/>
      </c>
      <c r="Z591" s="580" t="str">
        <f t="shared" ref="Z591:Z592" si="628">IF(W591="X","x",IF(U591&gt;0,"x",""))</f>
        <v/>
      </c>
    </row>
    <row r="592" spans="1:26" hidden="1" x14ac:dyDescent="0.2">
      <c r="A592" s="97" t="s">
        <v>165</v>
      </c>
      <c r="B592" s="1031" t="s">
        <v>165</v>
      </c>
      <c r="C592" s="978"/>
      <c r="D592" s="916" t="s">
        <v>271</v>
      </c>
      <c r="E592" s="917"/>
      <c r="F592" s="994">
        <v>0.2</v>
      </c>
      <c r="G592" s="997">
        <v>2.12</v>
      </c>
      <c r="H592" s="979">
        <f>IF(F592=0,0,IF(F592&lt;=30,(0.7*F592+1.45)*G592,((0.7*30+1.45)+0.58*(F592-30))*G592))</f>
        <v>3.3708</v>
      </c>
      <c r="I592" s="592"/>
      <c r="J592" s="1030"/>
      <c r="K592" s="593">
        <f t="shared" si="622"/>
        <v>0</v>
      </c>
      <c r="L592" s="594" t="s">
        <v>783</v>
      </c>
      <c r="M592" s="1068"/>
      <c r="N592" s="1069"/>
      <c r="O592" s="1070">
        <f t="shared" si="536"/>
        <v>0</v>
      </c>
      <c r="P592" s="1071">
        <f t="shared" si="537"/>
        <v>0</v>
      </c>
      <c r="Q592" s="1038"/>
      <c r="R592" s="1068"/>
      <c r="S592" s="1069"/>
      <c r="T592" s="93">
        <f t="shared" si="624"/>
        <v>0</v>
      </c>
      <c r="U592" s="95">
        <f t="shared" si="625"/>
        <v>0</v>
      </c>
      <c r="V592" s="94"/>
      <c r="W592" s="579" t="str">
        <f>IF(U589&gt;0,"xx",IF(P589&gt;0,"xy",""))</f>
        <v/>
      </c>
      <c r="X592" s="580" t="str">
        <f t="shared" si="626"/>
        <v/>
      </c>
      <c r="Y592" s="580" t="str">
        <f t="shared" si="627"/>
        <v/>
      </c>
      <c r="Z592" s="580" t="str">
        <f t="shared" si="628"/>
        <v/>
      </c>
    </row>
    <row r="593" spans="1:26" hidden="1" x14ac:dyDescent="0.2">
      <c r="A593" s="97" t="s">
        <v>165</v>
      </c>
      <c r="B593" s="1031" t="s">
        <v>165</v>
      </c>
      <c r="C593" s="978"/>
      <c r="D593" s="916" t="s">
        <v>272</v>
      </c>
      <c r="E593" s="917"/>
      <c r="F593" s="994">
        <v>20</v>
      </c>
      <c r="G593" s="997">
        <f>SUM(G589:G592)</f>
        <v>2.2000000000000002</v>
      </c>
      <c r="H593" s="979">
        <f>IF(F593&lt;=30,(0.7*F593+2.91)*G593,((0.7*30+2.91)+0.58*(F593-30))*G593)</f>
        <v>37.202000000000005</v>
      </c>
      <c r="I593" s="592"/>
      <c r="J593" s="1030"/>
      <c r="K593" s="593">
        <f t="shared" si="622"/>
        <v>0</v>
      </c>
      <c r="L593" s="594" t="s">
        <v>783</v>
      </c>
      <c r="M593" s="1068"/>
      <c r="N593" s="1077"/>
      <c r="O593" s="1070">
        <f t="shared" si="536"/>
        <v>0</v>
      </c>
      <c r="P593" s="1071">
        <f t="shared" si="537"/>
        <v>0</v>
      </c>
      <c r="Q593" s="1038"/>
      <c r="R593" s="1068"/>
      <c r="S593" s="1069"/>
      <c r="T593" s="93">
        <f t="shared" si="540"/>
        <v>0</v>
      </c>
      <c r="U593" s="95">
        <f t="shared" si="594"/>
        <v>0</v>
      </c>
      <c r="V593" s="94"/>
      <c r="W593" s="579" t="str">
        <f>IF(U589&gt;0,"xx",IF(P589&gt;0,"xy",""))</f>
        <v/>
      </c>
      <c r="X593" s="580" t="str">
        <f t="shared" si="533"/>
        <v/>
      </c>
      <c r="Y593" s="580" t="str">
        <f t="shared" si="600"/>
        <v/>
      </c>
      <c r="Z593" s="580" t="str">
        <f t="shared" si="596"/>
        <v/>
      </c>
    </row>
    <row r="594" spans="1:26" ht="13.5" hidden="1" thickBot="1" x14ac:dyDescent="0.25">
      <c r="A594" s="1008">
        <v>589320</v>
      </c>
      <c r="B594" s="1004" t="s">
        <v>2117</v>
      </c>
      <c r="C594" s="1048" t="s">
        <v>241</v>
      </c>
      <c r="D594" s="914" t="s">
        <v>991</v>
      </c>
      <c r="E594" s="919"/>
      <c r="F594" s="998">
        <v>500</v>
      </c>
      <c r="G594" s="999">
        <v>1</v>
      </c>
      <c r="H594" s="1000">
        <f>(0.52*F594+25.75)*G594</f>
        <v>285.75</v>
      </c>
      <c r="I594" s="654">
        <f>LIGANTES!$M$23</f>
        <v>3617.13</v>
      </c>
      <c r="J594" s="1051">
        <f>IF(ISBLANK(I594),"",I594*(1+$F$9)/(1+$F$10))+H594</f>
        <v>3803.9148952427904</v>
      </c>
      <c r="K594" s="655">
        <f t="shared" si="622"/>
        <v>4629.74</v>
      </c>
      <c r="L594" s="656" t="s">
        <v>20</v>
      </c>
      <c r="M594" s="1052">
        <f>ROUND(M589*G589,2)</f>
        <v>0</v>
      </c>
      <c r="N594" s="1072"/>
      <c r="O594" s="1054">
        <f t="shared" si="536"/>
        <v>0</v>
      </c>
      <c r="P594" s="1055">
        <f t="shared" si="537"/>
        <v>0</v>
      </c>
      <c r="Q594" s="1038"/>
      <c r="R594" s="1056">
        <f>ROUND(R589*G589,2)</f>
        <v>0</v>
      </c>
      <c r="S594" s="1076">
        <f t="shared" ref="S594:S595" si="629">N594</f>
        <v>0</v>
      </c>
      <c r="T594" s="657">
        <f t="shared" si="540"/>
        <v>0</v>
      </c>
      <c r="U594" s="658">
        <f t="shared" si="594"/>
        <v>0</v>
      </c>
      <c r="V594" s="94"/>
      <c r="W594" s="579" t="str">
        <f>IF(U589&gt;0,"xx",IF(P589&gt;0,"xy",""))</f>
        <v/>
      </c>
      <c r="X594" s="580" t="str">
        <f t="shared" si="533"/>
        <v/>
      </c>
      <c r="Y594" s="580" t="str">
        <f t="shared" si="600"/>
        <v/>
      </c>
      <c r="Z594" s="580" t="str">
        <f t="shared" si="596"/>
        <v/>
      </c>
    </row>
    <row r="595" spans="1:26" hidden="1" x14ac:dyDescent="0.2">
      <c r="A595" s="1008">
        <v>534000</v>
      </c>
      <c r="B595" s="1064" t="s">
        <v>2112</v>
      </c>
      <c r="C595" s="1065" t="s">
        <v>212</v>
      </c>
      <c r="D595" s="327" t="s">
        <v>860</v>
      </c>
      <c r="E595" s="915"/>
      <c r="F595" s="991" t="s">
        <v>852</v>
      </c>
      <c r="G595" s="992">
        <v>0.08</v>
      </c>
      <c r="H595" s="993">
        <f>SUM(H596:H599)</f>
        <v>40.572800000000008</v>
      </c>
      <c r="I595" s="648">
        <v>110.27</v>
      </c>
      <c r="J595" s="1041">
        <f t="shared" ref="J595" si="630">IF(ISBLANK(I595),"",SUM(H595:I595))</f>
        <v>150.84280000000001</v>
      </c>
      <c r="K595" s="649">
        <f t="shared" si="622"/>
        <v>183.59</v>
      </c>
      <c r="L595" s="650" t="s">
        <v>16</v>
      </c>
      <c r="M595" s="1045"/>
      <c r="N595" s="1046"/>
      <c r="O595" s="1066">
        <f t="shared" si="536"/>
        <v>0</v>
      </c>
      <c r="P595" s="1067">
        <f t="shared" si="537"/>
        <v>0</v>
      </c>
      <c r="Q595" s="1038"/>
      <c r="R595" s="1045">
        <f t="shared" ref="R595" si="631">M595</f>
        <v>0</v>
      </c>
      <c r="S595" s="1046">
        <f t="shared" si="629"/>
        <v>0</v>
      </c>
      <c r="T595" s="651">
        <f t="shared" si="540"/>
        <v>0</v>
      </c>
      <c r="U595" s="652">
        <f t="shared" si="594"/>
        <v>0</v>
      </c>
      <c r="V595" s="94"/>
      <c r="X595" s="580" t="str">
        <f t="shared" si="533"/>
        <v/>
      </c>
      <c r="Y595" s="580" t="str">
        <f t="shared" si="600"/>
        <v/>
      </c>
      <c r="Z595" s="580" t="str">
        <f t="shared" si="596"/>
        <v/>
      </c>
    </row>
    <row r="596" spans="1:26" hidden="1" x14ac:dyDescent="0.2">
      <c r="A596" s="97" t="s">
        <v>165</v>
      </c>
      <c r="B596" s="1031" t="s">
        <v>165</v>
      </c>
      <c r="C596" s="978"/>
      <c r="D596" s="916" t="s">
        <v>257</v>
      </c>
      <c r="E596" s="917"/>
      <c r="F596" s="994">
        <v>180</v>
      </c>
      <c r="G596" s="997"/>
      <c r="H596" s="996">
        <f t="shared" ref="H596" si="632">IF(F596&lt;=30,(0.7*F596+1.45)*G596,((0.7*30+1.45)+0.58*(F596-30))*G596)</f>
        <v>0</v>
      </c>
      <c r="I596" s="592"/>
      <c r="J596" s="1030" t="str">
        <f t="shared" ref="J596" si="633">IF(ISBLANK(I596),"",SUM(H596:I596))</f>
        <v/>
      </c>
      <c r="K596" s="593">
        <f t="shared" si="622"/>
        <v>0</v>
      </c>
      <c r="L596" s="594" t="s">
        <v>783</v>
      </c>
      <c r="M596" s="1068"/>
      <c r="N596" s="1069"/>
      <c r="O596" s="1070">
        <f t="shared" si="536"/>
        <v>0</v>
      </c>
      <c r="P596" s="1071">
        <f t="shared" si="537"/>
        <v>0</v>
      </c>
      <c r="Q596" s="1038"/>
      <c r="R596" s="1068"/>
      <c r="S596" s="1069"/>
      <c r="T596" s="93">
        <f t="shared" si="540"/>
        <v>0</v>
      </c>
      <c r="U596" s="95">
        <f t="shared" si="594"/>
        <v>0</v>
      </c>
      <c r="V596" s="94"/>
      <c r="W596" s="579" t="str">
        <f>IF(U595&gt;0,"xx",IF(P595&gt;0,"xy",""))</f>
        <v/>
      </c>
      <c r="X596" s="580" t="str">
        <f t="shared" si="533"/>
        <v/>
      </c>
      <c r="Y596" s="580" t="str">
        <f t="shared" si="600"/>
        <v/>
      </c>
      <c r="Z596" s="580" t="str">
        <f t="shared" si="596"/>
        <v/>
      </c>
    </row>
    <row r="597" spans="1:26" hidden="1" x14ac:dyDescent="0.2">
      <c r="A597" s="97" t="s">
        <v>165</v>
      </c>
      <c r="B597" s="1031" t="s">
        <v>165</v>
      </c>
      <c r="C597" s="978"/>
      <c r="D597" s="916" t="s">
        <v>258</v>
      </c>
      <c r="E597" s="917"/>
      <c r="F597" s="994">
        <v>500</v>
      </c>
      <c r="G597" s="997"/>
      <c r="H597" s="979">
        <f>IF(F597&lt;=30,(0.51*F597+4.28)*G597,((0.51*30+4.28)+0.42*(F597-30))*G597)</f>
        <v>0</v>
      </c>
      <c r="I597" s="592"/>
      <c r="J597" s="1030" t="str">
        <f t="shared" ref="J597" si="634">IF(ISBLANK(I597),"",SUM(H597:I597))</f>
        <v/>
      </c>
      <c r="K597" s="593">
        <f t="shared" si="622"/>
        <v>0</v>
      </c>
      <c r="L597" s="594" t="s">
        <v>783</v>
      </c>
      <c r="M597" s="1068"/>
      <c r="N597" s="1069"/>
      <c r="O597" s="1070">
        <f t="shared" si="536"/>
        <v>0</v>
      </c>
      <c r="P597" s="1071">
        <f t="shared" si="537"/>
        <v>0</v>
      </c>
      <c r="Q597" s="1038"/>
      <c r="R597" s="1068"/>
      <c r="S597" s="1069"/>
      <c r="T597" s="93">
        <f t="shared" ref="T597:T598" si="635">IF(ISBLANK(R597),0,ROUND(K597*R597,2))</f>
        <v>0</v>
      </c>
      <c r="U597" s="95">
        <f t="shared" ref="U597:U598" si="636">IF(ISBLANK(R597),0,ROUND(R597*S597,2))</f>
        <v>0</v>
      </c>
      <c r="V597" s="94"/>
      <c r="W597" s="579" t="str">
        <f>IF(U595&gt;0,"xx",IF(P595&gt;0,"xy",""))</f>
        <v/>
      </c>
      <c r="X597" s="580" t="str">
        <f t="shared" ref="X597:X598" si="637">IF(W597="X","x",IF(W597="xx","x",IF(W597="xy","x",IF(W597="y","x",IF(OR(P597&gt;0,U597&gt;0),"x","")))))</f>
        <v/>
      </c>
      <c r="Y597" s="580" t="str">
        <f t="shared" ref="Y597:Y598" si="638">IF(W597="X","x",IF(W597="y","x",IF(W597="xx","x",IF(U597&gt;0,"x",""))))</f>
        <v/>
      </c>
      <c r="Z597" s="580" t="str">
        <f t="shared" ref="Z597:Z598" si="639">IF(W597="X","x",IF(U597&gt;0,"x",""))</f>
        <v/>
      </c>
    </row>
    <row r="598" spans="1:26" hidden="1" x14ac:dyDescent="0.2">
      <c r="A598" s="97" t="s">
        <v>165</v>
      </c>
      <c r="B598" s="1031" t="s">
        <v>165</v>
      </c>
      <c r="C598" s="978"/>
      <c r="D598" s="916" t="s">
        <v>271</v>
      </c>
      <c r="E598" s="917"/>
      <c r="F598" s="994">
        <v>0.2</v>
      </c>
      <c r="G598" s="997">
        <v>2.12</v>
      </c>
      <c r="H598" s="979">
        <f>IF(F598=0,0,IF(F598&lt;=30,(0.7*F598+1.45)*G598,((0.7*30+1.45)+0.58*(F598-30))*G598))</f>
        <v>3.3708</v>
      </c>
      <c r="I598" s="592"/>
      <c r="J598" s="1030"/>
      <c r="K598" s="593">
        <f t="shared" si="622"/>
        <v>0</v>
      </c>
      <c r="L598" s="594" t="s">
        <v>783</v>
      </c>
      <c r="M598" s="1068"/>
      <c r="N598" s="1069"/>
      <c r="O598" s="1070">
        <f t="shared" si="536"/>
        <v>0</v>
      </c>
      <c r="P598" s="1071">
        <f t="shared" si="537"/>
        <v>0</v>
      </c>
      <c r="Q598" s="1038"/>
      <c r="R598" s="1068"/>
      <c r="S598" s="1069"/>
      <c r="T598" s="93">
        <f t="shared" si="635"/>
        <v>0</v>
      </c>
      <c r="U598" s="95">
        <f t="shared" si="636"/>
        <v>0</v>
      </c>
      <c r="V598" s="94"/>
      <c r="W598" s="579" t="str">
        <f>IF(U595&gt;0,"xx",IF(P595&gt;0,"xy",""))</f>
        <v/>
      </c>
      <c r="X598" s="580" t="str">
        <f t="shared" si="637"/>
        <v/>
      </c>
      <c r="Y598" s="580" t="str">
        <f t="shared" si="638"/>
        <v/>
      </c>
      <c r="Z598" s="580" t="str">
        <f t="shared" si="639"/>
        <v/>
      </c>
    </row>
    <row r="599" spans="1:26" hidden="1" x14ac:dyDescent="0.2">
      <c r="A599" s="97" t="s">
        <v>165</v>
      </c>
      <c r="B599" s="1031" t="s">
        <v>165</v>
      </c>
      <c r="C599" s="978"/>
      <c r="D599" s="916" t="s">
        <v>272</v>
      </c>
      <c r="E599" s="917"/>
      <c r="F599" s="994">
        <v>20</v>
      </c>
      <c r="G599" s="997">
        <f>SUM(G595:G598)</f>
        <v>2.2000000000000002</v>
      </c>
      <c r="H599" s="979">
        <f>IF(F599&lt;=30,(0.7*F599+2.91)*G599,((0.7*30+2.91)+0.58*(F599-30))*G599)</f>
        <v>37.202000000000005</v>
      </c>
      <c r="I599" s="592"/>
      <c r="J599" s="1030"/>
      <c r="K599" s="593">
        <f t="shared" si="622"/>
        <v>0</v>
      </c>
      <c r="L599" s="594" t="s">
        <v>783</v>
      </c>
      <c r="M599" s="1068"/>
      <c r="N599" s="1077"/>
      <c r="O599" s="1070">
        <f t="shared" si="536"/>
        <v>0</v>
      </c>
      <c r="P599" s="1071">
        <f t="shared" si="537"/>
        <v>0</v>
      </c>
      <c r="Q599" s="1038"/>
      <c r="R599" s="1068"/>
      <c r="S599" s="1069"/>
      <c r="T599" s="93">
        <f t="shared" si="540"/>
        <v>0</v>
      </c>
      <c r="U599" s="95">
        <f t="shared" si="594"/>
        <v>0</v>
      </c>
      <c r="V599" s="94"/>
      <c r="W599" s="579" t="str">
        <f>IF(U595&gt;0,"xx",IF(P595&gt;0,"xy",""))</f>
        <v/>
      </c>
      <c r="X599" s="580" t="str">
        <f t="shared" si="533"/>
        <v/>
      </c>
      <c r="Y599" s="580" t="str">
        <f t="shared" si="600"/>
        <v/>
      </c>
      <c r="Z599" s="580" t="str">
        <f t="shared" si="596"/>
        <v/>
      </c>
    </row>
    <row r="600" spans="1:26" ht="13.5" hidden="1" thickBot="1" x14ac:dyDescent="0.25">
      <c r="A600" s="1008">
        <v>589320</v>
      </c>
      <c r="B600" s="1004" t="s">
        <v>2118</v>
      </c>
      <c r="C600" s="1048" t="s">
        <v>241</v>
      </c>
      <c r="D600" s="914" t="s">
        <v>991</v>
      </c>
      <c r="E600" s="919"/>
      <c r="F600" s="998">
        <v>500</v>
      </c>
      <c r="G600" s="999">
        <v>1</v>
      </c>
      <c r="H600" s="1000">
        <f>(0.52*F600+25.75)*G600</f>
        <v>285.75</v>
      </c>
      <c r="I600" s="654">
        <f>LIGANTES!$M$23</f>
        <v>3617.13</v>
      </c>
      <c r="J600" s="1051">
        <f>IF(ISBLANK(I600),"",I600*(1+$F$9)/(1+$F$10))+H600</f>
        <v>3803.9148952427904</v>
      </c>
      <c r="K600" s="655">
        <f t="shared" si="622"/>
        <v>4629.74</v>
      </c>
      <c r="L600" s="656" t="s">
        <v>20</v>
      </c>
      <c r="M600" s="1052">
        <f>ROUND(M595*G595,2)</f>
        <v>0</v>
      </c>
      <c r="N600" s="1072"/>
      <c r="O600" s="1054">
        <f t="shared" si="536"/>
        <v>0</v>
      </c>
      <c r="P600" s="1055">
        <f t="shared" si="537"/>
        <v>0</v>
      </c>
      <c r="Q600" s="1038"/>
      <c r="R600" s="1056">
        <f>ROUND(R595*G595,2)</f>
        <v>0</v>
      </c>
      <c r="S600" s="1076">
        <f t="shared" ref="S600:S601" si="640">N600</f>
        <v>0</v>
      </c>
      <c r="T600" s="657">
        <f t="shared" si="540"/>
        <v>0</v>
      </c>
      <c r="U600" s="658">
        <f t="shared" si="594"/>
        <v>0</v>
      </c>
      <c r="V600" s="94"/>
      <c r="W600" s="579" t="str">
        <f>IF(U595&gt;0,"xx",IF(P595&gt;0,"xy",""))</f>
        <v/>
      </c>
      <c r="X600" s="580" t="str">
        <f t="shared" si="533"/>
        <v/>
      </c>
      <c r="Y600" s="580" t="str">
        <f t="shared" si="600"/>
        <v/>
      </c>
      <c r="Z600" s="580" t="str">
        <f t="shared" si="596"/>
        <v/>
      </c>
    </row>
    <row r="601" spans="1:26" hidden="1" x14ac:dyDescent="0.2">
      <c r="A601" s="1008">
        <v>534300</v>
      </c>
      <c r="B601" s="1064" t="s">
        <v>2039</v>
      </c>
      <c r="C601" s="1065" t="s">
        <v>212</v>
      </c>
      <c r="D601" s="327" t="s">
        <v>1896</v>
      </c>
      <c r="E601" s="915"/>
      <c r="F601" s="991" t="s">
        <v>852</v>
      </c>
      <c r="G601" s="992">
        <v>0.11</v>
      </c>
      <c r="H601" s="993">
        <f>SUM(H602:H605)</f>
        <v>40.525099999999995</v>
      </c>
      <c r="I601" s="648">
        <v>109.09</v>
      </c>
      <c r="J601" s="1041">
        <f t="shared" ref="J601" si="641">IF(ISBLANK(I601),"",SUM(H601:I601))</f>
        <v>149.61509999999998</v>
      </c>
      <c r="K601" s="649">
        <f t="shared" si="622"/>
        <v>182.1</v>
      </c>
      <c r="L601" s="650" t="s">
        <v>16</v>
      </c>
      <c r="M601" s="1045"/>
      <c r="N601" s="1046"/>
      <c r="O601" s="1066">
        <f t="shared" si="536"/>
        <v>0</v>
      </c>
      <c r="P601" s="1067">
        <f t="shared" si="537"/>
        <v>0</v>
      </c>
      <c r="Q601" s="1038"/>
      <c r="R601" s="1045">
        <f t="shared" ref="R601" si="642">M601</f>
        <v>0</v>
      </c>
      <c r="S601" s="1046">
        <f t="shared" si="640"/>
        <v>0</v>
      </c>
      <c r="T601" s="651">
        <f t="shared" ref="T601:T612" si="643">IF(ISBLANK(R601),0,ROUND(K601*R601,2))</f>
        <v>0</v>
      </c>
      <c r="U601" s="652">
        <f t="shared" ref="U601:U612" si="644">IF(ISBLANK(R601),0,ROUND(R601*S601,2))</f>
        <v>0</v>
      </c>
      <c r="V601" s="94"/>
      <c r="X601" s="580" t="str">
        <f t="shared" ref="X601:X612" si="645">IF(W601="X","x",IF(W601="xx","x",IF(W601="xy","x",IF(W601="y","x",IF(OR(P601&gt;0,U601&gt;0),"x","")))))</f>
        <v/>
      </c>
      <c r="Y601" s="580" t="str">
        <f t="shared" ref="Y601:Y612" si="646">IF(W601="X","x",IF(W601="y","x",IF(W601="xx","x",IF(U601&gt;0,"x",""))))</f>
        <v/>
      </c>
      <c r="Z601" s="580" t="str">
        <f t="shared" ref="Z601:Z612" si="647">IF(W601="X","x",IF(U601&gt;0,"x",""))</f>
        <v/>
      </c>
    </row>
    <row r="602" spans="1:26" hidden="1" x14ac:dyDescent="0.2">
      <c r="A602" s="97" t="s">
        <v>165</v>
      </c>
      <c r="B602" s="1031" t="s">
        <v>165</v>
      </c>
      <c r="C602" s="978"/>
      <c r="D602" s="916" t="s">
        <v>257</v>
      </c>
      <c r="E602" s="917"/>
      <c r="F602" s="994">
        <v>180</v>
      </c>
      <c r="G602" s="997"/>
      <c r="H602" s="996">
        <f t="shared" ref="H602" si="648">IF(F602&lt;=30,(0.7*F602+1.45)*G602,((0.7*30+1.45)+0.58*(F602-30))*G602)</f>
        <v>0</v>
      </c>
      <c r="I602" s="592"/>
      <c r="J602" s="1030"/>
      <c r="K602" s="593">
        <f t="shared" si="622"/>
        <v>0</v>
      </c>
      <c r="L602" s="594" t="s">
        <v>783</v>
      </c>
      <c r="M602" s="1068"/>
      <c r="N602" s="1069"/>
      <c r="O602" s="1070">
        <f t="shared" si="536"/>
        <v>0</v>
      </c>
      <c r="P602" s="1071">
        <f t="shared" si="537"/>
        <v>0</v>
      </c>
      <c r="Q602" s="1038"/>
      <c r="R602" s="1068"/>
      <c r="S602" s="1069"/>
      <c r="T602" s="93">
        <f t="shared" si="643"/>
        <v>0</v>
      </c>
      <c r="U602" s="95">
        <f t="shared" si="644"/>
        <v>0</v>
      </c>
      <c r="V602" s="94"/>
      <c r="W602" s="579" t="str">
        <f>IF(U601&gt;0,"xx",IF(P601&gt;0,"xy",""))</f>
        <v/>
      </c>
      <c r="X602" s="580" t="str">
        <f t="shared" si="645"/>
        <v/>
      </c>
      <c r="Y602" s="580" t="str">
        <f t="shared" si="646"/>
        <v/>
      </c>
      <c r="Z602" s="580" t="str">
        <f t="shared" si="647"/>
        <v/>
      </c>
    </row>
    <row r="603" spans="1:26" hidden="1" x14ac:dyDescent="0.2">
      <c r="A603" s="97" t="s">
        <v>165</v>
      </c>
      <c r="B603" s="1031" t="s">
        <v>165</v>
      </c>
      <c r="C603" s="978"/>
      <c r="D603" s="916" t="s">
        <v>258</v>
      </c>
      <c r="E603" s="917"/>
      <c r="F603" s="994">
        <v>500</v>
      </c>
      <c r="G603" s="997"/>
      <c r="H603" s="979">
        <f>IF(F603&lt;=30,(0.51*F603+4.28)*G603,((0.51*30+4.28)+0.42*(F603-30))*G603)</f>
        <v>0</v>
      </c>
      <c r="I603" s="592"/>
      <c r="J603" s="1030" t="str">
        <f t="shared" ref="J603" si="649">IF(ISBLANK(I603),"",SUM(H603:I603))</f>
        <v/>
      </c>
      <c r="K603" s="593">
        <f t="shared" si="622"/>
        <v>0</v>
      </c>
      <c r="L603" s="594" t="s">
        <v>783</v>
      </c>
      <c r="M603" s="1068"/>
      <c r="N603" s="1069"/>
      <c r="O603" s="1070">
        <f t="shared" si="536"/>
        <v>0</v>
      </c>
      <c r="P603" s="1071">
        <f t="shared" si="537"/>
        <v>0</v>
      </c>
      <c r="Q603" s="1038"/>
      <c r="R603" s="1068"/>
      <c r="S603" s="1069"/>
      <c r="T603" s="93">
        <f t="shared" si="643"/>
        <v>0</v>
      </c>
      <c r="U603" s="95">
        <f t="shared" si="644"/>
        <v>0</v>
      </c>
      <c r="V603" s="94"/>
      <c r="W603" s="579" t="str">
        <f>IF(U601&gt;0,"xx",IF(P601&gt;0,"xy",""))</f>
        <v/>
      </c>
      <c r="X603" s="580" t="str">
        <f t="shared" si="645"/>
        <v/>
      </c>
      <c r="Y603" s="580" t="str">
        <f t="shared" si="646"/>
        <v/>
      </c>
      <c r="Z603" s="580" t="str">
        <f t="shared" si="647"/>
        <v/>
      </c>
    </row>
    <row r="604" spans="1:26" hidden="1" x14ac:dyDescent="0.2">
      <c r="A604" s="97" t="s">
        <v>165</v>
      </c>
      <c r="B604" s="1031" t="s">
        <v>165</v>
      </c>
      <c r="C604" s="978"/>
      <c r="D604" s="916" t="s">
        <v>271</v>
      </c>
      <c r="E604" s="917"/>
      <c r="F604" s="994">
        <v>0.2</v>
      </c>
      <c r="G604" s="997">
        <v>2.09</v>
      </c>
      <c r="H604" s="979">
        <f>IF(F604=0,0,IF(F604&lt;=30,(0.7*F604+1.45)*G604,((0.7*30+1.45)+0.58*(F604-30))*G604))</f>
        <v>3.3230999999999993</v>
      </c>
      <c r="I604" s="592"/>
      <c r="J604" s="1030"/>
      <c r="K604" s="593">
        <f t="shared" si="622"/>
        <v>0</v>
      </c>
      <c r="L604" s="594" t="s">
        <v>783</v>
      </c>
      <c r="M604" s="1068"/>
      <c r="N604" s="1069"/>
      <c r="O604" s="1070">
        <f t="shared" si="536"/>
        <v>0</v>
      </c>
      <c r="P604" s="1071">
        <f t="shared" si="537"/>
        <v>0</v>
      </c>
      <c r="Q604" s="1038"/>
      <c r="R604" s="1068"/>
      <c r="S604" s="1069"/>
      <c r="T604" s="93">
        <f t="shared" si="643"/>
        <v>0</v>
      </c>
      <c r="U604" s="95">
        <f t="shared" si="644"/>
        <v>0</v>
      </c>
      <c r="V604" s="94"/>
      <c r="W604" s="579" t="str">
        <f>IF(U601&gt;0,"xx",IF(P601&gt;0,"xy",""))</f>
        <v/>
      </c>
      <c r="X604" s="580" t="str">
        <f t="shared" si="645"/>
        <v/>
      </c>
      <c r="Y604" s="580" t="str">
        <f t="shared" si="646"/>
        <v/>
      </c>
      <c r="Z604" s="580" t="str">
        <f t="shared" si="647"/>
        <v/>
      </c>
    </row>
    <row r="605" spans="1:26" hidden="1" x14ac:dyDescent="0.2">
      <c r="A605" s="97" t="s">
        <v>165</v>
      </c>
      <c r="B605" s="1031" t="s">
        <v>165</v>
      </c>
      <c r="C605" s="978"/>
      <c r="D605" s="916" t="s">
        <v>272</v>
      </c>
      <c r="E605" s="917"/>
      <c r="F605" s="994">
        <v>20</v>
      </c>
      <c r="G605" s="997">
        <f>SUM(G601:G604)</f>
        <v>2.1999999999999997</v>
      </c>
      <c r="H605" s="979">
        <f>IF(F605&lt;=30,(0.7*F605+2.91)*G605,((0.7*30+2.91)+0.58*(F605-30))*G605)</f>
        <v>37.201999999999998</v>
      </c>
      <c r="I605" s="592"/>
      <c r="J605" s="1030"/>
      <c r="K605" s="593">
        <f t="shared" si="622"/>
        <v>0</v>
      </c>
      <c r="L605" s="594" t="s">
        <v>783</v>
      </c>
      <c r="M605" s="1068"/>
      <c r="N605" s="1077"/>
      <c r="O605" s="1070">
        <f t="shared" si="536"/>
        <v>0</v>
      </c>
      <c r="P605" s="1071">
        <f t="shared" si="537"/>
        <v>0</v>
      </c>
      <c r="Q605" s="1038"/>
      <c r="R605" s="1068"/>
      <c r="S605" s="1069"/>
      <c r="T605" s="93">
        <f t="shared" si="643"/>
        <v>0</v>
      </c>
      <c r="U605" s="95">
        <f t="shared" si="644"/>
        <v>0</v>
      </c>
      <c r="V605" s="94"/>
      <c r="W605" s="579" t="str">
        <f>IF(U601&gt;0,"xx",IF(P601&gt;0,"xy",""))</f>
        <v/>
      </c>
      <c r="X605" s="580" t="str">
        <f t="shared" si="645"/>
        <v/>
      </c>
      <c r="Y605" s="580" t="str">
        <f t="shared" si="646"/>
        <v/>
      </c>
      <c r="Z605" s="580" t="str">
        <f t="shared" si="647"/>
        <v/>
      </c>
    </row>
    <row r="606" spans="1:26" ht="13.5" hidden="1" thickBot="1" x14ac:dyDescent="0.25">
      <c r="A606" s="1008">
        <v>589320</v>
      </c>
      <c r="B606" s="1004" t="s">
        <v>2119</v>
      </c>
      <c r="C606" s="1048" t="s">
        <v>241</v>
      </c>
      <c r="D606" s="914" t="s">
        <v>992</v>
      </c>
      <c r="E606" s="919"/>
      <c r="F606" s="998">
        <v>500</v>
      </c>
      <c r="G606" s="999">
        <v>1</v>
      </c>
      <c r="H606" s="1000">
        <f>(0.52*F606+25.75)*G606</f>
        <v>285.75</v>
      </c>
      <c r="I606" s="654">
        <f>LIGANTES!$M$23</f>
        <v>3617.13</v>
      </c>
      <c r="J606" s="1051">
        <f>IF(ISBLANK(I606),"",I606*(1+$F$9)/(1+$F$10))+H606</f>
        <v>3803.9148952427904</v>
      </c>
      <c r="K606" s="655">
        <f t="shared" si="622"/>
        <v>4629.74</v>
      </c>
      <c r="L606" s="656" t="s">
        <v>20</v>
      </c>
      <c r="M606" s="1052">
        <f>ROUND(M601*G601,2)</f>
        <v>0</v>
      </c>
      <c r="N606" s="1072"/>
      <c r="O606" s="1054">
        <f t="shared" si="536"/>
        <v>0</v>
      </c>
      <c r="P606" s="1055">
        <f t="shared" si="537"/>
        <v>0</v>
      </c>
      <c r="Q606" s="1038"/>
      <c r="R606" s="1056">
        <f>ROUND(R601*G601,2)</f>
        <v>0</v>
      </c>
      <c r="S606" s="1076">
        <f t="shared" ref="S606:S607" si="650">N606</f>
        <v>0</v>
      </c>
      <c r="T606" s="657">
        <f t="shared" si="643"/>
        <v>0</v>
      </c>
      <c r="U606" s="658">
        <f t="shared" si="644"/>
        <v>0</v>
      </c>
      <c r="V606" s="94"/>
      <c r="W606" s="579" t="str">
        <f>IF(U601&gt;0,"xx",IF(P601&gt;0,"xy",""))</f>
        <v/>
      </c>
      <c r="X606" s="580" t="str">
        <f t="shared" si="645"/>
        <v/>
      </c>
      <c r="Y606" s="580" t="str">
        <f t="shared" si="646"/>
        <v/>
      </c>
      <c r="Z606" s="580" t="str">
        <f t="shared" si="647"/>
        <v/>
      </c>
    </row>
    <row r="607" spans="1:26" hidden="1" x14ac:dyDescent="0.2">
      <c r="A607" s="1008">
        <v>534300</v>
      </c>
      <c r="B607" s="1064" t="s">
        <v>2040</v>
      </c>
      <c r="C607" s="1065" t="s">
        <v>212</v>
      </c>
      <c r="D607" s="327" t="s">
        <v>1897</v>
      </c>
      <c r="E607" s="915"/>
      <c r="F607" s="991" t="s">
        <v>852</v>
      </c>
      <c r="G607" s="992">
        <v>0.11</v>
      </c>
      <c r="H607" s="993">
        <f>SUM(H608:H611)</f>
        <v>40.525099999999995</v>
      </c>
      <c r="I607" s="648">
        <v>109.09</v>
      </c>
      <c r="J607" s="1041">
        <f t="shared" ref="J607" si="651">IF(ISBLANK(I607),"",SUM(H607:I607))</f>
        <v>149.61509999999998</v>
      </c>
      <c r="K607" s="649">
        <f t="shared" si="622"/>
        <v>182.1</v>
      </c>
      <c r="L607" s="650" t="s">
        <v>16</v>
      </c>
      <c r="M607" s="1045"/>
      <c r="N607" s="1046"/>
      <c r="O607" s="1066">
        <f t="shared" si="536"/>
        <v>0</v>
      </c>
      <c r="P607" s="1067">
        <f t="shared" si="537"/>
        <v>0</v>
      </c>
      <c r="Q607" s="1038"/>
      <c r="R607" s="1045">
        <f t="shared" ref="R607" si="652">M607</f>
        <v>0</v>
      </c>
      <c r="S607" s="1046">
        <f t="shared" si="650"/>
        <v>0</v>
      </c>
      <c r="T607" s="651">
        <f t="shared" si="643"/>
        <v>0</v>
      </c>
      <c r="U607" s="652">
        <f t="shared" si="644"/>
        <v>0</v>
      </c>
      <c r="V607" s="94"/>
      <c r="X607" s="580" t="str">
        <f t="shared" si="645"/>
        <v/>
      </c>
      <c r="Y607" s="580" t="str">
        <f t="shared" si="646"/>
        <v/>
      </c>
      <c r="Z607" s="580" t="str">
        <f t="shared" si="647"/>
        <v/>
      </c>
    </row>
    <row r="608" spans="1:26" hidden="1" x14ac:dyDescent="0.2">
      <c r="A608" s="97" t="s">
        <v>165</v>
      </c>
      <c r="B608" s="1031" t="s">
        <v>165</v>
      </c>
      <c r="C608" s="978"/>
      <c r="D608" s="916" t="s">
        <v>257</v>
      </c>
      <c r="E608" s="917"/>
      <c r="F608" s="994">
        <v>180</v>
      </c>
      <c r="G608" s="997"/>
      <c r="H608" s="996">
        <f t="shared" ref="H608" si="653">IF(F608&lt;=30,(0.7*F608+1.45)*G608,((0.7*30+1.45)+0.58*(F608-30))*G608)</f>
        <v>0</v>
      </c>
      <c r="I608" s="592"/>
      <c r="J608" s="1030"/>
      <c r="K608" s="593">
        <f t="shared" si="622"/>
        <v>0</v>
      </c>
      <c r="L608" s="594" t="s">
        <v>783</v>
      </c>
      <c r="M608" s="1068"/>
      <c r="N608" s="1069"/>
      <c r="O608" s="1070">
        <f t="shared" si="536"/>
        <v>0</v>
      </c>
      <c r="P608" s="1071">
        <f t="shared" si="537"/>
        <v>0</v>
      </c>
      <c r="Q608" s="1038"/>
      <c r="R608" s="1068"/>
      <c r="S608" s="1069"/>
      <c r="T608" s="93">
        <f t="shared" si="643"/>
        <v>0</v>
      </c>
      <c r="U608" s="95">
        <f t="shared" si="644"/>
        <v>0</v>
      </c>
      <c r="V608" s="94"/>
      <c r="W608" s="579" t="str">
        <f>IF(U607&gt;0,"xx",IF(P607&gt;0,"xy",""))</f>
        <v/>
      </c>
      <c r="X608" s="580" t="str">
        <f t="shared" si="645"/>
        <v/>
      </c>
      <c r="Y608" s="580" t="str">
        <f t="shared" si="646"/>
        <v/>
      </c>
      <c r="Z608" s="580" t="str">
        <f t="shared" si="647"/>
        <v/>
      </c>
    </row>
    <row r="609" spans="1:26" hidden="1" x14ac:dyDescent="0.2">
      <c r="A609" s="97" t="s">
        <v>165</v>
      </c>
      <c r="B609" s="1031" t="s">
        <v>165</v>
      </c>
      <c r="C609" s="978"/>
      <c r="D609" s="916" t="s">
        <v>258</v>
      </c>
      <c r="E609" s="917"/>
      <c r="F609" s="994">
        <v>500</v>
      </c>
      <c r="G609" s="997"/>
      <c r="H609" s="979">
        <f>IF(F609&lt;=30,(0.51*F609+4.28)*G609,((0.51*30+4.28)+0.42*(F609-30))*G609)</f>
        <v>0</v>
      </c>
      <c r="I609" s="592"/>
      <c r="J609" s="1030" t="str">
        <f t="shared" ref="J609" si="654">IF(ISBLANK(I609),"",SUM(H609:I609))</f>
        <v/>
      </c>
      <c r="K609" s="593">
        <f t="shared" si="622"/>
        <v>0</v>
      </c>
      <c r="L609" s="594" t="s">
        <v>783</v>
      </c>
      <c r="M609" s="1068"/>
      <c r="N609" s="1069"/>
      <c r="O609" s="1070">
        <f t="shared" si="536"/>
        <v>0</v>
      </c>
      <c r="P609" s="1071">
        <f t="shared" si="537"/>
        <v>0</v>
      </c>
      <c r="Q609" s="1038"/>
      <c r="R609" s="1068"/>
      <c r="S609" s="1069"/>
      <c r="T609" s="93">
        <f t="shared" si="643"/>
        <v>0</v>
      </c>
      <c r="U609" s="95">
        <f t="shared" si="644"/>
        <v>0</v>
      </c>
      <c r="V609" s="94"/>
      <c r="W609" s="579" t="str">
        <f>IF(U607&gt;0,"xx",IF(P607&gt;0,"xy",""))</f>
        <v/>
      </c>
      <c r="X609" s="580" t="str">
        <f t="shared" si="645"/>
        <v/>
      </c>
      <c r="Y609" s="580" t="str">
        <f t="shared" si="646"/>
        <v/>
      </c>
      <c r="Z609" s="580" t="str">
        <f t="shared" si="647"/>
        <v/>
      </c>
    </row>
    <row r="610" spans="1:26" hidden="1" x14ac:dyDescent="0.2">
      <c r="A610" s="97" t="s">
        <v>165</v>
      </c>
      <c r="B610" s="1031" t="s">
        <v>165</v>
      </c>
      <c r="C610" s="978"/>
      <c r="D610" s="916" t="s">
        <v>271</v>
      </c>
      <c r="E610" s="917"/>
      <c r="F610" s="994">
        <v>0.2</v>
      </c>
      <c r="G610" s="997">
        <v>2.09</v>
      </c>
      <c r="H610" s="979">
        <f>IF(F610=0,0,IF(F610&lt;=30,(0.7*F610+1.45)*G610,((0.7*30+1.45)+0.58*(F610-30))*G610))</f>
        <v>3.3230999999999993</v>
      </c>
      <c r="I610" s="592"/>
      <c r="J610" s="1030"/>
      <c r="K610" s="593">
        <f t="shared" si="622"/>
        <v>0</v>
      </c>
      <c r="L610" s="594" t="s">
        <v>783</v>
      </c>
      <c r="M610" s="1068"/>
      <c r="N610" s="1069"/>
      <c r="O610" s="1070">
        <f t="shared" si="536"/>
        <v>0</v>
      </c>
      <c r="P610" s="1071">
        <f t="shared" si="537"/>
        <v>0</v>
      </c>
      <c r="Q610" s="1038"/>
      <c r="R610" s="1068"/>
      <c r="S610" s="1069"/>
      <c r="T610" s="93">
        <f t="shared" si="643"/>
        <v>0</v>
      </c>
      <c r="U610" s="95">
        <f t="shared" si="644"/>
        <v>0</v>
      </c>
      <c r="V610" s="94"/>
      <c r="W610" s="579" t="str">
        <f>IF(U607&gt;0,"xx",IF(P607&gt;0,"xy",""))</f>
        <v/>
      </c>
      <c r="X610" s="580" t="str">
        <f t="shared" si="645"/>
        <v/>
      </c>
      <c r="Y610" s="580" t="str">
        <f t="shared" si="646"/>
        <v/>
      </c>
      <c r="Z610" s="580" t="str">
        <f t="shared" si="647"/>
        <v/>
      </c>
    </row>
    <row r="611" spans="1:26" hidden="1" x14ac:dyDescent="0.2">
      <c r="A611" s="97" t="s">
        <v>165</v>
      </c>
      <c r="B611" s="1031" t="s">
        <v>165</v>
      </c>
      <c r="C611" s="978"/>
      <c r="D611" s="916" t="s">
        <v>272</v>
      </c>
      <c r="E611" s="917"/>
      <c r="F611" s="994">
        <v>20</v>
      </c>
      <c r="G611" s="997">
        <f>SUM(G607:G610)</f>
        <v>2.1999999999999997</v>
      </c>
      <c r="H611" s="979">
        <f>IF(F611&lt;=30,(0.7*F611+2.91)*G611,((0.7*30+2.91)+0.58*(F611-30))*G611)</f>
        <v>37.201999999999998</v>
      </c>
      <c r="I611" s="592"/>
      <c r="J611" s="1030"/>
      <c r="K611" s="593">
        <f t="shared" si="622"/>
        <v>0</v>
      </c>
      <c r="L611" s="594" t="s">
        <v>783</v>
      </c>
      <c r="M611" s="1068"/>
      <c r="N611" s="1077"/>
      <c r="O611" s="1070">
        <f t="shared" si="536"/>
        <v>0</v>
      </c>
      <c r="P611" s="1071">
        <f t="shared" si="537"/>
        <v>0</v>
      </c>
      <c r="Q611" s="1038"/>
      <c r="R611" s="1068"/>
      <c r="S611" s="1069"/>
      <c r="T611" s="93">
        <f t="shared" si="643"/>
        <v>0</v>
      </c>
      <c r="U611" s="95">
        <f t="shared" si="644"/>
        <v>0</v>
      </c>
      <c r="V611" s="94"/>
      <c r="W611" s="579" t="str">
        <f>IF(U607&gt;0,"xx",IF(P607&gt;0,"xy",""))</f>
        <v/>
      </c>
      <c r="X611" s="580" t="str">
        <f t="shared" si="645"/>
        <v/>
      </c>
      <c r="Y611" s="580" t="str">
        <f t="shared" si="646"/>
        <v/>
      </c>
      <c r="Z611" s="580" t="str">
        <f t="shared" si="647"/>
        <v/>
      </c>
    </row>
    <row r="612" spans="1:26" ht="13.5" hidden="1" thickBot="1" x14ac:dyDescent="0.25">
      <c r="A612" s="1008">
        <v>589320</v>
      </c>
      <c r="B612" s="1004" t="s">
        <v>2120</v>
      </c>
      <c r="C612" s="1048" t="s">
        <v>241</v>
      </c>
      <c r="D612" s="914" t="s">
        <v>992</v>
      </c>
      <c r="E612" s="919"/>
      <c r="F612" s="998">
        <v>500</v>
      </c>
      <c r="G612" s="999">
        <v>1</v>
      </c>
      <c r="H612" s="1000">
        <f>(0.52*F612+25.75)*G612</f>
        <v>285.75</v>
      </c>
      <c r="I612" s="654">
        <f>LIGANTES!$M$23</f>
        <v>3617.13</v>
      </c>
      <c r="J612" s="1051">
        <f>IF(ISBLANK(I612),"",I612*(1+$F$9)/(1+$F$10))+H612</f>
        <v>3803.9148952427904</v>
      </c>
      <c r="K612" s="655">
        <f t="shared" si="622"/>
        <v>4629.74</v>
      </c>
      <c r="L612" s="656" t="s">
        <v>20</v>
      </c>
      <c r="M612" s="1052">
        <f>ROUND(M607*G607,2)</f>
        <v>0</v>
      </c>
      <c r="N612" s="1072"/>
      <c r="O612" s="1054">
        <f t="shared" si="536"/>
        <v>0</v>
      </c>
      <c r="P612" s="1055">
        <f t="shared" si="537"/>
        <v>0</v>
      </c>
      <c r="Q612" s="1038"/>
      <c r="R612" s="1056">
        <f>ROUND(R607*G607,2)</f>
        <v>0</v>
      </c>
      <c r="S612" s="1076">
        <f t="shared" ref="S612:S613" si="655">N612</f>
        <v>0</v>
      </c>
      <c r="T612" s="657">
        <f t="shared" si="643"/>
        <v>0</v>
      </c>
      <c r="U612" s="658">
        <f t="shared" si="644"/>
        <v>0</v>
      </c>
      <c r="V612" s="94"/>
      <c r="W612" s="579" t="str">
        <f>IF(U607&gt;0,"xx",IF(P607&gt;0,"xy",""))</f>
        <v/>
      </c>
      <c r="X612" s="580" t="str">
        <f t="shared" si="645"/>
        <v/>
      </c>
      <c r="Y612" s="580" t="str">
        <f t="shared" si="646"/>
        <v/>
      </c>
      <c r="Z612" s="580" t="str">
        <f t="shared" si="647"/>
        <v/>
      </c>
    </row>
    <row r="613" spans="1:26" hidden="1" x14ac:dyDescent="0.2">
      <c r="A613" s="1008">
        <v>534300</v>
      </c>
      <c r="B613" s="1064" t="s">
        <v>2041</v>
      </c>
      <c r="C613" s="1065" t="s">
        <v>212</v>
      </c>
      <c r="D613" s="327" t="s">
        <v>861</v>
      </c>
      <c r="E613" s="915"/>
      <c r="F613" s="991" t="s">
        <v>852</v>
      </c>
      <c r="G613" s="992">
        <v>0.14000000000000001</v>
      </c>
      <c r="H613" s="993">
        <f>SUM(H614:H617)</f>
        <v>71.449600000000004</v>
      </c>
      <c r="I613" s="648">
        <v>109.09</v>
      </c>
      <c r="J613" s="1041">
        <f t="shared" ref="J613" si="656">IF(ISBLANK(I613),"",SUM(H613:I613))</f>
        <v>180.53960000000001</v>
      </c>
      <c r="K613" s="649">
        <f t="shared" si="622"/>
        <v>219.73</v>
      </c>
      <c r="L613" s="650" t="s">
        <v>16</v>
      </c>
      <c r="M613" s="1045"/>
      <c r="N613" s="1046"/>
      <c r="O613" s="1066">
        <f t="shared" si="536"/>
        <v>0</v>
      </c>
      <c r="P613" s="1067">
        <f t="shared" si="537"/>
        <v>0</v>
      </c>
      <c r="Q613" s="1038"/>
      <c r="R613" s="1045">
        <f t="shared" ref="R613" si="657">M613</f>
        <v>0</v>
      </c>
      <c r="S613" s="1046">
        <f t="shared" si="655"/>
        <v>0</v>
      </c>
      <c r="T613" s="651">
        <f t="shared" si="540"/>
        <v>0</v>
      </c>
      <c r="U613" s="652">
        <f t="shared" si="594"/>
        <v>0</v>
      </c>
      <c r="V613" s="94"/>
      <c r="X613" s="580" t="str">
        <f t="shared" si="533"/>
        <v/>
      </c>
      <c r="Y613" s="580" t="str">
        <f t="shared" si="600"/>
        <v/>
      </c>
      <c r="Z613" s="580" t="str">
        <f t="shared" si="596"/>
        <v/>
      </c>
    </row>
    <row r="614" spans="1:26" hidden="1" x14ac:dyDescent="0.2">
      <c r="A614" s="97" t="s">
        <v>165</v>
      </c>
      <c r="B614" s="1031" t="s">
        <v>165</v>
      </c>
      <c r="C614" s="978"/>
      <c r="D614" s="916" t="s">
        <v>257</v>
      </c>
      <c r="E614" s="917"/>
      <c r="F614" s="994">
        <v>180</v>
      </c>
      <c r="G614" s="997">
        <v>0.27</v>
      </c>
      <c r="H614" s="996">
        <f t="shared" ref="H614" si="658">IF(F614&lt;=30,(0.7*F614+1.45)*G614,((0.7*30+1.45)+0.58*(F614-30))*G614)</f>
        <v>29.551500000000004</v>
      </c>
      <c r="I614" s="592"/>
      <c r="J614" s="1030"/>
      <c r="K614" s="593">
        <f t="shared" si="622"/>
        <v>0</v>
      </c>
      <c r="L614" s="594" t="s">
        <v>783</v>
      </c>
      <c r="M614" s="1068"/>
      <c r="N614" s="1069"/>
      <c r="O614" s="1070">
        <f t="shared" si="536"/>
        <v>0</v>
      </c>
      <c r="P614" s="1071">
        <f t="shared" si="537"/>
        <v>0</v>
      </c>
      <c r="Q614" s="1038"/>
      <c r="R614" s="1068"/>
      <c r="S614" s="1069"/>
      <c r="T614" s="93">
        <f t="shared" si="540"/>
        <v>0</v>
      </c>
      <c r="U614" s="95">
        <f t="shared" si="594"/>
        <v>0</v>
      </c>
      <c r="V614" s="94"/>
      <c r="W614" s="579" t="str">
        <f>IF(U613&gt;0,"xx",IF(P613&gt;0,"xy",""))</f>
        <v/>
      </c>
      <c r="X614" s="580" t="str">
        <f t="shared" si="533"/>
        <v/>
      </c>
      <c r="Y614" s="580" t="str">
        <f t="shared" si="600"/>
        <v/>
      </c>
      <c r="Z614" s="580" t="str">
        <f t="shared" si="596"/>
        <v/>
      </c>
    </row>
    <row r="615" spans="1:26" hidden="1" x14ac:dyDescent="0.2">
      <c r="A615" s="97" t="s">
        <v>165</v>
      </c>
      <c r="B615" s="1031" t="s">
        <v>165</v>
      </c>
      <c r="C615" s="978"/>
      <c r="D615" s="916" t="s">
        <v>258</v>
      </c>
      <c r="E615" s="917"/>
      <c r="F615" s="994">
        <v>500</v>
      </c>
      <c r="G615" s="997"/>
      <c r="H615" s="979">
        <f>IF(F615&lt;=30,(0.51*F615+4.28)*G615,((0.51*30+4.28)+0.42*(F615-30))*G615)</f>
        <v>0</v>
      </c>
      <c r="I615" s="592"/>
      <c r="J615" s="1030" t="str">
        <f t="shared" ref="J615" si="659">IF(ISBLANK(I615),"",SUM(H615:I615))</f>
        <v/>
      </c>
      <c r="K615" s="593">
        <f t="shared" si="622"/>
        <v>0</v>
      </c>
      <c r="L615" s="594" t="s">
        <v>783</v>
      </c>
      <c r="M615" s="1068"/>
      <c r="N615" s="1069"/>
      <c r="O615" s="1070">
        <f t="shared" si="536"/>
        <v>0</v>
      </c>
      <c r="P615" s="1071">
        <f t="shared" si="537"/>
        <v>0</v>
      </c>
      <c r="Q615" s="1038"/>
      <c r="R615" s="1068"/>
      <c r="S615" s="1069"/>
      <c r="T615" s="93">
        <f t="shared" ref="T615:T616" si="660">IF(ISBLANK(R615),0,ROUND(K615*R615,2))</f>
        <v>0</v>
      </c>
      <c r="U615" s="95">
        <f t="shared" ref="U615:U616" si="661">IF(ISBLANK(R615),0,ROUND(R615*S615,2))</f>
        <v>0</v>
      </c>
      <c r="V615" s="94"/>
      <c r="W615" s="579" t="str">
        <f>IF(U613&gt;0,"xx",IF(P613&gt;0,"xy",""))</f>
        <v/>
      </c>
      <c r="X615" s="580" t="str">
        <f t="shared" ref="X615:X616" si="662">IF(W615="X","x",IF(W615="xx","x",IF(W615="xy","x",IF(W615="y","x",IF(OR(P615&gt;0,U615&gt;0),"x","")))))</f>
        <v/>
      </c>
      <c r="Y615" s="580" t="str">
        <f t="shared" ref="Y615:Y616" si="663">IF(W615="X","x",IF(W615="y","x",IF(W615="xx","x",IF(U615&gt;0,"x",""))))</f>
        <v/>
      </c>
      <c r="Z615" s="580" t="str">
        <f t="shared" ref="Z615:Z616" si="664">IF(W615="X","x",IF(U615&gt;0,"x",""))</f>
        <v/>
      </c>
    </row>
    <row r="616" spans="1:26" hidden="1" x14ac:dyDescent="0.2">
      <c r="A616" s="97" t="s">
        <v>165</v>
      </c>
      <c r="B616" s="1031" t="s">
        <v>165</v>
      </c>
      <c r="C616" s="978"/>
      <c r="D616" s="916" t="s">
        <v>271</v>
      </c>
      <c r="E616" s="917"/>
      <c r="F616" s="994">
        <v>0.2</v>
      </c>
      <c r="G616" s="997">
        <v>1.89</v>
      </c>
      <c r="H616" s="979">
        <f>IF(F616=0,0,IF(F616&lt;=30,(0.7*F616+1.45)*G616,((0.7*30+1.45)+0.58*(F616-30))*G616))</f>
        <v>3.0050999999999997</v>
      </c>
      <c r="I616" s="592"/>
      <c r="J616" s="1030"/>
      <c r="K616" s="593">
        <f t="shared" si="622"/>
        <v>0</v>
      </c>
      <c r="L616" s="594" t="s">
        <v>783</v>
      </c>
      <c r="M616" s="1068"/>
      <c r="N616" s="1069"/>
      <c r="O616" s="1070">
        <f t="shared" si="536"/>
        <v>0</v>
      </c>
      <c r="P616" s="1071">
        <f t="shared" si="537"/>
        <v>0</v>
      </c>
      <c r="Q616" s="1038"/>
      <c r="R616" s="1068"/>
      <c r="S616" s="1069"/>
      <c r="T616" s="93">
        <f t="shared" si="660"/>
        <v>0</v>
      </c>
      <c r="U616" s="95">
        <f t="shared" si="661"/>
        <v>0</v>
      </c>
      <c r="V616" s="94"/>
      <c r="W616" s="579" t="str">
        <f>IF(U613&gt;0,"xx",IF(P613&gt;0,"xy",""))</f>
        <v/>
      </c>
      <c r="X616" s="580" t="str">
        <f t="shared" si="662"/>
        <v/>
      </c>
      <c r="Y616" s="580" t="str">
        <f t="shared" si="663"/>
        <v/>
      </c>
      <c r="Z616" s="580" t="str">
        <f t="shared" si="664"/>
        <v/>
      </c>
    </row>
    <row r="617" spans="1:26" hidden="1" x14ac:dyDescent="0.2">
      <c r="A617" s="97" t="s">
        <v>165</v>
      </c>
      <c r="B617" s="1031" t="s">
        <v>165</v>
      </c>
      <c r="C617" s="978"/>
      <c r="D617" s="916" t="s">
        <v>272</v>
      </c>
      <c r="E617" s="917"/>
      <c r="F617" s="994">
        <v>20</v>
      </c>
      <c r="G617" s="997">
        <f>SUM(G613:G616)</f>
        <v>2.2999999999999998</v>
      </c>
      <c r="H617" s="979">
        <f>IF(F617&lt;=30,(0.7*F617+2.91)*G617,((0.7*30+2.91)+0.58*(F617-30))*G617)</f>
        <v>38.893000000000001</v>
      </c>
      <c r="I617" s="592"/>
      <c r="J617" s="1030"/>
      <c r="K617" s="593">
        <f t="shared" si="622"/>
        <v>0</v>
      </c>
      <c r="L617" s="594" t="s">
        <v>783</v>
      </c>
      <c r="M617" s="1068"/>
      <c r="N617" s="1077"/>
      <c r="O617" s="1070">
        <f t="shared" si="536"/>
        <v>0</v>
      </c>
      <c r="P617" s="1071">
        <f t="shared" si="537"/>
        <v>0</v>
      </c>
      <c r="Q617" s="1038"/>
      <c r="R617" s="1068"/>
      <c r="S617" s="1069"/>
      <c r="T617" s="93">
        <f t="shared" si="540"/>
        <v>0</v>
      </c>
      <c r="U617" s="95">
        <f t="shared" si="594"/>
        <v>0</v>
      </c>
      <c r="V617" s="94"/>
      <c r="W617" s="579" t="str">
        <f>IF(U613&gt;0,"xx",IF(P613&gt;0,"xy",""))</f>
        <v/>
      </c>
      <c r="X617" s="580" t="str">
        <f t="shared" si="533"/>
        <v/>
      </c>
      <c r="Y617" s="580" t="str">
        <f t="shared" si="600"/>
        <v/>
      </c>
      <c r="Z617" s="580" t="str">
        <f t="shared" si="596"/>
        <v/>
      </c>
    </row>
    <row r="618" spans="1:26" ht="13.5" hidden="1" thickBot="1" x14ac:dyDescent="0.25">
      <c r="A618" s="1008">
        <v>589320</v>
      </c>
      <c r="B618" s="1004" t="s">
        <v>2121</v>
      </c>
      <c r="C618" s="1048" t="s">
        <v>241</v>
      </c>
      <c r="D618" s="914" t="s">
        <v>992</v>
      </c>
      <c r="E618" s="919"/>
      <c r="F618" s="998">
        <v>500</v>
      </c>
      <c r="G618" s="999">
        <v>1</v>
      </c>
      <c r="H618" s="1000">
        <f>(0.52*F618+25.75)*G618</f>
        <v>285.75</v>
      </c>
      <c r="I618" s="654">
        <f>LIGANTES!$M$23</f>
        <v>3617.13</v>
      </c>
      <c r="J618" s="1051">
        <f>IF(ISBLANK(I618),"",I618*(1+$F$9)/(1+$F$10))+H618</f>
        <v>3803.9148952427904</v>
      </c>
      <c r="K618" s="655">
        <f t="shared" si="622"/>
        <v>4629.74</v>
      </c>
      <c r="L618" s="656" t="s">
        <v>20</v>
      </c>
      <c r="M618" s="1052">
        <f>ROUND(M613*G613,2)</f>
        <v>0</v>
      </c>
      <c r="N618" s="1072"/>
      <c r="O618" s="1054">
        <f t="shared" si="536"/>
        <v>0</v>
      </c>
      <c r="P618" s="1055">
        <f t="shared" si="537"/>
        <v>0</v>
      </c>
      <c r="Q618" s="1038"/>
      <c r="R618" s="1056">
        <f>ROUND(R613*G613,2)</f>
        <v>0</v>
      </c>
      <c r="S618" s="1076">
        <f t="shared" ref="S618:S619" si="665">N618</f>
        <v>0</v>
      </c>
      <c r="T618" s="657">
        <f t="shared" si="540"/>
        <v>0</v>
      </c>
      <c r="U618" s="658">
        <f t="shared" si="594"/>
        <v>0</v>
      </c>
      <c r="V618" s="94"/>
      <c r="W618" s="579" t="str">
        <f>IF(U613&gt;0,"xx",IF(P613&gt;0,"xy",""))</f>
        <v/>
      </c>
      <c r="X618" s="580" t="str">
        <f t="shared" si="533"/>
        <v/>
      </c>
      <c r="Y618" s="580" t="str">
        <f t="shared" si="600"/>
        <v/>
      </c>
      <c r="Z618" s="580" t="str">
        <f t="shared" si="596"/>
        <v/>
      </c>
    </row>
    <row r="619" spans="1:26" hidden="1" x14ac:dyDescent="0.2">
      <c r="A619" s="1008">
        <v>534300</v>
      </c>
      <c r="B619" s="1064" t="s">
        <v>2127</v>
      </c>
      <c r="C619" s="1065" t="s">
        <v>212</v>
      </c>
      <c r="D619" s="327" t="s">
        <v>862</v>
      </c>
      <c r="E619" s="915"/>
      <c r="F619" s="991" t="s">
        <v>852</v>
      </c>
      <c r="G619" s="992">
        <v>0.14000000000000001</v>
      </c>
      <c r="H619" s="993">
        <f>SUM(H620:H623)</f>
        <v>71.449600000000004</v>
      </c>
      <c r="I619" s="648">
        <v>109.09</v>
      </c>
      <c r="J619" s="1041">
        <f t="shared" ref="J619" si="666">IF(ISBLANK(I619),"",SUM(H619:I619))</f>
        <v>180.53960000000001</v>
      </c>
      <c r="K619" s="649">
        <f t="shared" si="622"/>
        <v>219.73</v>
      </c>
      <c r="L619" s="650" t="s">
        <v>16</v>
      </c>
      <c r="M619" s="1045"/>
      <c r="N619" s="1046"/>
      <c r="O619" s="1066">
        <f t="shared" ref="O619:O624" si="667">IF(ISBLANK(M619),0,ROUND(K619*M619,2))</f>
        <v>0</v>
      </c>
      <c r="P619" s="1067">
        <f t="shared" ref="P619:P624" si="668">IF(ISBLANK(N619),0,ROUND(M619*N619,2))</f>
        <v>0</v>
      </c>
      <c r="Q619" s="1038"/>
      <c r="R619" s="1045">
        <f t="shared" ref="R619" si="669">M619</f>
        <v>0</v>
      </c>
      <c r="S619" s="1046">
        <f t="shared" si="665"/>
        <v>0</v>
      </c>
      <c r="T619" s="651">
        <f t="shared" si="540"/>
        <v>0</v>
      </c>
      <c r="U619" s="652">
        <f t="shared" si="594"/>
        <v>0</v>
      </c>
      <c r="V619" s="94"/>
      <c r="X619" s="580" t="str">
        <f t="shared" si="533"/>
        <v/>
      </c>
      <c r="Y619" s="580" t="str">
        <f t="shared" si="600"/>
        <v/>
      </c>
      <c r="Z619" s="580" t="str">
        <f t="shared" si="596"/>
        <v/>
      </c>
    </row>
    <row r="620" spans="1:26" hidden="1" x14ac:dyDescent="0.2">
      <c r="A620" s="97" t="s">
        <v>165</v>
      </c>
      <c r="B620" s="1031" t="s">
        <v>165</v>
      </c>
      <c r="C620" s="978"/>
      <c r="D620" s="916" t="s">
        <v>257</v>
      </c>
      <c r="E620" s="917"/>
      <c r="F620" s="994">
        <v>180</v>
      </c>
      <c r="G620" s="997">
        <v>0.27</v>
      </c>
      <c r="H620" s="996">
        <f t="shared" ref="H620" si="670">IF(F620&lt;=30,(0.7*F620+1.45)*G620,((0.7*30+1.45)+0.58*(F620-30))*G620)</f>
        <v>29.551500000000004</v>
      </c>
      <c r="I620" s="592"/>
      <c r="J620" s="1030"/>
      <c r="K620" s="593">
        <f t="shared" si="622"/>
        <v>0</v>
      </c>
      <c r="L620" s="594" t="s">
        <v>783</v>
      </c>
      <c r="M620" s="1068"/>
      <c r="N620" s="1069"/>
      <c r="O620" s="1070">
        <f t="shared" si="667"/>
        <v>0</v>
      </c>
      <c r="P620" s="1071">
        <f t="shared" si="668"/>
        <v>0</v>
      </c>
      <c r="Q620" s="1038"/>
      <c r="R620" s="1068"/>
      <c r="S620" s="1069"/>
      <c r="T620" s="93">
        <f t="shared" si="540"/>
        <v>0</v>
      </c>
      <c r="U620" s="95">
        <f t="shared" si="594"/>
        <v>0</v>
      </c>
      <c r="V620" s="94"/>
      <c r="W620" s="579" t="str">
        <f>IF(U619&gt;0,"xx",IF(P619&gt;0,"xy",""))</f>
        <v/>
      </c>
      <c r="X620" s="580" t="str">
        <f t="shared" si="533"/>
        <v/>
      </c>
      <c r="Y620" s="580" t="str">
        <f t="shared" si="600"/>
        <v/>
      </c>
      <c r="Z620" s="580" t="str">
        <f t="shared" si="596"/>
        <v/>
      </c>
    </row>
    <row r="621" spans="1:26" hidden="1" x14ac:dyDescent="0.2">
      <c r="A621" s="97" t="s">
        <v>165</v>
      </c>
      <c r="B621" s="1031" t="s">
        <v>165</v>
      </c>
      <c r="C621" s="978"/>
      <c r="D621" s="916" t="s">
        <v>258</v>
      </c>
      <c r="E621" s="917"/>
      <c r="F621" s="994">
        <v>500</v>
      </c>
      <c r="G621" s="997"/>
      <c r="H621" s="979">
        <f>IF(F621&lt;=30,(0.51*F621+4.28)*G621,((0.51*30+4.28)+0.42*(F621-30))*G621)</f>
        <v>0</v>
      </c>
      <c r="I621" s="592"/>
      <c r="J621" s="1030" t="str">
        <f t="shared" ref="J621" si="671">IF(ISBLANK(I621),"",SUM(H621:I621))</f>
        <v/>
      </c>
      <c r="K621" s="593">
        <f t="shared" si="622"/>
        <v>0</v>
      </c>
      <c r="L621" s="594" t="s">
        <v>783</v>
      </c>
      <c r="M621" s="1068"/>
      <c r="N621" s="1069"/>
      <c r="O621" s="1070">
        <f t="shared" si="667"/>
        <v>0</v>
      </c>
      <c r="P621" s="1071">
        <f t="shared" si="668"/>
        <v>0</v>
      </c>
      <c r="Q621" s="1038"/>
      <c r="R621" s="1068"/>
      <c r="S621" s="1069"/>
      <c r="T621" s="93">
        <f t="shared" ref="T621:T622" si="672">IF(ISBLANK(R621),0,ROUND(K621*R621,2))</f>
        <v>0</v>
      </c>
      <c r="U621" s="95">
        <f t="shared" ref="U621:U622" si="673">IF(ISBLANK(R621),0,ROUND(R621*S621,2))</f>
        <v>0</v>
      </c>
      <c r="V621" s="94"/>
      <c r="W621" s="579" t="str">
        <f>IF(U619&gt;0,"xx",IF(P619&gt;0,"xy",""))</f>
        <v/>
      </c>
      <c r="X621" s="580" t="str">
        <f t="shared" ref="X621:X622" si="674">IF(W621="X","x",IF(W621="xx","x",IF(W621="xy","x",IF(W621="y","x",IF(OR(P621&gt;0,U621&gt;0),"x","")))))</f>
        <v/>
      </c>
      <c r="Y621" s="580" t="str">
        <f t="shared" ref="Y621:Y622" si="675">IF(W621="X","x",IF(W621="y","x",IF(W621="xx","x",IF(U621&gt;0,"x",""))))</f>
        <v/>
      </c>
      <c r="Z621" s="580" t="str">
        <f t="shared" ref="Z621:Z622" si="676">IF(W621="X","x",IF(U621&gt;0,"x",""))</f>
        <v/>
      </c>
    </row>
    <row r="622" spans="1:26" hidden="1" x14ac:dyDescent="0.2">
      <c r="A622" s="97" t="s">
        <v>165</v>
      </c>
      <c r="B622" s="1031" t="s">
        <v>165</v>
      </c>
      <c r="C622" s="978"/>
      <c r="D622" s="916" t="s">
        <v>271</v>
      </c>
      <c r="E622" s="917"/>
      <c r="F622" s="994">
        <v>0.2</v>
      </c>
      <c r="G622" s="997">
        <v>1.89</v>
      </c>
      <c r="H622" s="979">
        <f>IF(F622=0,0,IF(F622&lt;=30,(0.7*F622+1.45)*G622,((0.7*30+1.45)+0.58*(F622-30))*G622))</f>
        <v>3.0050999999999997</v>
      </c>
      <c r="I622" s="592"/>
      <c r="J622" s="1030"/>
      <c r="K622" s="593">
        <f t="shared" si="622"/>
        <v>0</v>
      </c>
      <c r="L622" s="594" t="s">
        <v>783</v>
      </c>
      <c r="M622" s="1068"/>
      <c r="N622" s="1069"/>
      <c r="O622" s="1070">
        <f t="shared" si="667"/>
        <v>0</v>
      </c>
      <c r="P622" s="1071">
        <f t="shared" si="668"/>
        <v>0</v>
      </c>
      <c r="Q622" s="1038"/>
      <c r="R622" s="1068"/>
      <c r="S622" s="1069"/>
      <c r="T622" s="93">
        <f t="shared" si="672"/>
        <v>0</v>
      </c>
      <c r="U622" s="95">
        <f t="shared" si="673"/>
        <v>0</v>
      </c>
      <c r="V622" s="94"/>
      <c r="W622" s="579" t="str">
        <f>IF(U619&gt;0,"xx",IF(P619&gt;0,"xy",""))</f>
        <v/>
      </c>
      <c r="X622" s="580" t="str">
        <f t="shared" si="674"/>
        <v/>
      </c>
      <c r="Y622" s="580" t="str">
        <f t="shared" si="675"/>
        <v/>
      </c>
      <c r="Z622" s="580" t="str">
        <f t="shared" si="676"/>
        <v/>
      </c>
    </row>
    <row r="623" spans="1:26" hidden="1" x14ac:dyDescent="0.2">
      <c r="A623" s="97" t="s">
        <v>165</v>
      </c>
      <c r="B623" s="1031" t="s">
        <v>165</v>
      </c>
      <c r="C623" s="978"/>
      <c r="D623" s="916" t="s">
        <v>272</v>
      </c>
      <c r="E623" s="917"/>
      <c r="F623" s="994">
        <v>20</v>
      </c>
      <c r="G623" s="997">
        <f>SUM(G619:G622)</f>
        <v>2.2999999999999998</v>
      </c>
      <c r="H623" s="979">
        <f>IF(F623&lt;=30,(0.7*F623+2.91)*G623,((0.7*30+2.91)+0.58*(F623-30))*G623)</f>
        <v>38.893000000000001</v>
      </c>
      <c r="I623" s="592"/>
      <c r="J623" s="1030"/>
      <c r="K623" s="593">
        <f t="shared" si="622"/>
        <v>0</v>
      </c>
      <c r="L623" s="594" t="s">
        <v>783</v>
      </c>
      <c r="M623" s="1068"/>
      <c r="N623" s="1077"/>
      <c r="O623" s="1070">
        <f t="shared" si="667"/>
        <v>0</v>
      </c>
      <c r="P623" s="1071">
        <f t="shared" si="668"/>
        <v>0</v>
      </c>
      <c r="Q623" s="1038"/>
      <c r="R623" s="1068"/>
      <c r="S623" s="1069"/>
      <c r="T623" s="93">
        <f t="shared" si="540"/>
        <v>0</v>
      </c>
      <c r="U623" s="95">
        <f t="shared" si="594"/>
        <v>0</v>
      </c>
      <c r="V623" s="94"/>
      <c r="W623" s="579" t="str">
        <f>IF(U619&gt;0,"xx",IF(P619&gt;0,"xy",""))</f>
        <v/>
      </c>
      <c r="X623" s="580" t="str">
        <f t="shared" si="533"/>
        <v/>
      </c>
      <c r="Y623" s="580" t="str">
        <f t="shared" si="600"/>
        <v/>
      </c>
      <c r="Z623" s="580" t="str">
        <f t="shared" si="596"/>
        <v/>
      </c>
    </row>
    <row r="624" spans="1:26" ht="13.5" hidden="1" thickBot="1" x14ac:dyDescent="0.25">
      <c r="A624" s="1008">
        <v>589320</v>
      </c>
      <c r="B624" s="1004" t="s">
        <v>2122</v>
      </c>
      <c r="C624" s="1048" t="s">
        <v>241</v>
      </c>
      <c r="D624" s="914" t="s">
        <v>992</v>
      </c>
      <c r="E624" s="919"/>
      <c r="F624" s="998">
        <v>500</v>
      </c>
      <c r="G624" s="999">
        <v>1</v>
      </c>
      <c r="H624" s="1000">
        <f>(0.52*F624+25.75)*G624</f>
        <v>285.75</v>
      </c>
      <c r="I624" s="654">
        <f>LIGANTES!$M$23</f>
        <v>3617.13</v>
      </c>
      <c r="J624" s="1051">
        <f>IF(ISBLANK(I624),"",I624*(1+$F$9)/(1+$F$10))+H624</f>
        <v>3803.9148952427904</v>
      </c>
      <c r="K624" s="655">
        <f t="shared" si="622"/>
        <v>4629.74</v>
      </c>
      <c r="L624" s="656" t="s">
        <v>20</v>
      </c>
      <c r="M624" s="1052">
        <f>ROUND(M619*G619,2)</f>
        <v>0</v>
      </c>
      <c r="N624" s="1072"/>
      <c r="O624" s="1054">
        <f t="shared" si="667"/>
        <v>0</v>
      </c>
      <c r="P624" s="1055">
        <f t="shared" si="668"/>
        <v>0</v>
      </c>
      <c r="Q624" s="1038"/>
      <c r="R624" s="1056">
        <f>ROUND(R619*G619,2)</f>
        <v>0</v>
      </c>
      <c r="S624" s="1076">
        <f t="shared" ref="S624" si="677">N624</f>
        <v>0</v>
      </c>
      <c r="T624" s="657">
        <f t="shared" si="540"/>
        <v>0</v>
      </c>
      <c r="U624" s="658">
        <f t="shared" si="594"/>
        <v>0</v>
      </c>
      <c r="V624" s="94"/>
      <c r="W624" s="579" t="str">
        <f>IF(U619&gt;0,"xx",IF(P619&gt;0,"xy",""))</f>
        <v/>
      </c>
      <c r="X624" s="580" t="str">
        <f t="shared" si="533"/>
        <v/>
      </c>
      <c r="Y624" s="580" t="str">
        <f t="shared" si="600"/>
        <v/>
      </c>
      <c r="Z624" s="580" t="str">
        <f t="shared" si="596"/>
        <v/>
      </c>
    </row>
    <row r="625" spans="1:26" hidden="1" x14ac:dyDescent="0.2">
      <c r="A625" s="1008">
        <v>534300</v>
      </c>
      <c r="B625" s="1064" t="s">
        <v>2128</v>
      </c>
      <c r="C625" s="1065" t="s">
        <v>212</v>
      </c>
      <c r="D625" s="327" t="s">
        <v>1126</v>
      </c>
      <c r="E625" s="915"/>
      <c r="F625" s="991" t="s">
        <v>852</v>
      </c>
      <c r="G625" s="992">
        <v>0.18240000000000001</v>
      </c>
      <c r="H625" s="993">
        <f>SUM(H626:H629)</f>
        <v>123.92649</v>
      </c>
      <c r="I625" s="648">
        <v>109.09</v>
      </c>
      <c r="J625" s="1041">
        <f t="shared" ref="J625" si="678">IF(ISBLANK(I625),"",SUM(H625:I625))</f>
        <v>233.01649</v>
      </c>
      <c r="K625" s="649">
        <f t="shared" si="622"/>
        <v>283.60000000000002</v>
      </c>
      <c r="L625" s="650" t="s">
        <v>16</v>
      </c>
      <c r="M625" s="1045"/>
      <c r="N625" s="1046"/>
      <c r="O625" s="1066">
        <f t="shared" si="536"/>
        <v>0</v>
      </c>
      <c r="P625" s="1067">
        <f t="shared" si="537"/>
        <v>0</v>
      </c>
      <c r="Q625" s="1038"/>
      <c r="R625" s="1045">
        <f t="shared" ref="R625" si="679">M625</f>
        <v>0</v>
      </c>
      <c r="S625" s="1046">
        <f t="shared" ref="S625" si="680">N625</f>
        <v>0</v>
      </c>
      <c r="T625" s="651">
        <f t="shared" ref="T625:T642" si="681">IF(ISBLANK(R625),0,ROUND(K625*R625,2))</f>
        <v>0</v>
      </c>
      <c r="U625" s="652">
        <f t="shared" ref="U625:U642" si="682">IF(ISBLANK(R625),0,ROUND(R625*S625,2))</f>
        <v>0</v>
      </c>
      <c r="V625" s="94"/>
      <c r="X625" s="580" t="str">
        <f t="shared" ref="X625:X642" si="683">IF(W625="X","x",IF(W625="xx","x",IF(W625="xy","x",IF(W625="y","x",IF(OR(P625&gt;0,U625&gt;0),"x","")))))</f>
        <v/>
      </c>
      <c r="Y625" s="580" t="str">
        <f t="shared" ref="Y625:Y642" si="684">IF(W625="X","x",IF(W625="y","x",IF(W625="xx","x",IF(U625&gt;0,"x",""))))</f>
        <v/>
      </c>
      <c r="Z625" s="580" t="str">
        <f t="shared" ref="Z625:Z642" si="685">IF(W625="X","x",IF(U625&gt;0,"x",""))</f>
        <v/>
      </c>
    </row>
    <row r="626" spans="1:26" hidden="1" x14ac:dyDescent="0.2">
      <c r="A626" s="97" t="s">
        <v>165</v>
      </c>
      <c r="B626" s="1031" t="s">
        <v>165</v>
      </c>
      <c r="C626" s="978"/>
      <c r="D626" s="916" t="s">
        <v>257</v>
      </c>
      <c r="E626" s="917"/>
      <c r="F626" s="994">
        <v>180</v>
      </c>
      <c r="G626" s="997">
        <v>0.56969999999999998</v>
      </c>
      <c r="H626" s="996">
        <f t="shared" ref="H626" si="686">IF(F626&lt;=30,(0.7*F626+1.45)*G626,((0.7*30+1.45)+0.58*(F626-30))*G626)</f>
        <v>62.353664999999999</v>
      </c>
      <c r="I626" s="592"/>
      <c r="J626" s="1030"/>
      <c r="K626" s="593">
        <f t="shared" si="622"/>
        <v>0</v>
      </c>
      <c r="L626" s="594" t="s">
        <v>783</v>
      </c>
      <c r="M626" s="1068"/>
      <c r="N626" s="1069"/>
      <c r="O626" s="1070">
        <f t="shared" si="536"/>
        <v>0</v>
      </c>
      <c r="P626" s="1071">
        <f t="shared" si="537"/>
        <v>0</v>
      </c>
      <c r="Q626" s="1038"/>
      <c r="R626" s="1068"/>
      <c r="S626" s="1069"/>
      <c r="T626" s="93">
        <f t="shared" si="681"/>
        <v>0</v>
      </c>
      <c r="U626" s="95">
        <f t="shared" si="682"/>
        <v>0</v>
      </c>
      <c r="V626" s="94"/>
      <c r="W626" s="579" t="str">
        <f>IF(U625&gt;0,"xx",IF(P625&gt;0,"xy",""))</f>
        <v/>
      </c>
      <c r="X626" s="580" t="str">
        <f t="shared" si="683"/>
        <v/>
      </c>
      <c r="Y626" s="580" t="str">
        <f t="shared" si="684"/>
        <v/>
      </c>
      <c r="Z626" s="580" t="str">
        <f t="shared" si="685"/>
        <v/>
      </c>
    </row>
    <row r="627" spans="1:26" hidden="1" x14ac:dyDescent="0.2">
      <c r="A627" s="97" t="s">
        <v>165</v>
      </c>
      <c r="B627" s="1031" t="s">
        <v>165</v>
      </c>
      <c r="C627" s="978"/>
      <c r="D627" s="916" t="s">
        <v>258</v>
      </c>
      <c r="E627" s="917"/>
      <c r="F627" s="994">
        <v>500</v>
      </c>
      <c r="G627" s="997">
        <v>8.7599999999999997E-2</v>
      </c>
      <c r="H627" s="979">
        <f>IF(F627&lt;=30,(0.51*F627+4.28)*G627,((0.51*30+4.28)+0.42*(F627-30))*G627)</f>
        <v>19.007448</v>
      </c>
      <c r="I627" s="592"/>
      <c r="J627" s="1030"/>
      <c r="K627" s="593">
        <f t="shared" si="622"/>
        <v>0</v>
      </c>
      <c r="L627" s="594" t="s">
        <v>783</v>
      </c>
      <c r="M627" s="1068"/>
      <c r="N627" s="1069"/>
      <c r="O627" s="1070">
        <f t="shared" si="536"/>
        <v>0</v>
      </c>
      <c r="P627" s="1071">
        <f t="shared" si="537"/>
        <v>0</v>
      </c>
      <c r="Q627" s="1038"/>
      <c r="R627" s="1068"/>
      <c r="S627" s="1069"/>
      <c r="T627" s="93">
        <f t="shared" si="681"/>
        <v>0</v>
      </c>
      <c r="U627" s="95">
        <f t="shared" si="682"/>
        <v>0</v>
      </c>
      <c r="V627" s="94"/>
      <c r="W627" s="579" t="str">
        <f>IF(U625&gt;0,"xx",IF(P625&gt;0,"xy",""))</f>
        <v/>
      </c>
      <c r="X627" s="580" t="str">
        <f t="shared" si="683"/>
        <v/>
      </c>
      <c r="Y627" s="580" t="str">
        <f t="shared" si="684"/>
        <v/>
      </c>
      <c r="Z627" s="580" t="str">
        <f t="shared" si="685"/>
        <v/>
      </c>
    </row>
    <row r="628" spans="1:26" hidden="1" x14ac:dyDescent="0.2">
      <c r="A628" s="97" t="s">
        <v>165</v>
      </c>
      <c r="B628" s="1031" t="s">
        <v>165</v>
      </c>
      <c r="C628" s="978"/>
      <c r="D628" s="916" t="s">
        <v>271</v>
      </c>
      <c r="E628" s="917"/>
      <c r="F628" s="994">
        <v>0.2</v>
      </c>
      <c r="G628" s="997">
        <v>1.5333000000000001</v>
      </c>
      <c r="H628" s="979">
        <f>IF(F628=0,0,IF(F628&lt;=30,(0.7*F628+1.45)*G628,((0.7*30+1.45)+0.58*(F628-30))*G628))</f>
        <v>2.4379469999999999</v>
      </c>
      <c r="I628" s="592"/>
      <c r="J628" s="1030"/>
      <c r="K628" s="593">
        <f t="shared" si="622"/>
        <v>0</v>
      </c>
      <c r="L628" s="594" t="s">
        <v>783</v>
      </c>
      <c r="M628" s="1068"/>
      <c r="N628" s="1069"/>
      <c r="O628" s="1070">
        <f t="shared" si="536"/>
        <v>0</v>
      </c>
      <c r="P628" s="1071">
        <f t="shared" si="537"/>
        <v>0</v>
      </c>
      <c r="Q628" s="1038"/>
      <c r="R628" s="1068"/>
      <c r="S628" s="1069"/>
      <c r="T628" s="93">
        <f t="shared" si="681"/>
        <v>0</v>
      </c>
      <c r="U628" s="95">
        <f t="shared" si="682"/>
        <v>0</v>
      </c>
      <c r="V628" s="94"/>
      <c r="W628" s="579" t="str">
        <f>IF(U625&gt;0,"xx",IF(P625&gt;0,"xy",""))</f>
        <v/>
      </c>
      <c r="X628" s="580" t="str">
        <f t="shared" si="683"/>
        <v/>
      </c>
      <c r="Y628" s="580" t="str">
        <f t="shared" si="684"/>
        <v/>
      </c>
      <c r="Z628" s="580" t="str">
        <f t="shared" si="685"/>
        <v/>
      </c>
    </row>
    <row r="629" spans="1:26" hidden="1" x14ac:dyDescent="0.2">
      <c r="A629" s="97" t="s">
        <v>165</v>
      </c>
      <c r="B629" s="1031" t="s">
        <v>165</v>
      </c>
      <c r="C629" s="978"/>
      <c r="D629" s="916" t="s">
        <v>272</v>
      </c>
      <c r="E629" s="917"/>
      <c r="F629" s="994">
        <v>20</v>
      </c>
      <c r="G629" s="997">
        <f>SUM(G625:G628)</f>
        <v>2.3730000000000002</v>
      </c>
      <c r="H629" s="979">
        <f>IF(F629&lt;=30,(0.7*F629+2.91)*G629,((0.7*30+2.91)+0.58*(F629-30))*G629)</f>
        <v>40.127430000000004</v>
      </c>
      <c r="I629" s="592"/>
      <c r="J629" s="1030"/>
      <c r="K629" s="593">
        <f t="shared" si="622"/>
        <v>0</v>
      </c>
      <c r="L629" s="594" t="s">
        <v>783</v>
      </c>
      <c r="M629" s="1068"/>
      <c r="N629" s="1077"/>
      <c r="O629" s="1070">
        <f t="shared" si="536"/>
        <v>0</v>
      </c>
      <c r="P629" s="1071">
        <f t="shared" si="537"/>
        <v>0</v>
      </c>
      <c r="Q629" s="1038"/>
      <c r="R629" s="1068"/>
      <c r="S629" s="1069"/>
      <c r="T629" s="93">
        <f t="shared" si="681"/>
        <v>0</v>
      </c>
      <c r="U629" s="95">
        <f t="shared" si="682"/>
        <v>0</v>
      </c>
      <c r="V629" s="94"/>
      <c r="W629" s="579" t="str">
        <f>IF(U625&gt;0,"xx",IF(P625&gt;0,"xy",""))</f>
        <v/>
      </c>
      <c r="X629" s="580" t="str">
        <f t="shared" si="683"/>
        <v/>
      </c>
      <c r="Y629" s="580" t="str">
        <f t="shared" si="684"/>
        <v/>
      </c>
      <c r="Z629" s="580" t="str">
        <f t="shared" si="685"/>
        <v/>
      </c>
    </row>
    <row r="630" spans="1:26" ht="13.5" hidden="1" thickBot="1" x14ac:dyDescent="0.25">
      <c r="A630" s="1008">
        <v>589320</v>
      </c>
      <c r="B630" s="1004" t="s">
        <v>2123</v>
      </c>
      <c r="C630" s="1048" t="s">
        <v>241</v>
      </c>
      <c r="D630" s="914" t="s">
        <v>2037</v>
      </c>
      <c r="E630" s="919"/>
      <c r="F630" s="998">
        <v>500</v>
      </c>
      <c r="G630" s="999">
        <v>1</v>
      </c>
      <c r="H630" s="1000">
        <f>(0.52*F630+25.75)*G630</f>
        <v>285.75</v>
      </c>
      <c r="I630" s="654">
        <f>LIGANTES!$M$23</f>
        <v>3617.13</v>
      </c>
      <c r="J630" s="1051">
        <f>IF(ISBLANK(I630),"",I630*(1+$F$9)/(1+$F$10))+H630</f>
        <v>3803.9148952427904</v>
      </c>
      <c r="K630" s="655">
        <f t="shared" si="622"/>
        <v>4629.74</v>
      </c>
      <c r="L630" s="656" t="s">
        <v>20</v>
      </c>
      <c r="M630" s="1052">
        <f>ROUND(M625*G625,2)</f>
        <v>0</v>
      </c>
      <c r="N630" s="1072"/>
      <c r="O630" s="1054">
        <f t="shared" si="536"/>
        <v>0</v>
      </c>
      <c r="P630" s="1055">
        <f t="shared" si="537"/>
        <v>0</v>
      </c>
      <c r="Q630" s="1038"/>
      <c r="R630" s="1056">
        <f>ROUND(R625*G625,2)</f>
        <v>0</v>
      </c>
      <c r="S630" s="1076">
        <f t="shared" ref="S630:S631" si="687">N630</f>
        <v>0</v>
      </c>
      <c r="T630" s="657">
        <f t="shared" si="681"/>
        <v>0</v>
      </c>
      <c r="U630" s="658">
        <f t="shared" si="682"/>
        <v>0</v>
      </c>
      <c r="V630" s="94"/>
      <c r="W630" s="579" t="str">
        <f>IF(U625&gt;0,"xx",IF(P625&gt;0,"xy",""))</f>
        <v/>
      </c>
      <c r="X630" s="580" t="str">
        <f t="shared" si="683"/>
        <v/>
      </c>
      <c r="Y630" s="580" t="str">
        <f t="shared" si="684"/>
        <v/>
      </c>
      <c r="Z630" s="580" t="str">
        <f t="shared" si="685"/>
        <v/>
      </c>
    </row>
    <row r="631" spans="1:26" hidden="1" x14ac:dyDescent="0.2">
      <c r="A631" s="1008">
        <v>570300</v>
      </c>
      <c r="B631" s="1064" t="s">
        <v>2129</v>
      </c>
      <c r="C631" s="1065" t="s">
        <v>212</v>
      </c>
      <c r="D631" s="920" t="s">
        <v>1064</v>
      </c>
      <c r="E631" s="915"/>
      <c r="F631" s="991" t="s">
        <v>851</v>
      </c>
      <c r="G631" s="992">
        <v>0.04</v>
      </c>
      <c r="H631" s="993">
        <f>SUM(H632:H635)</f>
        <v>22.257249999999999</v>
      </c>
      <c r="I631" s="648">
        <v>135.25</v>
      </c>
      <c r="J631" s="1041">
        <f t="shared" ref="J631" si="688">IF(ISBLANK(I631),"",SUM(H631:I631))</f>
        <v>157.50725</v>
      </c>
      <c r="K631" s="649">
        <f t="shared" si="622"/>
        <v>191.7</v>
      </c>
      <c r="L631" s="650" t="s">
        <v>20</v>
      </c>
      <c r="M631" s="1045"/>
      <c r="N631" s="1046"/>
      <c r="O631" s="1066">
        <f t="shared" si="536"/>
        <v>0</v>
      </c>
      <c r="P631" s="1067">
        <f t="shared" si="537"/>
        <v>0</v>
      </c>
      <c r="Q631" s="1038"/>
      <c r="R631" s="1045">
        <f t="shared" ref="R631" si="689">M631</f>
        <v>0</v>
      </c>
      <c r="S631" s="1046">
        <f t="shared" si="687"/>
        <v>0</v>
      </c>
      <c r="T631" s="651">
        <f t="shared" si="681"/>
        <v>0</v>
      </c>
      <c r="U631" s="652">
        <f t="shared" si="682"/>
        <v>0</v>
      </c>
      <c r="V631" s="94"/>
      <c r="X631" s="580" t="str">
        <f t="shared" si="683"/>
        <v/>
      </c>
      <c r="Y631" s="580" t="str">
        <f t="shared" si="684"/>
        <v/>
      </c>
      <c r="Z631" s="580" t="str">
        <f t="shared" si="685"/>
        <v/>
      </c>
    </row>
    <row r="632" spans="1:26" hidden="1" x14ac:dyDescent="0.2">
      <c r="A632" s="97" t="s">
        <v>165</v>
      </c>
      <c r="B632" s="1031" t="s">
        <v>165</v>
      </c>
      <c r="C632" s="978"/>
      <c r="D632" s="916" t="s">
        <v>257</v>
      </c>
      <c r="E632" s="917"/>
      <c r="F632" s="994">
        <v>180</v>
      </c>
      <c r="G632" s="997">
        <v>0</v>
      </c>
      <c r="H632" s="996">
        <f t="shared" ref="H632" si="690">IF(F632&lt;=30,(0.7*F632+1.45)*G632,((0.7*30+1.45)+0.58*(F632-30))*G632)</f>
        <v>0</v>
      </c>
      <c r="I632" s="592"/>
      <c r="J632" s="1030" t="str">
        <f t="shared" ref="J632" si="691">IF(ISBLANK(I632),"",SUM(H632:I632))</f>
        <v/>
      </c>
      <c r="K632" s="593">
        <f t="shared" si="622"/>
        <v>0</v>
      </c>
      <c r="L632" s="594" t="s">
        <v>783</v>
      </c>
      <c r="M632" s="1068"/>
      <c r="N632" s="1069"/>
      <c r="O632" s="1070">
        <f t="shared" si="536"/>
        <v>0</v>
      </c>
      <c r="P632" s="1071">
        <f t="shared" si="537"/>
        <v>0</v>
      </c>
      <c r="Q632" s="1038"/>
      <c r="R632" s="1068"/>
      <c r="S632" s="1069"/>
      <c r="T632" s="93">
        <f t="shared" si="681"/>
        <v>0</v>
      </c>
      <c r="U632" s="95">
        <f t="shared" si="682"/>
        <v>0</v>
      </c>
      <c r="V632" s="94"/>
      <c r="W632" s="579" t="str">
        <f>IF(U631&gt;0,"xx",IF(P631&gt;0,"xy",""))</f>
        <v/>
      </c>
      <c r="X632" s="580" t="str">
        <f t="shared" si="683"/>
        <v/>
      </c>
      <c r="Y632" s="580" t="str">
        <f t="shared" si="684"/>
        <v/>
      </c>
      <c r="Z632" s="580" t="str">
        <f t="shared" si="685"/>
        <v/>
      </c>
    </row>
    <row r="633" spans="1:26" hidden="1" x14ac:dyDescent="0.2">
      <c r="A633" s="97" t="s">
        <v>165</v>
      </c>
      <c r="B633" s="1031" t="s">
        <v>165</v>
      </c>
      <c r="C633" s="978"/>
      <c r="D633" s="916" t="s">
        <v>258</v>
      </c>
      <c r="E633" s="917"/>
      <c r="F633" s="994">
        <v>500</v>
      </c>
      <c r="G633" s="997">
        <v>1.4999999999999999E-2</v>
      </c>
      <c r="H633" s="979">
        <f>IF(F633&lt;=30,(0.51*F633+4.28)*G633,((0.51*30+4.28)+0.42*(F633-30))*G633)</f>
        <v>3.2547000000000001</v>
      </c>
      <c r="I633" s="592"/>
      <c r="J633" s="1030"/>
      <c r="K633" s="593">
        <f t="shared" si="622"/>
        <v>0</v>
      </c>
      <c r="L633" s="594" t="s">
        <v>783</v>
      </c>
      <c r="M633" s="1068"/>
      <c r="N633" s="1069"/>
      <c r="O633" s="1070">
        <f t="shared" si="536"/>
        <v>0</v>
      </c>
      <c r="P633" s="1071">
        <f t="shared" si="537"/>
        <v>0</v>
      </c>
      <c r="Q633" s="1038"/>
      <c r="R633" s="1068"/>
      <c r="S633" s="1069"/>
      <c r="T633" s="93">
        <f t="shared" si="681"/>
        <v>0</v>
      </c>
      <c r="U633" s="95">
        <f t="shared" si="682"/>
        <v>0</v>
      </c>
      <c r="V633" s="94"/>
      <c r="W633" s="579" t="str">
        <f>IF(U631&gt;0,"xx",IF(P631&gt;0,"xy",""))</f>
        <v/>
      </c>
      <c r="X633" s="580" t="str">
        <f t="shared" si="683"/>
        <v/>
      </c>
      <c r="Y633" s="580" t="str">
        <f t="shared" si="684"/>
        <v/>
      </c>
      <c r="Z633" s="580" t="str">
        <f t="shared" si="685"/>
        <v/>
      </c>
    </row>
    <row r="634" spans="1:26" hidden="1" x14ac:dyDescent="0.2">
      <c r="A634" s="97" t="s">
        <v>165</v>
      </c>
      <c r="B634" s="1031" t="s">
        <v>165</v>
      </c>
      <c r="C634" s="978"/>
      <c r="D634" s="916" t="s">
        <v>271</v>
      </c>
      <c r="E634" s="917"/>
      <c r="F634" s="994">
        <v>0.2</v>
      </c>
      <c r="G634" s="997">
        <v>0.94499999999999995</v>
      </c>
      <c r="H634" s="979">
        <f>IF(F634=0,0,IF(F634&lt;=30,(0.7*F634+1.45)*G634,((0.7*30+1.45)+0.58*(F634-30))*G634))</f>
        <v>1.5025499999999998</v>
      </c>
      <c r="I634" s="592"/>
      <c r="J634" s="1030"/>
      <c r="K634" s="593">
        <f t="shared" ref="K634:K665" si="692">IF(ISBLANK(I634),0,ROUND(J634*(1+$F$10)*(1+$F$11*E634),2))</f>
        <v>0</v>
      </c>
      <c r="L634" s="594" t="s">
        <v>783</v>
      </c>
      <c r="M634" s="1068"/>
      <c r="N634" s="1069"/>
      <c r="O634" s="1070">
        <f t="shared" si="536"/>
        <v>0</v>
      </c>
      <c r="P634" s="1071">
        <f t="shared" si="537"/>
        <v>0</v>
      </c>
      <c r="Q634" s="1038"/>
      <c r="R634" s="1068"/>
      <c r="S634" s="1069"/>
      <c r="T634" s="93">
        <f t="shared" si="681"/>
        <v>0</v>
      </c>
      <c r="U634" s="95">
        <f t="shared" si="682"/>
        <v>0</v>
      </c>
      <c r="V634" s="94"/>
      <c r="W634" s="579" t="str">
        <f>IF(U631&gt;0,"xx",IF(P631&gt;0,"xy",""))</f>
        <v/>
      </c>
      <c r="X634" s="580" t="str">
        <f t="shared" si="683"/>
        <v/>
      </c>
      <c r="Y634" s="580" t="str">
        <f t="shared" si="684"/>
        <v/>
      </c>
      <c r="Z634" s="580" t="str">
        <f t="shared" si="685"/>
        <v/>
      </c>
    </row>
    <row r="635" spans="1:26" hidden="1" x14ac:dyDescent="0.2">
      <c r="A635" s="97" t="s">
        <v>165</v>
      </c>
      <c r="B635" s="1031" t="s">
        <v>165</v>
      </c>
      <c r="C635" s="978"/>
      <c r="D635" s="916" t="s">
        <v>272</v>
      </c>
      <c r="E635" s="917"/>
      <c r="F635" s="994">
        <v>20</v>
      </c>
      <c r="G635" s="997">
        <v>1</v>
      </c>
      <c r="H635" s="979">
        <f>IF(F635&lt;=30,(0.7*F635+3.5)*G635,((0.7*30+3.5)+0.58*(F635-30))*G635)</f>
        <v>17.5</v>
      </c>
      <c r="I635" s="592"/>
      <c r="J635" s="1030"/>
      <c r="K635" s="593">
        <f t="shared" si="692"/>
        <v>0</v>
      </c>
      <c r="L635" s="594" t="s">
        <v>783</v>
      </c>
      <c r="M635" s="1068"/>
      <c r="N635" s="1077"/>
      <c r="O635" s="1070">
        <f t="shared" si="536"/>
        <v>0</v>
      </c>
      <c r="P635" s="1071">
        <f t="shared" si="537"/>
        <v>0</v>
      </c>
      <c r="Q635" s="1038"/>
      <c r="R635" s="1068"/>
      <c r="S635" s="1069"/>
      <c r="T635" s="93">
        <f t="shared" si="681"/>
        <v>0</v>
      </c>
      <c r="U635" s="95">
        <f t="shared" si="682"/>
        <v>0</v>
      </c>
      <c r="V635" s="94"/>
      <c r="W635" s="579" t="str">
        <f>IF(U631&gt;0,"xx",IF(P631&gt;0,"xy",""))</f>
        <v/>
      </c>
      <c r="X635" s="580" t="str">
        <f t="shared" si="683"/>
        <v/>
      </c>
      <c r="Y635" s="580" t="str">
        <f t="shared" si="684"/>
        <v/>
      </c>
      <c r="Z635" s="580" t="str">
        <f t="shared" si="685"/>
        <v/>
      </c>
    </row>
    <row r="636" spans="1:26" ht="13.5" hidden="1" thickBot="1" x14ac:dyDescent="0.25">
      <c r="A636" s="1008">
        <v>589000</v>
      </c>
      <c r="B636" s="1004" t="s">
        <v>2089</v>
      </c>
      <c r="C636" s="1007" t="s">
        <v>241</v>
      </c>
      <c r="D636" s="914" t="s">
        <v>844</v>
      </c>
      <c r="E636" s="921"/>
      <c r="F636" s="1001">
        <v>500</v>
      </c>
      <c r="G636" s="999">
        <v>1</v>
      </c>
      <c r="H636" s="1000">
        <f>(0.58*F636+28.61)*G636</f>
        <v>318.61</v>
      </c>
      <c r="I636" s="654">
        <f>LIGANTES!$M$15</f>
        <v>4434.49</v>
      </c>
      <c r="J636" s="1051">
        <f>IF(ISBLANK(I636),"",I636*(1+$F$9)/(1+$F$10))+H636</f>
        <v>4631.771828937638</v>
      </c>
      <c r="K636" s="669">
        <f t="shared" si="692"/>
        <v>5637.33</v>
      </c>
      <c r="L636" s="55" t="s">
        <v>20</v>
      </c>
      <c r="M636" s="1052">
        <f>ROUND(M631*G631,2)</f>
        <v>0</v>
      </c>
      <c r="N636" s="1072"/>
      <c r="O636" s="1054">
        <f t="shared" si="536"/>
        <v>0</v>
      </c>
      <c r="P636" s="1055">
        <f t="shared" si="537"/>
        <v>0</v>
      </c>
      <c r="Q636" s="1038"/>
      <c r="R636" s="1056">
        <f>ROUND(R631*G631,2)</f>
        <v>0</v>
      </c>
      <c r="S636" s="1076">
        <f t="shared" ref="S636:S637" si="693">N636</f>
        <v>0</v>
      </c>
      <c r="T636" s="657">
        <f t="shared" si="681"/>
        <v>0</v>
      </c>
      <c r="U636" s="658">
        <f t="shared" si="682"/>
        <v>0</v>
      </c>
      <c r="V636" s="94"/>
      <c r="W636" s="579" t="str">
        <f>IF(U631&gt;0,"xx",IF(P631&gt;0,"xy",""))</f>
        <v/>
      </c>
      <c r="X636" s="580" t="str">
        <f t="shared" si="683"/>
        <v/>
      </c>
      <c r="Y636" s="580" t="str">
        <f t="shared" si="684"/>
        <v/>
      </c>
      <c r="Z636" s="580" t="str">
        <f t="shared" si="685"/>
        <v/>
      </c>
    </row>
    <row r="637" spans="1:26" hidden="1" x14ac:dyDescent="0.2">
      <c r="A637" s="1008">
        <v>570310</v>
      </c>
      <c r="B637" s="1064" t="s">
        <v>2000</v>
      </c>
      <c r="C637" s="1065" t="s">
        <v>212</v>
      </c>
      <c r="D637" s="920" t="s">
        <v>1065</v>
      </c>
      <c r="E637" s="915"/>
      <c r="F637" s="991" t="s">
        <v>851</v>
      </c>
      <c r="G637" s="992">
        <v>0.04</v>
      </c>
      <c r="H637" s="993">
        <f>SUM(H638:H641)</f>
        <v>22.257249999999999</v>
      </c>
      <c r="I637" s="648">
        <v>120.3</v>
      </c>
      <c r="J637" s="1041">
        <f t="shared" ref="J637" si="694">IF(ISBLANK(I637),"",SUM(H637:I637))</f>
        <v>142.55725000000001</v>
      </c>
      <c r="K637" s="649">
        <f t="shared" si="692"/>
        <v>173.51</v>
      </c>
      <c r="L637" s="650" t="s">
        <v>20</v>
      </c>
      <c r="M637" s="1045"/>
      <c r="N637" s="1046"/>
      <c r="O637" s="1066">
        <f t="shared" si="536"/>
        <v>0</v>
      </c>
      <c r="P637" s="1067">
        <f t="shared" si="537"/>
        <v>0</v>
      </c>
      <c r="Q637" s="1038"/>
      <c r="R637" s="1045">
        <f t="shared" ref="R637" si="695">M637</f>
        <v>0</v>
      </c>
      <c r="S637" s="1046">
        <f t="shared" si="693"/>
        <v>0</v>
      </c>
      <c r="T637" s="651">
        <f t="shared" si="681"/>
        <v>0</v>
      </c>
      <c r="U637" s="652">
        <f t="shared" si="682"/>
        <v>0</v>
      </c>
      <c r="V637" s="94"/>
      <c r="X637" s="580" t="str">
        <f t="shared" si="683"/>
        <v/>
      </c>
      <c r="Y637" s="580" t="str">
        <f t="shared" si="684"/>
        <v/>
      </c>
      <c r="Z637" s="580" t="str">
        <f t="shared" si="685"/>
        <v/>
      </c>
    </row>
    <row r="638" spans="1:26" hidden="1" x14ac:dyDescent="0.2">
      <c r="A638" s="97" t="s">
        <v>165</v>
      </c>
      <c r="B638" s="1031" t="s">
        <v>165</v>
      </c>
      <c r="C638" s="978"/>
      <c r="D638" s="916" t="s">
        <v>257</v>
      </c>
      <c r="E638" s="917"/>
      <c r="F638" s="994">
        <v>180</v>
      </c>
      <c r="G638" s="997">
        <v>0</v>
      </c>
      <c r="H638" s="996">
        <f t="shared" ref="H638" si="696">IF(F638&lt;=30,(0.7*F638+1.45)*G638,((0.7*30+1.45)+0.58*(F638-30))*G638)</f>
        <v>0</v>
      </c>
      <c r="I638" s="592"/>
      <c r="J638" s="1030" t="str">
        <f t="shared" ref="J638" si="697">IF(ISBLANK(I638),"",SUM(H638:I638))</f>
        <v/>
      </c>
      <c r="K638" s="593">
        <f t="shared" si="692"/>
        <v>0</v>
      </c>
      <c r="L638" s="594" t="s">
        <v>783</v>
      </c>
      <c r="M638" s="1068"/>
      <c r="N638" s="1069"/>
      <c r="O638" s="1070">
        <f t="shared" si="536"/>
        <v>0</v>
      </c>
      <c r="P638" s="1071">
        <f t="shared" si="537"/>
        <v>0</v>
      </c>
      <c r="Q638" s="1038"/>
      <c r="R638" s="1068"/>
      <c r="S638" s="1069"/>
      <c r="T638" s="93">
        <f t="shared" si="681"/>
        <v>0</v>
      </c>
      <c r="U638" s="95">
        <f t="shared" si="682"/>
        <v>0</v>
      </c>
      <c r="V638" s="94"/>
      <c r="W638" s="579" t="str">
        <f>IF(U637&gt;0,"xx",IF(P637&gt;0,"xy",""))</f>
        <v/>
      </c>
      <c r="X638" s="580" t="str">
        <f t="shared" si="683"/>
        <v/>
      </c>
      <c r="Y638" s="580" t="str">
        <f t="shared" si="684"/>
        <v/>
      </c>
      <c r="Z638" s="580" t="str">
        <f t="shared" si="685"/>
        <v/>
      </c>
    </row>
    <row r="639" spans="1:26" hidden="1" x14ac:dyDescent="0.2">
      <c r="A639" s="97" t="s">
        <v>165</v>
      </c>
      <c r="B639" s="1031" t="s">
        <v>165</v>
      </c>
      <c r="C639" s="978"/>
      <c r="D639" s="916" t="s">
        <v>258</v>
      </c>
      <c r="E639" s="917"/>
      <c r="F639" s="994">
        <v>500</v>
      </c>
      <c r="G639" s="997">
        <v>1.4999999999999999E-2</v>
      </c>
      <c r="H639" s="979">
        <f>IF(F639&lt;=30,(0.51*F639+4.28)*G639,((0.51*30+4.28)+0.42*(F639-30))*G639)</f>
        <v>3.2547000000000001</v>
      </c>
      <c r="I639" s="592"/>
      <c r="J639" s="1030"/>
      <c r="K639" s="593">
        <f t="shared" si="692"/>
        <v>0</v>
      </c>
      <c r="L639" s="594" t="s">
        <v>783</v>
      </c>
      <c r="M639" s="1068"/>
      <c r="N639" s="1069"/>
      <c r="O639" s="1070">
        <f t="shared" si="536"/>
        <v>0</v>
      </c>
      <c r="P639" s="1071">
        <f t="shared" si="537"/>
        <v>0</v>
      </c>
      <c r="Q639" s="1038"/>
      <c r="R639" s="1068"/>
      <c r="S639" s="1069"/>
      <c r="T639" s="93">
        <f t="shared" si="681"/>
        <v>0</v>
      </c>
      <c r="U639" s="95">
        <f t="shared" si="682"/>
        <v>0</v>
      </c>
      <c r="V639" s="94"/>
      <c r="W639" s="579" t="str">
        <f>IF(U637&gt;0,"xx",IF(P637&gt;0,"xy",""))</f>
        <v/>
      </c>
      <c r="X639" s="580" t="str">
        <f t="shared" si="683"/>
        <v/>
      </c>
      <c r="Y639" s="580" t="str">
        <f t="shared" si="684"/>
        <v/>
      </c>
      <c r="Z639" s="580" t="str">
        <f t="shared" si="685"/>
        <v/>
      </c>
    </row>
    <row r="640" spans="1:26" hidden="1" x14ac:dyDescent="0.2">
      <c r="A640" s="97" t="s">
        <v>165</v>
      </c>
      <c r="B640" s="1031" t="s">
        <v>165</v>
      </c>
      <c r="C640" s="978"/>
      <c r="D640" s="916" t="s">
        <v>271</v>
      </c>
      <c r="E640" s="917"/>
      <c r="F640" s="994">
        <v>0.2</v>
      </c>
      <c r="G640" s="997">
        <v>0.94499999999999995</v>
      </c>
      <c r="H640" s="979">
        <f>IF(F640=0,0,IF(F640&lt;=30,(0.7*F640+1.45)*G640,((0.7*30+1.45)+0.58*(F640-30))*G640))</f>
        <v>1.5025499999999998</v>
      </c>
      <c r="I640" s="592"/>
      <c r="J640" s="1030"/>
      <c r="K640" s="593">
        <f t="shared" si="692"/>
        <v>0</v>
      </c>
      <c r="L640" s="594" t="s">
        <v>783</v>
      </c>
      <c r="M640" s="1068"/>
      <c r="N640" s="1069"/>
      <c r="O640" s="1070">
        <f t="shared" si="536"/>
        <v>0</v>
      </c>
      <c r="P640" s="1071">
        <f t="shared" si="537"/>
        <v>0</v>
      </c>
      <c r="Q640" s="1038"/>
      <c r="R640" s="1068"/>
      <c r="S640" s="1069"/>
      <c r="T640" s="93">
        <f t="shared" si="681"/>
        <v>0</v>
      </c>
      <c r="U640" s="95">
        <f t="shared" si="682"/>
        <v>0</v>
      </c>
      <c r="V640" s="94"/>
      <c r="W640" s="579" t="str">
        <f>IF(U637&gt;0,"xx",IF(P637&gt;0,"xy",""))</f>
        <v/>
      </c>
      <c r="X640" s="580" t="str">
        <f t="shared" si="683"/>
        <v/>
      </c>
      <c r="Y640" s="580" t="str">
        <f t="shared" si="684"/>
        <v/>
      </c>
      <c r="Z640" s="580" t="str">
        <f t="shared" si="685"/>
        <v/>
      </c>
    </row>
    <row r="641" spans="1:26" hidden="1" x14ac:dyDescent="0.2">
      <c r="A641" s="97" t="s">
        <v>165</v>
      </c>
      <c r="B641" s="1031" t="s">
        <v>165</v>
      </c>
      <c r="C641" s="978"/>
      <c r="D641" s="916" t="s">
        <v>272</v>
      </c>
      <c r="E641" s="917"/>
      <c r="F641" s="994">
        <v>20</v>
      </c>
      <c r="G641" s="997">
        <f>SUM(G637:G640)</f>
        <v>1</v>
      </c>
      <c r="H641" s="979">
        <f>IF(F641&lt;=30,(0.7*F641+3.5)*G641,((0.7*30+3.5)+0.58*(F641-30))*G641)</f>
        <v>17.5</v>
      </c>
      <c r="I641" s="592"/>
      <c r="J641" s="1030"/>
      <c r="K641" s="593">
        <f t="shared" si="692"/>
        <v>0</v>
      </c>
      <c r="L641" s="594" t="s">
        <v>783</v>
      </c>
      <c r="M641" s="1068"/>
      <c r="N641" s="1077"/>
      <c r="O641" s="1070">
        <f t="shared" si="536"/>
        <v>0</v>
      </c>
      <c r="P641" s="1071">
        <f t="shared" si="537"/>
        <v>0</v>
      </c>
      <c r="Q641" s="1038"/>
      <c r="R641" s="1068"/>
      <c r="S641" s="1069"/>
      <c r="T641" s="93">
        <f t="shared" si="681"/>
        <v>0</v>
      </c>
      <c r="U641" s="95">
        <f t="shared" si="682"/>
        <v>0</v>
      </c>
      <c r="V641" s="94"/>
      <c r="W641" s="579" t="str">
        <f>IF(U637&gt;0,"xx",IF(P637&gt;0,"xy",""))</f>
        <v/>
      </c>
      <c r="X641" s="580" t="str">
        <f t="shared" si="683"/>
        <v/>
      </c>
      <c r="Y641" s="580" t="str">
        <f t="shared" si="684"/>
        <v/>
      </c>
      <c r="Z641" s="580" t="str">
        <f t="shared" si="685"/>
        <v/>
      </c>
    </row>
    <row r="642" spans="1:26" ht="13.5" hidden="1" thickBot="1" x14ac:dyDescent="0.25">
      <c r="A642" s="1008">
        <v>589000</v>
      </c>
      <c r="B642" s="1004" t="s">
        <v>2090</v>
      </c>
      <c r="C642" s="1048" t="s">
        <v>241</v>
      </c>
      <c r="D642" s="914" t="s">
        <v>845</v>
      </c>
      <c r="E642" s="919"/>
      <c r="F642" s="1001">
        <v>500</v>
      </c>
      <c r="G642" s="999">
        <v>1</v>
      </c>
      <c r="H642" s="1000">
        <f>(0.58*F642+28.61)*G642</f>
        <v>318.61</v>
      </c>
      <c r="I642" s="654">
        <f>LIGANTES!$M$15</f>
        <v>4434.49</v>
      </c>
      <c r="J642" s="1051">
        <f>IF(ISBLANK(I642),"",I642*(1+$F$9)/(1+$F$10))+H642</f>
        <v>4631.771828937638</v>
      </c>
      <c r="K642" s="655">
        <f t="shared" si="692"/>
        <v>5637.33</v>
      </c>
      <c r="L642" s="656" t="s">
        <v>20</v>
      </c>
      <c r="M642" s="1052">
        <f>ROUND(M637*G637,2)</f>
        <v>0</v>
      </c>
      <c r="N642" s="1072"/>
      <c r="O642" s="1054">
        <f t="shared" si="536"/>
        <v>0</v>
      </c>
      <c r="P642" s="1055">
        <f t="shared" si="537"/>
        <v>0</v>
      </c>
      <c r="Q642" s="1038"/>
      <c r="R642" s="1056">
        <f>ROUND(R637*G637,2)</f>
        <v>0</v>
      </c>
      <c r="S642" s="1076">
        <f t="shared" ref="S642:S643" si="698">N642</f>
        <v>0</v>
      </c>
      <c r="T642" s="657">
        <f t="shared" si="681"/>
        <v>0</v>
      </c>
      <c r="U642" s="658">
        <f t="shared" si="682"/>
        <v>0</v>
      </c>
      <c r="V642" s="94"/>
      <c r="W642" s="579" t="str">
        <f>IF(U637&gt;0,"xx",IF(P637&gt;0,"xy",""))</f>
        <v/>
      </c>
      <c r="X642" s="580" t="str">
        <f t="shared" si="683"/>
        <v/>
      </c>
      <c r="Y642" s="580" t="str">
        <f t="shared" si="684"/>
        <v/>
      </c>
      <c r="Z642" s="580" t="str">
        <f t="shared" si="685"/>
        <v/>
      </c>
    </row>
    <row r="643" spans="1:26" ht="15.75" hidden="1" x14ac:dyDescent="0.2">
      <c r="A643" s="1008">
        <v>570000</v>
      </c>
      <c r="B643" s="1064" t="s">
        <v>2131</v>
      </c>
      <c r="C643" s="1065" t="s">
        <v>212</v>
      </c>
      <c r="D643" s="327" t="s">
        <v>993</v>
      </c>
      <c r="E643" s="915"/>
      <c r="F643" s="991" t="s">
        <v>851</v>
      </c>
      <c r="G643" s="992">
        <v>5.7000000000000002E-2</v>
      </c>
      <c r="H643" s="993">
        <f>SUM(H644:H647)</f>
        <v>33.016220000000004</v>
      </c>
      <c r="I643" s="648">
        <v>141.35</v>
      </c>
      <c r="J643" s="1041">
        <f t="shared" ref="J643" si="699">IF(ISBLANK(I643),"",SUM(H643:I643))</f>
        <v>174.36622</v>
      </c>
      <c r="K643" s="649">
        <f t="shared" si="692"/>
        <v>212.22</v>
      </c>
      <c r="L643" s="650" t="s">
        <v>20</v>
      </c>
      <c r="M643" s="1045"/>
      <c r="N643" s="1046"/>
      <c r="O643" s="1066">
        <f t="shared" si="536"/>
        <v>0</v>
      </c>
      <c r="P643" s="1067">
        <f t="shared" si="537"/>
        <v>0</v>
      </c>
      <c r="Q643" s="1038"/>
      <c r="R643" s="1045">
        <f t="shared" ref="R643" si="700">M643</f>
        <v>0</v>
      </c>
      <c r="S643" s="1046">
        <f t="shared" si="698"/>
        <v>0</v>
      </c>
      <c r="T643" s="651">
        <f t="shared" si="540"/>
        <v>0</v>
      </c>
      <c r="U643" s="652">
        <f t="shared" si="594"/>
        <v>0</v>
      </c>
      <c r="V643" s="94"/>
      <c r="X643" s="580" t="str">
        <f t="shared" si="533"/>
        <v/>
      </c>
      <c r="Y643" s="580" t="str">
        <f t="shared" si="600"/>
        <v/>
      </c>
      <c r="Z643" s="580" t="str">
        <f t="shared" si="596"/>
        <v/>
      </c>
    </row>
    <row r="644" spans="1:26" hidden="1" x14ac:dyDescent="0.2">
      <c r="A644" s="97" t="s">
        <v>165</v>
      </c>
      <c r="B644" s="1031" t="s">
        <v>165</v>
      </c>
      <c r="C644" s="978"/>
      <c r="D644" s="916" t="s">
        <v>257</v>
      </c>
      <c r="E644" s="917"/>
      <c r="F644" s="994">
        <v>180</v>
      </c>
      <c r="G644" s="997">
        <v>0.1</v>
      </c>
      <c r="H644" s="996">
        <f t="shared" ref="H644" si="701">IF(F644&lt;=30,(0.7*F644+1.45)*G644,((0.7*30+1.45)+0.58*(F644-30))*G644)</f>
        <v>10.945</v>
      </c>
      <c r="I644" s="592"/>
      <c r="J644" s="1030"/>
      <c r="K644" s="593">
        <f t="shared" si="692"/>
        <v>0</v>
      </c>
      <c r="L644" s="594" t="s">
        <v>783</v>
      </c>
      <c r="M644" s="1068"/>
      <c r="N644" s="1069"/>
      <c r="O644" s="1070">
        <f t="shared" si="536"/>
        <v>0</v>
      </c>
      <c r="P644" s="1071">
        <f t="shared" si="537"/>
        <v>0</v>
      </c>
      <c r="Q644" s="1038"/>
      <c r="R644" s="1068"/>
      <c r="S644" s="1069"/>
      <c r="T644" s="93">
        <f t="shared" si="540"/>
        <v>0</v>
      </c>
      <c r="U644" s="95">
        <f t="shared" si="594"/>
        <v>0</v>
      </c>
      <c r="V644" s="94"/>
      <c r="W644" s="579" t="str">
        <f>IF(U643&gt;0,"xx",IF(P643&gt;0,"xy",""))</f>
        <v/>
      </c>
      <c r="X644" s="580" t="str">
        <f t="shared" si="533"/>
        <v/>
      </c>
      <c r="Y644" s="580" t="str">
        <f t="shared" si="600"/>
        <v/>
      </c>
      <c r="Z644" s="580" t="str">
        <f t="shared" si="596"/>
        <v/>
      </c>
    </row>
    <row r="645" spans="1:26" hidden="1" x14ac:dyDescent="0.2">
      <c r="A645" s="97" t="s">
        <v>165</v>
      </c>
      <c r="B645" s="1031" t="s">
        <v>165</v>
      </c>
      <c r="C645" s="978"/>
      <c r="D645" s="916" t="s">
        <v>258</v>
      </c>
      <c r="E645" s="917"/>
      <c r="F645" s="994">
        <v>500</v>
      </c>
      <c r="G645" s="997">
        <v>1.4999999999999999E-2</v>
      </c>
      <c r="H645" s="979">
        <f>IF(F645&lt;=30,(0.51*F645+4.28)*G645,((0.51*30+4.28)+0.42*(F645-30))*G645)</f>
        <v>3.2547000000000001</v>
      </c>
      <c r="I645" s="592"/>
      <c r="J645" s="1030"/>
      <c r="K645" s="593">
        <f t="shared" si="692"/>
        <v>0</v>
      </c>
      <c r="L645" s="594" t="s">
        <v>783</v>
      </c>
      <c r="M645" s="1068"/>
      <c r="N645" s="1069"/>
      <c r="O645" s="1070">
        <f t="shared" si="536"/>
        <v>0</v>
      </c>
      <c r="P645" s="1071">
        <f t="shared" si="537"/>
        <v>0</v>
      </c>
      <c r="Q645" s="1038"/>
      <c r="R645" s="1068"/>
      <c r="S645" s="1069"/>
      <c r="T645" s="93">
        <f t="shared" si="540"/>
        <v>0</v>
      </c>
      <c r="U645" s="95">
        <f t="shared" si="594"/>
        <v>0</v>
      </c>
      <c r="V645" s="94"/>
      <c r="W645" s="579" t="str">
        <f>IF(U643&gt;0,"xx",IF(P643&gt;0,"xy",""))</f>
        <v/>
      </c>
      <c r="X645" s="580" t="str">
        <f t="shared" si="533"/>
        <v/>
      </c>
      <c r="Y645" s="580" t="str">
        <f t="shared" si="600"/>
        <v/>
      </c>
      <c r="Z645" s="580" t="str">
        <f t="shared" si="596"/>
        <v/>
      </c>
    </row>
    <row r="646" spans="1:26" hidden="1" x14ac:dyDescent="0.2">
      <c r="A646" s="97" t="s">
        <v>165</v>
      </c>
      <c r="B646" s="1031" t="s">
        <v>165</v>
      </c>
      <c r="C646" s="978"/>
      <c r="D646" s="916" t="s">
        <v>271</v>
      </c>
      <c r="E646" s="917"/>
      <c r="F646" s="994">
        <v>0.2</v>
      </c>
      <c r="G646" s="997">
        <v>0.82799999999999996</v>
      </c>
      <c r="H646" s="979">
        <f>IF(F646=0,0,IF(F646&lt;=30,(0.7*F646+1.45)*G646,((0.7*30+1.45)+0.58*(F646-30))*G646))</f>
        <v>1.3165199999999999</v>
      </c>
      <c r="I646" s="592"/>
      <c r="J646" s="1030"/>
      <c r="K646" s="593">
        <f t="shared" si="692"/>
        <v>0</v>
      </c>
      <c r="L646" s="594" t="s">
        <v>783</v>
      </c>
      <c r="M646" s="1068"/>
      <c r="N646" s="1069"/>
      <c r="O646" s="1070">
        <f t="shared" si="536"/>
        <v>0</v>
      </c>
      <c r="P646" s="1071">
        <f t="shared" si="537"/>
        <v>0</v>
      </c>
      <c r="Q646" s="1038"/>
      <c r="R646" s="1068"/>
      <c r="S646" s="1069"/>
      <c r="T646" s="93">
        <f t="shared" si="540"/>
        <v>0</v>
      </c>
      <c r="U646" s="95">
        <f t="shared" si="594"/>
        <v>0</v>
      </c>
      <c r="V646" s="94"/>
      <c r="W646" s="579" t="str">
        <f>IF(U643&gt;0,"xx",IF(P643&gt;0,"xy",""))</f>
        <v/>
      </c>
      <c r="X646" s="580" t="str">
        <f t="shared" si="533"/>
        <v/>
      </c>
      <c r="Y646" s="580" t="str">
        <f t="shared" si="600"/>
        <v/>
      </c>
      <c r="Z646" s="580" t="str">
        <f t="shared" si="596"/>
        <v/>
      </c>
    </row>
    <row r="647" spans="1:26" hidden="1" x14ac:dyDescent="0.2">
      <c r="A647" s="97" t="s">
        <v>165</v>
      </c>
      <c r="B647" s="1031" t="s">
        <v>165</v>
      </c>
      <c r="C647" s="978"/>
      <c r="D647" s="916" t="s">
        <v>272</v>
      </c>
      <c r="E647" s="917"/>
      <c r="F647" s="994">
        <v>20</v>
      </c>
      <c r="G647" s="997">
        <f>SUM(G643:G646)</f>
        <v>1</v>
      </c>
      <c r="H647" s="979">
        <f>IF(F647&lt;=30,(0.7*F647+3.5)*G647,((0.7*30+3.5)+0.58*(F647-30))*G647)</f>
        <v>17.5</v>
      </c>
      <c r="I647" s="592"/>
      <c r="J647" s="1030"/>
      <c r="K647" s="593">
        <f t="shared" si="692"/>
        <v>0</v>
      </c>
      <c r="L647" s="594" t="s">
        <v>783</v>
      </c>
      <c r="M647" s="1068"/>
      <c r="N647" s="1077"/>
      <c r="O647" s="1070">
        <f t="shared" si="536"/>
        <v>0</v>
      </c>
      <c r="P647" s="1071">
        <f t="shared" si="537"/>
        <v>0</v>
      </c>
      <c r="Q647" s="1038"/>
      <c r="R647" s="1068"/>
      <c r="S647" s="1069"/>
      <c r="T647" s="93">
        <f t="shared" si="540"/>
        <v>0</v>
      </c>
      <c r="U647" s="95">
        <f t="shared" si="594"/>
        <v>0</v>
      </c>
      <c r="V647" s="94"/>
      <c r="W647" s="579" t="str">
        <f>IF(U643&gt;0,"xx",IF(P643&gt;0,"xy",""))</f>
        <v/>
      </c>
      <c r="X647" s="580" t="str">
        <f t="shared" si="533"/>
        <v/>
      </c>
      <c r="Y647" s="580" t="str">
        <f t="shared" si="600"/>
        <v/>
      </c>
      <c r="Z647" s="580" t="str">
        <f t="shared" si="596"/>
        <v/>
      </c>
    </row>
    <row r="648" spans="1:26" ht="13.5" hidden="1" thickBot="1" x14ac:dyDescent="0.25">
      <c r="A648" s="1008">
        <v>589000</v>
      </c>
      <c r="B648" s="1004" t="s">
        <v>2091</v>
      </c>
      <c r="C648" s="1048" t="s">
        <v>241</v>
      </c>
      <c r="D648" s="914" t="s">
        <v>846</v>
      </c>
      <c r="E648" s="919"/>
      <c r="F648" s="998">
        <v>500</v>
      </c>
      <c r="G648" s="999">
        <v>1</v>
      </c>
      <c r="H648" s="1000">
        <f>(0.58*F648+28.61)*G648</f>
        <v>318.61</v>
      </c>
      <c r="I648" s="654">
        <f>LIGANTES!$M$15</f>
        <v>4434.49</v>
      </c>
      <c r="J648" s="1051">
        <f>IF(ISBLANK(I648),"",I648*(1+$F$9)/(1+$F$10))+H648</f>
        <v>4631.771828937638</v>
      </c>
      <c r="K648" s="655">
        <f t="shared" si="692"/>
        <v>5637.33</v>
      </c>
      <c r="L648" s="656" t="s">
        <v>20</v>
      </c>
      <c r="M648" s="1052">
        <f>ROUND(M643*G643,2)</f>
        <v>0</v>
      </c>
      <c r="N648" s="1072"/>
      <c r="O648" s="1054">
        <f t="shared" si="536"/>
        <v>0</v>
      </c>
      <c r="P648" s="1055">
        <f t="shared" si="537"/>
        <v>0</v>
      </c>
      <c r="Q648" s="1038"/>
      <c r="R648" s="1056">
        <f>ROUND(R643*G643,2)</f>
        <v>0</v>
      </c>
      <c r="S648" s="1076">
        <f t="shared" ref="S648:S649" si="702">N648</f>
        <v>0</v>
      </c>
      <c r="T648" s="657">
        <f t="shared" si="540"/>
        <v>0</v>
      </c>
      <c r="U648" s="658">
        <f t="shared" si="594"/>
        <v>0</v>
      </c>
      <c r="V648" s="94"/>
      <c r="W648" s="579" t="str">
        <f>IF(U643&gt;0,"xx",IF(P643&gt;0,"xy",""))</f>
        <v/>
      </c>
      <c r="X648" s="580" t="str">
        <f t="shared" si="533"/>
        <v/>
      </c>
      <c r="Y648" s="580" t="str">
        <f t="shared" si="600"/>
        <v/>
      </c>
      <c r="Z648" s="580" t="str">
        <f t="shared" si="596"/>
        <v/>
      </c>
    </row>
    <row r="649" spans="1:26" ht="15.75" hidden="1" x14ac:dyDescent="0.2">
      <c r="A649" s="1008">
        <v>570400</v>
      </c>
      <c r="B649" s="1064" t="s">
        <v>2153</v>
      </c>
      <c r="C649" s="1065" t="s">
        <v>212</v>
      </c>
      <c r="D649" s="327" t="s">
        <v>1829</v>
      </c>
      <c r="E649" s="915"/>
      <c r="F649" s="991" t="s">
        <v>851</v>
      </c>
      <c r="G649" s="992">
        <v>5.7000000000000002E-2</v>
      </c>
      <c r="H649" s="993">
        <f>SUM(H650:H653)</f>
        <v>33.016220000000004</v>
      </c>
      <c r="I649" s="648">
        <v>127</v>
      </c>
      <c r="J649" s="1041">
        <f t="shared" ref="J649" si="703">IF(ISBLANK(I649),"",SUM(H649:I649))</f>
        <v>160.01622</v>
      </c>
      <c r="K649" s="649">
        <f t="shared" si="692"/>
        <v>194.76</v>
      </c>
      <c r="L649" s="650" t="s">
        <v>20</v>
      </c>
      <c r="M649" s="1045"/>
      <c r="N649" s="1046"/>
      <c r="O649" s="1066">
        <f t="shared" si="536"/>
        <v>0</v>
      </c>
      <c r="P649" s="1067">
        <f t="shared" si="537"/>
        <v>0</v>
      </c>
      <c r="Q649" s="1038"/>
      <c r="R649" s="1045">
        <f t="shared" ref="R649" si="704">M649</f>
        <v>0</v>
      </c>
      <c r="S649" s="1046">
        <f t="shared" si="702"/>
        <v>0</v>
      </c>
      <c r="T649" s="651">
        <f t="shared" si="540"/>
        <v>0</v>
      </c>
      <c r="U649" s="652">
        <f t="shared" si="594"/>
        <v>0</v>
      </c>
      <c r="V649" s="94"/>
      <c r="X649" s="580" t="str">
        <f t="shared" si="533"/>
        <v/>
      </c>
      <c r="Y649" s="580" t="str">
        <f t="shared" si="600"/>
        <v/>
      </c>
      <c r="Z649" s="580" t="str">
        <f t="shared" si="596"/>
        <v/>
      </c>
    </row>
    <row r="650" spans="1:26" hidden="1" x14ac:dyDescent="0.2">
      <c r="A650" s="97" t="s">
        <v>165</v>
      </c>
      <c r="B650" s="1031" t="s">
        <v>165</v>
      </c>
      <c r="C650" s="978"/>
      <c r="D650" s="916" t="s">
        <v>257</v>
      </c>
      <c r="E650" s="917"/>
      <c r="F650" s="994">
        <v>180</v>
      </c>
      <c r="G650" s="997">
        <v>0.1</v>
      </c>
      <c r="H650" s="996">
        <f t="shared" ref="H650" si="705">IF(F650&lt;=30,(0.7*F650+1.45)*G650,((0.7*30+1.45)+0.58*(F650-30))*G650)</f>
        <v>10.945</v>
      </c>
      <c r="I650" s="592"/>
      <c r="J650" s="1030"/>
      <c r="K650" s="593">
        <f t="shared" si="692"/>
        <v>0</v>
      </c>
      <c r="L650" s="594" t="s">
        <v>783</v>
      </c>
      <c r="M650" s="1068"/>
      <c r="N650" s="1069"/>
      <c r="O650" s="1070">
        <f t="shared" si="536"/>
        <v>0</v>
      </c>
      <c r="P650" s="1071">
        <f t="shared" si="537"/>
        <v>0</v>
      </c>
      <c r="Q650" s="1038"/>
      <c r="R650" s="1068"/>
      <c r="S650" s="1069"/>
      <c r="T650" s="93">
        <f t="shared" si="540"/>
        <v>0</v>
      </c>
      <c r="U650" s="95">
        <f t="shared" si="594"/>
        <v>0</v>
      </c>
      <c r="V650" s="94"/>
      <c r="W650" s="579" t="str">
        <f>IF(U649&gt;0,"xx",IF(P649&gt;0,"xy",""))</f>
        <v/>
      </c>
      <c r="X650" s="580" t="str">
        <f t="shared" si="533"/>
        <v/>
      </c>
      <c r="Y650" s="580" t="str">
        <f t="shared" si="600"/>
        <v/>
      </c>
      <c r="Z650" s="580" t="str">
        <f t="shared" si="596"/>
        <v/>
      </c>
    </row>
    <row r="651" spans="1:26" hidden="1" x14ac:dyDescent="0.2">
      <c r="A651" s="97" t="s">
        <v>165</v>
      </c>
      <c r="B651" s="1031" t="s">
        <v>165</v>
      </c>
      <c r="C651" s="978"/>
      <c r="D651" s="916" t="s">
        <v>258</v>
      </c>
      <c r="E651" s="917"/>
      <c r="F651" s="994">
        <v>500</v>
      </c>
      <c r="G651" s="997">
        <v>1.4999999999999999E-2</v>
      </c>
      <c r="H651" s="979">
        <f>IF(F651&lt;=30,(0.51*F651+4.28)*G651,((0.51*30+4.28)+0.42*(F651-30))*G651)</f>
        <v>3.2547000000000001</v>
      </c>
      <c r="I651" s="592"/>
      <c r="J651" s="1030"/>
      <c r="K651" s="593">
        <f t="shared" si="692"/>
        <v>0</v>
      </c>
      <c r="L651" s="594" t="s">
        <v>783</v>
      </c>
      <c r="M651" s="1068"/>
      <c r="N651" s="1069"/>
      <c r="O651" s="1070">
        <f t="shared" si="536"/>
        <v>0</v>
      </c>
      <c r="P651" s="1071">
        <f t="shared" si="537"/>
        <v>0</v>
      </c>
      <c r="Q651" s="1038"/>
      <c r="R651" s="1068"/>
      <c r="S651" s="1069"/>
      <c r="T651" s="93">
        <f t="shared" si="540"/>
        <v>0</v>
      </c>
      <c r="U651" s="95">
        <f t="shared" si="594"/>
        <v>0</v>
      </c>
      <c r="V651" s="94"/>
      <c r="W651" s="579" t="str">
        <f>IF(U649&gt;0,"xx",IF(P649&gt;0,"xy",""))</f>
        <v/>
      </c>
      <c r="X651" s="580" t="str">
        <f t="shared" si="533"/>
        <v/>
      </c>
      <c r="Y651" s="580" t="str">
        <f t="shared" si="600"/>
        <v/>
      </c>
      <c r="Z651" s="580" t="str">
        <f t="shared" si="596"/>
        <v/>
      </c>
    </row>
    <row r="652" spans="1:26" hidden="1" x14ac:dyDescent="0.2">
      <c r="A652" s="97" t="s">
        <v>165</v>
      </c>
      <c r="B652" s="1031" t="s">
        <v>165</v>
      </c>
      <c r="C652" s="978"/>
      <c r="D652" s="916" t="s">
        <v>271</v>
      </c>
      <c r="E652" s="917"/>
      <c r="F652" s="994">
        <v>0.2</v>
      </c>
      <c r="G652" s="997">
        <v>0.82799999999999996</v>
      </c>
      <c r="H652" s="979">
        <f>IF(F652=0,0,IF(F652&lt;=30,(0.7*F652+1.45)*G652,((0.7*30+1.45)+0.58*(F652-30))*G652))</f>
        <v>1.3165199999999999</v>
      </c>
      <c r="I652" s="592"/>
      <c r="J652" s="1030"/>
      <c r="K652" s="593">
        <f t="shared" si="692"/>
        <v>0</v>
      </c>
      <c r="L652" s="594" t="s">
        <v>783</v>
      </c>
      <c r="M652" s="1068"/>
      <c r="N652" s="1069"/>
      <c r="O652" s="1070">
        <f t="shared" si="536"/>
        <v>0</v>
      </c>
      <c r="P652" s="1071">
        <f t="shared" si="537"/>
        <v>0</v>
      </c>
      <c r="Q652" s="1038"/>
      <c r="R652" s="1068"/>
      <c r="S652" s="1069"/>
      <c r="T652" s="93">
        <f t="shared" si="540"/>
        <v>0</v>
      </c>
      <c r="U652" s="95">
        <f t="shared" si="594"/>
        <v>0</v>
      </c>
      <c r="V652" s="94"/>
      <c r="W652" s="579" t="str">
        <f>IF(U649&gt;0,"xx",IF(P649&gt;0,"xy",""))</f>
        <v/>
      </c>
      <c r="X652" s="580" t="str">
        <f t="shared" si="533"/>
        <v/>
      </c>
      <c r="Y652" s="580" t="str">
        <f t="shared" si="600"/>
        <v/>
      </c>
      <c r="Z652" s="580" t="str">
        <f t="shared" si="596"/>
        <v/>
      </c>
    </row>
    <row r="653" spans="1:26" hidden="1" x14ac:dyDescent="0.2">
      <c r="A653" s="97" t="s">
        <v>165</v>
      </c>
      <c r="B653" s="1031" t="s">
        <v>165</v>
      </c>
      <c r="C653" s="978"/>
      <c r="D653" s="916" t="s">
        <v>272</v>
      </c>
      <c r="E653" s="917"/>
      <c r="F653" s="994">
        <v>20</v>
      </c>
      <c r="G653" s="997">
        <f>SUM(G649:G652)</f>
        <v>1</v>
      </c>
      <c r="H653" s="979">
        <f>IF(F653&lt;=30,(0.7*F653+3.5)*G653,((0.7*30+3.5)+0.58*(F653-30))*G653)</f>
        <v>17.5</v>
      </c>
      <c r="I653" s="592"/>
      <c r="J653" s="1030"/>
      <c r="K653" s="593">
        <f t="shared" si="692"/>
        <v>0</v>
      </c>
      <c r="L653" s="594" t="s">
        <v>783</v>
      </c>
      <c r="M653" s="1068"/>
      <c r="N653" s="1077"/>
      <c r="O653" s="1070">
        <f t="shared" si="536"/>
        <v>0</v>
      </c>
      <c r="P653" s="1071">
        <f t="shared" si="537"/>
        <v>0</v>
      </c>
      <c r="Q653" s="1038"/>
      <c r="R653" s="1068"/>
      <c r="S653" s="1069"/>
      <c r="T653" s="93">
        <f t="shared" si="540"/>
        <v>0</v>
      </c>
      <c r="U653" s="95">
        <f t="shared" si="594"/>
        <v>0</v>
      </c>
      <c r="V653" s="94"/>
      <c r="W653" s="579" t="str">
        <f>IF(U649&gt;0,"xx",IF(P649&gt;0,"xy",""))</f>
        <v/>
      </c>
      <c r="X653" s="580" t="str">
        <f t="shared" si="533"/>
        <v/>
      </c>
      <c r="Y653" s="580" t="str">
        <f t="shared" si="600"/>
        <v/>
      </c>
      <c r="Z653" s="580" t="str">
        <f t="shared" si="596"/>
        <v/>
      </c>
    </row>
    <row r="654" spans="1:26" ht="13.5" hidden="1" thickBot="1" x14ac:dyDescent="0.25">
      <c r="A654" s="1008">
        <v>589000</v>
      </c>
      <c r="B654" s="1004" t="s">
        <v>2092</v>
      </c>
      <c r="C654" s="1048" t="s">
        <v>241</v>
      </c>
      <c r="D654" s="914" t="s">
        <v>847</v>
      </c>
      <c r="E654" s="919"/>
      <c r="F654" s="998">
        <v>500</v>
      </c>
      <c r="G654" s="999">
        <v>1</v>
      </c>
      <c r="H654" s="1000">
        <f>(0.58*F654+28.61)*G654</f>
        <v>318.61</v>
      </c>
      <c r="I654" s="654">
        <f>LIGANTES!$M$15</f>
        <v>4434.49</v>
      </c>
      <c r="J654" s="1051">
        <f>IF(ISBLANK(I654),"",I654*(1+$F$9)/(1+$F$10))+H654</f>
        <v>4631.771828937638</v>
      </c>
      <c r="K654" s="655">
        <f t="shared" si="692"/>
        <v>5637.33</v>
      </c>
      <c r="L654" s="656" t="s">
        <v>20</v>
      </c>
      <c r="M654" s="1052">
        <f>ROUND(M649*G649,2)</f>
        <v>0</v>
      </c>
      <c r="N654" s="1072"/>
      <c r="O654" s="1054">
        <f t="shared" si="536"/>
        <v>0</v>
      </c>
      <c r="P654" s="1055">
        <f t="shared" si="537"/>
        <v>0</v>
      </c>
      <c r="Q654" s="1038"/>
      <c r="R654" s="1056">
        <f>ROUND(R649*G649,2)</f>
        <v>0</v>
      </c>
      <c r="S654" s="1076">
        <f t="shared" ref="S654" si="706">N654</f>
        <v>0</v>
      </c>
      <c r="T654" s="657">
        <f t="shared" si="540"/>
        <v>0</v>
      </c>
      <c r="U654" s="658">
        <f t="shared" si="594"/>
        <v>0</v>
      </c>
      <c r="V654" s="94"/>
      <c r="W654" s="579" t="str">
        <f>IF(U649&gt;0,"xx",IF(P649&gt;0,"xy",""))</f>
        <v/>
      </c>
      <c r="X654" s="580" t="str">
        <f t="shared" si="533"/>
        <v/>
      </c>
      <c r="Y654" s="580" t="str">
        <f t="shared" si="600"/>
        <v/>
      </c>
      <c r="Z654" s="580" t="str">
        <f t="shared" si="596"/>
        <v/>
      </c>
    </row>
    <row r="655" spans="1:26" hidden="1" x14ac:dyDescent="0.2">
      <c r="A655" s="1008">
        <v>521450</v>
      </c>
      <c r="B655" s="1026" t="s">
        <v>1972</v>
      </c>
      <c r="C655" s="1058" t="s">
        <v>212</v>
      </c>
      <c r="D655" s="988" t="s">
        <v>304</v>
      </c>
      <c r="E655" s="1080"/>
      <c r="F655" s="994">
        <v>20</v>
      </c>
      <c r="G655" s="1061">
        <v>0.3</v>
      </c>
      <c r="H655" s="661">
        <f t="shared" ref="H655:H656" si="707">IF(F655&lt;=30,(0.7*F655+1.45)*G655,((0.7*30+1.45)+0.58*(F655-30))*G655)</f>
        <v>4.6349999999999998</v>
      </c>
      <c r="I655" s="1030">
        <v>22.76</v>
      </c>
      <c r="J655" s="592">
        <f t="shared" ref="J655:J660" si="708">IF(ISBLANK(I655),"",SUM(H655:I655))</f>
        <v>27.395000000000003</v>
      </c>
      <c r="K655" s="593">
        <f t="shared" si="692"/>
        <v>33.340000000000003</v>
      </c>
      <c r="L655" s="594" t="s">
        <v>18</v>
      </c>
      <c r="M655" s="92"/>
      <c r="N655" s="92"/>
      <c r="O655" s="93">
        <f t="shared" si="536"/>
        <v>0</v>
      </c>
      <c r="P655" s="93">
        <f t="shared" si="537"/>
        <v>0</v>
      </c>
      <c r="Q655" s="94"/>
      <c r="R655" s="92">
        <f t="shared" ref="R655:R685" si="709">M655</f>
        <v>0</v>
      </c>
      <c r="S655" s="92">
        <f t="shared" ref="S655:S685" si="710">N655</f>
        <v>0</v>
      </c>
      <c r="T655" s="93">
        <f t="shared" si="540"/>
        <v>0</v>
      </c>
      <c r="U655" s="95">
        <f t="shared" ref="U655:U671" si="711">IF(ISBLANK(R655),0,ROUND(R655*S655,2))</f>
        <v>0</v>
      </c>
      <c r="V655" s="94"/>
      <c r="X655" s="580" t="str">
        <f t="shared" ref="X655:X687" si="712">IF(W655="X","x",IF(W655="xx","x",IF(W655="xy","x",IF(W655="y","x",IF(OR(P655&gt;0,U655&gt;0),"x","")))))</f>
        <v/>
      </c>
      <c r="Y655" s="580" t="str">
        <f t="shared" si="517"/>
        <v/>
      </c>
      <c r="Z655" s="580" t="str">
        <f t="shared" si="596"/>
        <v/>
      </c>
    </row>
    <row r="656" spans="1:26" hidden="1" x14ac:dyDescent="0.2">
      <c r="A656" s="1008">
        <v>535200</v>
      </c>
      <c r="B656" s="1010" t="s">
        <v>1968</v>
      </c>
      <c r="C656" s="975" t="s">
        <v>212</v>
      </c>
      <c r="D656" s="988" t="s">
        <v>305</v>
      </c>
      <c r="E656" s="976"/>
      <c r="F656" s="994">
        <v>20</v>
      </c>
      <c r="G656" s="1061">
        <v>7.6999999999999999E-2</v>
      </c>
      <c r="H656" s="661">
        <f t="shared" si="707"/>
        <v>1.1896499999999999</v>
      </c>
      <c r="I656" s="1030">
        <v>9.84</v>
      </c>
      <c r="J656" s="592">
        <f t="shared" si="708"/>
        <v>11.02965</v>
      </c>
      <c r="K656" s="593">
        <f t="shared" si="692"/>
        <v>13.42</v>
      </c>
      <c r="L656" s="594" t="s">
        <v>19</v>
      </c>
      <c r="M656" s="92"/>
      <c r="N656" s="92"/>
      <c r="O656" s="93">
        <f t="shared" si="536"/>
        <v>0</v>
      </c>
      <c r="P656" s="93">
        <f t="shared" si="537"/>
        <v>0</v>
      </c>
      <c r="Q656" s="94"/>
      <c r="R656" s="92">
        <f t="shared" si="709"/>
        <v>0</v>
      </c>
      <c r="S656" s="92">
        <f t="shared" si="710"/>
        <v>0</v>
      </c>
      <c r="T656" s="93">
        <f t="shared" si="540"/>
        <v>0</v>
      </c>
      <c r="U656" s="95">
        <f t="shared" si="711"/>
        <v>0</v>
      </c>
      <c r="V656" s="94"/>
      <c r="X656" s="580" t="str">
        <f t="shared" si="712"/>
        <v/>
      </c>
      <c r="Y656" s="580" t="str">
        <f t="shared" si="517"/>
        <v/>
      </c>
      <c r="Z656" s="580" t="str">
        <f t="shared" si="596"/>
        <v/>
      </c>
    </row>
    <row r="657" spans="1:29" hidden="1" x14ac:dyDescent="0.2">
      <c r="A657" s="1008">
        <v>521450</v>
      </c>
      <c r="B657" s="1010" t="s">
        <v>1973</v>
      </c>
      <c r="C657" s="975" t="s">
        <v>212</v>
      </c>
      <c r="D657" s="988" t="s">
        <v>306</v>
      </c>
      <c r="E657" s="976"/>
      <c r="F657" s="994"/>
      <c r="G657" s="1061"/>
      <c r="H657" s="979"/>
      <c r="I657" s="1030">
        <v>8.5500000000000007</v>
      </c>
      <c r="J657" s="592">
        <f t="shared" si="708"/>
        <v>8.5500000000000007</v>
      </c>
      <c r="K657" s="593">
        <f t="shared" si="692"/>
        <v>10.41</v>
      </c>
      <c r="L657" s="594" t="s">
        <v>18</v>
      </c>
      <c r="M657" s="92"/>
      <c r="N657" s="92"/>
      <c r="O657" s="93">
        <f t="shared" si="536"/>
        <v>0</v>
      </c>
      <c r="P657" s="93">
        <f t="shared" si="537"/>
        <v>0</v>
      </c>
      <c r="Q657" s="94"/>
      <c r="R657" s="92">
        <f t="shared" si="709"/>
        <v>0</v>
      </c>
      <c r="S657" s="92">
        <f t="shared" si="710"/>
        <v>0</v>
      </c>
      <c r="T657" s="93">
        <f t="shared" si="540"/>
        <v>0</v>
      </c>
      <c r="U657" s="95">
        <f t="shared" si="711"/>
        <v>0</v>
      </c>
      <c r="V657" s="94"/>
      <c r="X657" s="580" t="str">
        <f t="shared" si="712"/>
        <v/>
      </c>
      <c r="Y657" s="580" t="str">
        <f t="shared" si="517"/>
        <v/>
      </c>
      <c r="Z657" s="580" t="str">
        <f t="shared" si="596"/>
        <v/>
      </c>
    </row>
    <row r="658" spans="1:29" hidden="1" x14ac:dyDescent="0.2">
      <c r="A658" s="1008">
        <v>521450</v>
      </c>
      <c r="B658" s="1010" t="s">
        <v>1974</v>
      </c>
      <c r="C658" s="975" t="s">
        <v>212</v>
      </c>
      <c r="D658" s="988" t="s">
        <v>307</v>
      </c>
      <c r="E658" s="976"/>
      <c r="F658" s="994"/>
      <c r="G658" s="1061"/>
      <c r="H658" s="979"/>
      <c r="I658" s="1030">
        <v>11.97</v>
      </c>
      <c r="J658" s="592">
        <f t="shared" si="708"/>
        <v>11.97</v>
      </c>
      <c r="K658" s="593">
        <f t="shared" si="692"/>
        <v>14.57</v>
      </c>
      <c r="L658" s="594" t="s">
        <v>18</v>
      </c>
      <c r="M658" s="92"/>
      <c r="N658" s="92"/>
      <c r="O658" s="93">
        <f t="shared" si="536"/>
        <v>0</v>
      </c>
      <c r="P658" s="93">
        <f t="shared" si="537"/>
        <v>0</v>
      </c>
      <c r="Q658" s="94"/>
      <c r="R658" s="92">
        <f t="shared" si="709"/>
        <v>0</v>
      </c>
      <c r="S658" s="92">
        <f t="shared" si="710"/>
        <v>0</v>
      </c>
      <c r="T658" s="93">
        <f t="shared" si="540"/>
        <v>0</v>
      </c>
      <c r="U658" s="95">
        <f t="shared" si="711"/>
        <v>0</v>
      </c>
      <c r="V658" s="94"/>
      <c r="X658" s="580" t="str">
        <f t="shared" si="712"/>
        <v/>
      </c>
      <c r="Y658" s="580" t="str">
        <f t="shared" si="517"/>
        <v/>
      </c>
      <c r="Z658" s="580" t="str">
        <f t="shared" si="596"/>
        <v/>
      </c>
    </row>
    <row r="659" spans="1:29" hidden="1" x14ac:dyDescent="0.2">
      <c r="A659" s="1008">
        <v>535000</v>
      </c>
      <c r="B659" s="1010" t="s">
        <v>2101</v>
      </c>
      <c r="C659" s="978" t="s">
        <v>212</v>
      </c>
      <c r="D659" s="595" t="s">
        <v>250</v>
      </c>
      <c r="E659" s="596"/>
      <c r="F659" s="671">
        <v>20</v>
      </c>
      <c r="G659" s="597">
        <v>0.27200000000000002</v>
      </c>
      <c r="H659" s="661">
        <f t="shared" ref="H659:H672" si="713">IF(F659&lt;=30,(0.7*F659+1.45)*G659,((0.7*30+1.45)+0.58*(F659-30))*G659)</f>
        <v>4.2023999999999999</v>
      </c>
      <c r="I659" s="592">
        <v>84.59</v>
      </c>
      <c r="J659" s="592">
        <f t="shared" si="708"/>
        <v>88.792400000000001</v>
      </c>
      <c r="K659" s="593">
        <f t="shared" si="692"/>
        <v>108.07</v>
      </c>
      <c r="L659" s="594" t="s">
        <v>18</v>
      </c>
      <c r="M659" s="92"/>
      <c r="N659" s="92"/>
      <c r="O659" s="93">
        <f t="shared" si="536"/>
        <v>0</v>
      </c>
      <c r="P659" s="93">
        <f t="shared" si="537"/>
        <v>0</v>
      </c>
      <c r="Q659" s="94"/>
      <c r="R659" s="92">
        <f t="shared" si="709"/>
        <v>0</v>
      </c>
      <c r="S659" s="92">
        <f t="shared" si="710"/>
        <v>0</v>
      </c>
      <c r="T659" s="93">
        <f t="shared" si="540"/>
        <v>0</v>
      </c>
      <c r="U659" s="95">
        <f t="shared" si="711"/>
        <v>0</v>
      </c>
      <c r="V659" s="94"/>
      <c r="X659" s="580" t="str">
        <f t="shared" si="712"/>
        <v/>
      </c>
      <c r="Y659" s="580" t="str">
        <f t="shared" si="517"/>
        <v/>
      </c>
      <c r="Z659" s="580" t="str">
        <f t="shared" si="596"/>
        <v/>
      </c>
    </row>
    <row r="660" spans="1:29" hidden="1" x14ac:dyDescent="0.2">
      <c r="A660" s="1008">
        <v>863000</v>
      </c>
      <c r="B660" s="1010" t="s">
        <v>1984</v>
      </c>
      <c r="C660" s="978" t="s">
        <v>212</v>
      </c>
      <c r="D660" s="595" t="s">
        <v>251</v>
      </c>
      <c r="E660" s="596"/>
      <c r="F660" s="671">
        <v>20</v>
      </c>
      <c r="G660" s="597">
        <f>2*0.04</f>
        <v>0.08</v>
      </c>
      <c r="H660" s="661">
        <f t="shared" si="713"/>
        <v>1.236</v>
      </c>
      <c r="I660" s="592">
        <v>40.720000000000006</v>
      </c>
      <c r="J660" s="592">
        <f t="shared" si="708"/>
        <v>41.956000000000003</v>
      </c>
      <c r="K660" s="614">
        <f t="shared" si="692"/>
        <v>51.06</v>
      </c>
      <c r="L660" s="594" t="s">
        <v>18</v>
      </c>
      <c r="M660" s="92"/>
      <c r="N660" s="92"/>
      <c r="O660" s="93">
        <f t="shared" si="536"/>
        <v>0</v>
      </c>
      <c r="P660" s="93">
        <f t="shared" si="537"/>
        <v>0</v>
      </c>
      <c r="Q660" s="94"/>
      <c r="R660" s="92">
        <f t="shared" si="709"/>
        <v>0</v>
      </c>
      <c r="S660" s="92">
        <f t="shared" si="710"/>
        <v>0</v>
      </c>
      <c r="T660" s="93">
        <f t="shared" si="540"/>
        <v>0</v>
      </c>
      <c r="U660" s="95">
        <f t="shared" si="711"/>
        <v>0</v>
      </c>
      <c r="V660" s="94"/>
      <c r="X660" s="580" t="str">
        <f t="shared" si="712"/>
        <v/>
      </c>
      <c r="Y660" s="580" t="str">
        <f t="shared" si="517"/>
        <v/>
      </c>
      <c r="Z660" s="580" t="str">
        <f t="shared" si="596"/>
        <v/>
      </c>
    </row>
    <row r="661" spans="1:29" hidden="1" x14ac:dyDescent="0.2">
      <c r="A661" s="1008">
        <v>863000</v>
      </c>
      <c r="B661" s="1010" t="s">
        <v>1985</v>
      </c>
      <c r="C661" s="978" t="s">
        <v>212</v>
      </c>
      <c r="D661" s="595" t="s">
        <v>252</v>
      </c>
      <c r="E661" s="596"/>
      <c r="F661" s="671">
        <v>20</v>
      </c>
      <c r="G661" s="597">
        <f>2*0.05</f>
        <v>0.1</v>
      </c>
      <c r="H661" s="661">
        <f t="shared" si="713"/>
        <v>1.5449999999999999</v>
      </c>
      <c r="I661" s="592">
        <v>45.81</v>
      </c>
      <c r="J661" s="592">
        <f t="shared" ref="J661:J671" si="714">IF(ISBLANK(I661),"",SUM(H661:I661))</f>
        <v>47.355000000000004</v>
      </c>
      <c r="K661" s="614">
        <f t="shared" si="692"/>
        <v>57.64</v>
      </c>
      <c r="L661" s="594" t="s">
        <v>18</v>
      </c>
      <c r="M661" s="92"/>
      <c r="N661" s="92"/>
      <c r="O661" s="93">
        <f t="shared" si="536"/>
        <v>0</v>
      </c>
      <c r="P661" s="93">
        <f t="shared" si="537"/>
        <v>0</v>
      </c>
      <c r="Q661" s="94"/>
      <c r="R661" s="92">
        <f t="shared" si="709"/>
        <v>0</v>
      </c>
      <c r="S661" s="92">
        <f t="shared" si="710"/>
        <v>0</v>
      </c>
      <c r="T661" s="93">
        <f t="shared" si="540"/>
        <v>0</v>
      </c>
      <c r="U661" s="95">
        <f t="shared" si="711"/>
        <v>0</v>
      </c>
      <c r="V661" s="94"/>
      <c r="X661" s="580" t="str">
        <f t="shared" si="712"/>
        <v/>
      </c>
      <c r="Y661" s="580" t="str">
        <f t="shared" si="517"/>
        <v/>
      </c>
      <c r="Z661" s="580" t="str">
        <f t="shared" si="596"/>
        <v/>
      </c>
    </row>
    <row r="662" spans="1:29" hidden="1" x14ac:dyDescent="0.2">
      <c r="A662" s="1008">
        <v>534906</v>
      </c>
      <c r="B662" s="1010" t="s">
        <v>1986</v>
      </c>
      <c r="C662" s="978" t="s">
        <v>212</v>
      </c>
      <c r="D662" s="595" t="s">
        <v>253</v>
      </c>
      <c r="E662" s="596"/>
      <c r="F662" s="671">
        <v>20</v>
      </c>
      <c r="G662" s="597">
        <f>2*0.06</f>
        <v>0.12</v>
      </c>
      <c r="H662" s="661">
        <f t="shared" si="713"/>
        <v>1.8539999999999999</v>
      </c>
      <c r="I662" s="592">
        <v>50.900000000000006</v>
      </c>
      <c r="J662" s="592">
        <f t="shared" si="714"/>
        <v>52.754000000000005</v>
      </c>
      <c r="K662" s="593">
        <f t="shared" si="692"/>
        <v>64.209999999999994</v>
      </c>
      <c r="L662" s="594" t="s">
        <v>18</v>
      </c>
      <c r="M662" s="92"/>
      <c r="N662" s="92"/>
      <c r="O662" s="93">
        <f t="shared" si="536"/>
        <v>0</v>
      </c>
      <c r="P662" s="93">
        <f t="shared" si="537"/>
        <v>0</v>
      </c>
      <c r="Q662" s="94"/>
      <c r="R662" s="92">
        <f t="shared" si="709"/>
        <v>0</v>
      </c>
      <c r="S662" s="92">
        <f t="shared" si="710"/>
        <v>0</v>
      </c>
      <c r="T662" s="93">
        <f t="shared" si="540"/>
        <v>0</v>
      </c>
      <c r="U662" s="95">
        <f t="shared" si="711"/>
        <v>0</v>
      </c>
      <c r="V662" s="94"/>
      <c r="X662" s="580" t="str">
        <f t="shared" si="712"/>
        <v/>
      </c>
      <c r="Y662" s="580" t="str">
        <f t="shared" si="517"/>
        <v/>
      </c>
      <c r="Z662" s="580" t="str">
        <f t="shared" si="596"/>
        <v/>
      </c>
    </row>
    <row r="663" spans="1:29" hidden="1" x14ac:dyDescent="0.2">
      <c r="A663" s="1008">
        <v>534906</v>
      </c>
      <c r="B663" s="1010" t="s">
        <v>1987</v>
      </c>
      <c r="C663" s="978" t="s">
        <v>212</v>
      </c>
      <c r="D663" s="595" t="s">
        <v>254</v>
      </c>
      <c r="E663" s="596"/>
      <c r="F663" s="671">
        <v>20</v>
      </c>
      <c r="G663" s="597">
        <f>2*0.07</f>
        <v>0.14000000000000001</v>
      </c>
      <c r="H663" s="661">
        <f t="shared" si="713"/>
        <v>2.1630000000000003</v>
      </c>
      <c r="I663" s="592">
        <v>53.36</v>
      </c>
      <c r="J663" s="592">
        <f t="shared" si="714"/>
        <v>55.522999999999996</v>
      </c>
      <c r="K663" s="593">
        <f t="shared" si="692"/>
        <v>67.58</v>
      </c>
      <c r="L663" s="594" t="s">
        <v>18</v>
      </c>
      <c r="M663" s="92"/>
      <c r="N663" s="92"/>
      <c r="O663" s="93">
        <f t="shared" si="536"/>
        <v>0</v>
      </c>
      <c r="P663" s="93">
        <f t="shared" si="537"/>
        <v>0</v>
      </c>
      <c r="Q663" s="94"/>
      <c r="R663" s="92">
        <f t="shared" si="709"/>
        <v>0</v>
      </c>
      <c r="S663" s="92">
        <f t="shared" si="710"/>
        <v>0</v>
      </c>
      <c r="T663" s="93">
        <f t="shared" si="540"/>
        <v>0</v>
      </c>
      <c r="U663" s="95">
        <f t="shared" si="711"/>
        <v>0</v>
      </c>
      <c r="V663" s="94"/>
      <c r="X663" s="580" t="str">
        <f t="shared" si="712"/>
        <v/>
      </c>
      <c r="Y663" s="580" t="str">
        <f t="shared" si="517"/>
        <v/>
      </c>
      <c r="Z663" s="580" t="str">
        <f t="shared" si="596"/>
        <v/>
      </c>
    </row>
    <row r="664" spans="1:29" hidden="1" x14ac:dyDescent="0.2">
      <c r="A664" s="1008">
        <v>534906</v>
      </c>
      <c r="B664" s="1010" t="s">
        <v>1988</v>
      </c>
      <c r="C664" s="978" t="s">
        <v>212</v>
      </c>
      <c r="D664" s="595" t="s">
        <v>255</v>
      </c>
      <c r="E664" s="596"/>
      <c r="F664" s="671">
        <v>20</v>
      </c>
      <c r="G664" s="597">
        <f>2*0.08</f>
        <v>0.16</v>
      </c>
      <c r="H664" s="661">
        <f t="shared" si="713"/>
        <v>2.472</v>
      </c>
      <c r="I664" s="592">
        <v>55.81</v>
      </c>
      <c r="J664" s="592">
        <f t="shared" si="714"/>
        <v>58.282000000000004</v>
      </c>
      <c r="K664" s="593">
        <f t="shared" si="692"/>
        <v>70.94</v>
      </c>
      <c r="L664" s="594" t="s">
        <v>18</v>
      </c>
      <c r="M664" s="92"/>
      <c r="N664" s="92"/>
      <c r="O664" s="93">
        <f t="shared" si="536"/>
        <v>0</v>
      </c>
      <c r="P664" s="93">
        <f t="shared" si="537"/>
        <v>0</v>
      </c>
      <c r="Q664" s="94"/>
      <c r="R664" s="92">
        <f t="shared" si="709"/>
        <v>0</v>
      </c>
      <c r="S664" s="92">
        <f t="shared" si="710"/>
        <v>0</v>
      </c>
      <c r="T664" s="93">
        <f t="shared" si="540"/>
        <v>0</v>
      </c>
      <c r="U664" s="95">
        <f t="shared" si="711"/>
        <v>0</v>
      </c>
      <c r="V664" s="94"/>
      <c r="X664" s="580" t="str">
        <f t="shared" si="712"/>
        <v/>
      </c>
      <c r="Y664" s="580" t="str">
        <f t="shared" si="517"/>
        <v/>
      </c>
      <c r="Z664" s="580" t="str">
        <f t="shared" si="596"/>
        <v/>
      </c>
    </row>
    <row r="665" spans="1:29" hidden="1" x14ac:dyDescent="0.2">
      <c r="A665" s="1008">
        <v>534906</v>
      </c>
      <c r="B665" s="1010" t="s">
        <v>1989</v>
      </c>
      <c r="C665" s="978" t="s">
        <v>212</v>
      </c>
      <c r="D665" s="595" t="s">
        <v>256</v>
      </c>
      <c r="E665" s="596"/>
      <c r="F665" s="671">
        <v>20</v>
      </c>
      <c r="G665" s="597">
        <f>2*0.1</f>
        <v>0.2</v>
      </c>
      <c r="H665" s="661">
        <f t="shared" si="713"/>
        <v>3.09</v>
      </c>
      <c r="I665" s="592">
        <v>63.283183908045977</v>
      </c>
      <c r="J665" s="592">
        <f t="shared" si="714"/>
        <v>66.373183908045974</v>
      </c>
      <c r="K665" s="593">
        <f t="shared" si="692"/>
        <v>80.78</v>
      </c>
      <c r="L665" s="594" t="s">
        <v>18</v>
      </c>
      <c r="M665" s="92"/>
      <c r="N665" s="92"/>
      <c r="O665" s="93">
        <f t="shared" si="536"/>
        <v>0</v>
      </c>
      <c r="P665" s="93">
        <f t="shared" si="537"/>
        <v>0</v>
      </c>
      <c r="Q665" s="94"/>
      <c r="R665" s="92">
        <f t="shared" si="709"/>
        <v>0</v>
      </c>
      <c r="S665" s="92">
        <f t="shared" si="710"/>
        <v>0</v>
      </c>
      <c r="T665" s="93">
        <f t="shared" si="540"/>
        <v>0</v>
      </c>
      <c r="U665" s="95">
        <f t="shared" si="711"/>
        <v>0</v>
      </c>
      <c r="V665" s="94"/>
      <c r="X665" s="580" t="str">
        <f t="shared" si="712"/>
        <v/>
      </c>
      <c r="Y665" s="580" t="str">
        <f t="shared" si="517"/>
        <v/>
      </c>
      <c r="Z665" s="580" t="str">
        <f t="shared" si="596"/>
        <v/>
      </c>
    </row>
    <row r="666" spans="1:29" hidden="1" x14ac:dyDescent="0.2">
      <c r="A666" s="1008">
        <v>534906</v>
      </c>
      <c r="B666" s="1010" t="s">
        <v>1990</v>
      </c>
      <c r="C666" s="978" t="s">
        <v>212</v>
      </c>
      <c r="D666" s="595" t="s">
        <v>1098</v>
      </c>
      <c r="E666" s="596"/>
      <c r="F666" s="671">
        <v>20</v>
      </c>
      <c r="G666" s="597">
        <v>0.14000000000000001</v>
      </c>
      <c r="H666" s="661">
        <f t="shared" si="713"/>
        <v>2.1630000000000003</v>
      </c>
      <c r="I666" s="592">
        <v>50.900000000000006</v>
      </c>
      <c r="J666" s="592">
        <f t="shared" si="714"/>
        <v>53.063000000000002</v>
      </c>
      <c r="K666" s="593">
        <f t="shared" ref="K666:K685" si="715">IF(ISBLANK(I666),0,ROUND(J666*(1+$F$10)*(1+$F$11*E666),2))</f>
        <v>64.58</v>
      </c>
      <c r="L666" s="594" t="s">
        <v>18</v>
      </c>
      <c r="M666" s="92"/>
      <c r="N666" s="92"/>
      <c r="O666" s="93">
        <f t="shared" si="536"/>
        <v>0</v>
      </c>
      <c r="P666" s="93">
        <f t="shared" si="537"/>
        <v>0</v>
      </c>
      <c r="Q666" s="94"/>
      <c r="R666" s="92">
        <f t="shared" si="709"/>
        <v>0</v>
      </c>
      <c r="S666" s="92">
        <f t="shared" si="710"/>
        <v>0</v>
      </c>
      <c r="T666" s="93">
        <f t="shared" si="540"/>
        <v>0</v>
      </c>
      <c r="U666" s="95">
        <f t="shared" si="711"/>
        <v>0</v>
      </c>
      <c r="V666" s="94"/>
      <c r="X666" s="580" t="str">
        <f t="shared" si="712"/>
        <v/>
      </c>
      <c r="Y666" s="580" t="str">
        <f t="shared" si="517"/>
        <v/>
      </c>
      <c r="Z666" s="580" t="str">
        <f t="shared" si="596"/>
        <v/>
      </c>
      <c r="AC666" s="63"/>
    </row>
    <row r="667" spans="1:29" hidden="1" x14ac:dyDescent="0.2">
      <c r="A667" s="1008">
        <v>534906</v>
      </c>
      <c r="B667" s="1010" t="s">
        <v>1991</v>
      </c>
      <c r="C667" s="978" t="s">
        <v>212</v>
      </c>
      <c r="D667" s="595" t="s">
        <v>1099</v>
      </c>
      <c r="E667" s="596"/>
      <c r="F667" s="671">
        <v>20</v>
      </c>
      <c r="G667" s="597">
        <v>0.14000000000000001</v>
      </c>
      <c r="H667" s="661">
        <f t="shared" si="713"/>
        <v>2.1630000000000003</v>
      </c>
      <c r="I667" s="592">
        <v>55.99</v>
      </c>
      <c r="J667" s="592">
        <f t="shared" si="714"/>
        <v>58.153000000000006</v>
      </c>
      <c r="K667" s="593">
        <f t="shared" si="715"/>
        <v>70.78</v>
      </c>
      <c r="L667" s="594" t="s">
        <v>18</v>
      </c>
      <c r="M667" s="92"/>
      <c r="N667" s="92"/>
      <c r="O667" s="93">
        <f t="shared" si="536"/>
        <v>0</v>
      </c>
      <c r="P667" s="93">
        <f t="shared" si="537"/>
        <v>0</v>
      </c>
      <c r="Q667" s="94"/>
      <c r="R667" s="92">
        <f t="shared" si="709"/>
        <v>0</v>
      </c>
      <c r="S667" s="92">
        <f t="shared" si="710"/>
        <v>0</v>
      </c>
      <c r="T667" s="93">
        <f t="shared" si="540"/>
        <v>0</v>
      </c>
      <c r="U667" s="95">
        <f t="shared" si="711"/>
        <v>0</v>
      </c>
      <c r="V667" s="94"/>
      <c r="X667" s="580" t="str">
        <f t="shared" si="712"/>
        <v/>
      </c>
      <c r="Y667" s="580" t="str">
        <f t="shared" si="517"/>
        <v/>
      </c>
      <c r="Z667" s="580" t="str">
        <f t="shared" si="596"/>
        <v/>
      </c>
    </row>
    <row r="668" spans="1:29" hidden="1" x14ac:dyDescent="0.2">
      <c r="A668" s="1008">
        <v>534908</v>
      </c>
      <c r="B668" s="1010" t="s">
        <v>239</v>
      </c>
      <c r="C668" s="978" t="s">
        <v>212</v>
      </c>
      <c r="D668" s="595" t="s">
        <v>1100</v>
      </c>
      <c r="E668" s="596"/>
      <c r="F668" s="671">
        <v>20</v>
      </c>
      <c r="G668" s="597">
        <v>0.18</v>
      </c>
      <c r="H668" s="661">
        <f t="shared" si="713"/>
        <v>2.7809999999999997</v>
      </c>
      <c r="I668" s="592">
        <v>55.81</v>
      </c>
      <c r="J668" s="592">
        <f t="shared" si="714"/>
        <v>58.591000000000001</v>
      </c>
      <c r="K668" s="593">
        <f t="shared" si="715"/>
        <v>71.31</v>
      </c>
      <c r="L668" s="594" t="s">
        <v>18</v>
      </c>
      <c r="M668" s="92"/>
      <c r="N668" s="92"/>
      <c r="O668" s="93">
        <f t="shared" si="536"/>
        <v>0</v>
      </c>
      <c r="P668" s="93">
        <f t="shared" si="537"/>
        <v>0</v>
      </c>
      <c r="Q668" s="94"/>
      <c r="R668" s="92">
        <f t="shared" si="709"/>
        <v>0</v>
      </c>
      <c r="S668" s="92">
        <f t="shared" si="710"/>
        <v>0</v>
      </c>
      <c r="T668" s="93">
        <f t="shared" si="540"/>
        <v>0</v>
      </c>
      <c r="U668" s="95">
        <f t="shared" si="711"/>
        <v>0</v>
      </c>
      <c r="V668" s="94"/>
      <c r="X668" s="580" t="str">
        <f t="shared" si="712"/>
        <v/>
      </c>
      <c r="Y668" s="580" t="str">
        <f t="shared" si="517"/>
        <v/>
      </c>
      <c r="Z668" s="580" t="str">
        <f t="shared" si="596"/>
        <v/>
      </c>
      <c r="AC668" s="63"/>
    </row>
    <row r="669" spans="1:29" hidden="1" x14ac:dyDescent="0.2">
      <c r="A669" s="1008">
        <v>534908</v>
      </c>
      <c r="B669" s="1010" t="s">
        <v>240</v>
      </c>
      <c r="C669" s="978" t="s">
        <v>212</v>
      </c>
      <c r="D669" s="595" t="s">
        <v>1101</v>
      </c>
      <c r="E669" s="596"/>
      <c r="F669" s="671">
        <v>20</v>
      </c>
      <c r="G669" s="597">
        <v>0.18</v>
      </c>
      <c r="H669" s="661">
        <f t="shared" si="713"/>
        <v>2.7809999999999997</v>
      </c>
      <c r="I669" s="592">
        <v>61.39</v>
      </c>
      <c r="J669" s="592">
        <f t="shared" si="714"/>
        <v>64.171000000000006</v>
      </c>
      <c r="K669" s="593">
        <f t="shared" si="715"/>
        <v>78.099999999999994</v>
      </c>
      <c r="L669" s="594" t="s">
        <v>18</v>
      </c>
      <c r="M669" s="92"/>
      <c r="N669" s="92"/>
      <c r="O669" s="93">
        <f t="shared" si="536"/>
        <v>0</v>
      </c>
      <c r="P669" s="93">
        <f t="shared" si="537"/>
        <v>0</v>
      </c>
      <c r="Q669" s="94"/>
      <c r="R669" s="92">
        <f t="shared" si="709"/>
        <v>0</v>
      </c>
      <c r="S669" s="92">
        <f t="shared" si="710"/>
        <v>0</v>
      </c>
      <c r="T669" s="93">
        <f t="shared" si="540"/>
        <v>0</v>
      </c>
      <c r="U669" s="95">
        <f t="shared" si="711"/>
        <v>0</v>
      </c>
      <c r="V669" s="94"/>
      <c r="X669" s="580" t="str">
        <f t="shared" si="712"/>
        <v/>
      </c>
      <c r="Y669" s="580" t="str">
        <f t="shared" si="517"/>
        <v/>
      </c>
      <c r="Z669" s="580" t="str">
        <f t="shared" si="596"/>
        <v/>
      </c>
    </row>
    <row r="670" spans="1:29" hidden="1" x14ac:dyDescent="0.2">
      <c r="A670" s="1008">
        <v>534908</v>
      </c>
      <c r="B670" s="1010" t="s">
        <v>1992</v>
      </c>
      <c r="C670" s="978" t="s">
        <v>212</v>
      </c>
      <c r="D670" s="595" t="s">
        <v>1102</v>
      </c>
      <c r="E670" s="596"/>
      <c r="F670" s="671">
        <v>20</v>
      </c>
      <c r="G670" s="597">
        <v>0.22</v>
      </c>
      <c r="H670" s="661">
        <f t="shared" si="713"/>
        <v>3.399</v>
      </c>
      <c r="I670" s="592">
        <v>63.283183908045977</v>
      </c>
      <c r="J670" s="592">
        <f t="shared" si="714"/>
        <v>66.682183908045971</v>
      </c>
      <c r="K670" s="593">
        <f t="shared" si="715"/>
        <v>81.16</v>
      </c>
      <c r="L670" s="594" t="s">
        <v>18</v>
      </c>
      <c r="M670" s="92"/>
      <c r="N670" s="92"/>
      <c r="O670" s="93">
        <f t="shared" si="536"/>
        <v>0</v>
      </c>
      <c r="P670" s="93">
        <f t="shared" si="537"/>
        <v>0</v>
      </c>
      <c r="Q670" s="94"/>
      <c r="R670" s="92">
        <f t="shared" si="709"/>
        <v>0</v>
      </c>
      <c r="S670" s="92">
        <f t="shared" si="710"/>
        <v>0</v>
      </c>
      <c r="T670" s="93">
        <f t="shared" si="540"/>
        <v>0</v>
      </c>
      <c r="U670" s="95">
        <f t="shared" si="711"/>
        <v>0</v>
      </c>
      <c r="V670" s="94"/>
      <c r="X670" s="580" t="str">
        <f t="shared" si="712"/>
        <v/>
      </c>
      <c r="Y670" s="580" t="str">
        <f t="shared" si="517"/>
        <v/>
      </c>
      <c r="Z670" s="580" t="str">
        <f t="shared" si="596"/>
        <v/>
      </c>
      <c r="AC670" s="63"/>
    </row>
    <row r="671" spans="1:29" hidden="1" x14ac:dyDescent="0.2">
      <c r="A671" s="1008">
        <v>534908</v>
      </c>
      <c r="B671" s="1010" t="s">
        <v>1993</v>
      </c>
      <c r="C671" s="978" t="s">
        <v>212</v>
      </c>
      <c r="D671" s="595" t="s">
        <v>1103</v>
      </c>
      <c r="E671" s="596"/>
      <c r="F671" s="671">
        <v>20</v>
      </c>
      <c r="G671" s="597">
        <v>0.22</v>
      </c>
      <c r="H671" s="661">
        <f t="shared" si="713"/>
        <v>3.399</v>
      </c>
      <c r="I671" s="592">
        <v>69.61</v>
      </c>
      <c r="J671" s="592">
        <f t="shared" si="714"/>
        <v>73.009</v>
      </c>
      <c r="K671" s="593">
        <f t="shared" si="715"/>
        <v>88.86</v>
      </c>
      <c r="L671" s="594" t="s">
        <v>18</v>
      </c>
      <c r="M671" s="92"/>
      <c r="N671" s="92"/>
      <c r="O671" s="93">
        <f t="shared" si="536"/>
        <v>0</v>
      </c>
      <c r="P671" s="93">
        <f t="shared" si="537"/>
        <v>0</v>
      </c>
      <c r="Q671" s="94"/>
      <c r="R671" s="92">
        <f t="shared" si="709"/>
        <v>0</v>
      </c>
      <c r="S671" s="92">
        <f t="shared" si="710"/>
        <v>0</v>
      </c>
      <c r="T671" s="93">
        <f t="shared" si="540"/>
        <v>0</v>
      </c>
      <c r="U671" s="95">
        <f t="shared" si="711"/>
        <v>0</v>
      </c>
      <c r="V671" s="94"/>
      <c r="X671" s="580" t="str">
        <f t="shared" si="712"/>
        <v/>
      </c>
      <c r="Y671" s="580" t="str">
        <f t="shared" si="517"/>
        <v/>
      </c>
      <c r="Z671" s="580" t="str">
        <f t="shared" ref="Z671:Z819" si="716">IF(W671="X","x",IF(U671&gt;0,"x",""))</f>
        <v/>
      </c>
    </row>
    <row r="672" spans="1:29" hidden="1" x14ac:dyDescent="0.2">
      <c r="A672" s="1008">
        <v>101090</v>
      </c>
      <c r="B672" s="1010" t="s">
        <v>1994</v>
      </c>
      <c r="C672" s="978" t="s">
        <v>883</v>
      </c>
      <c r="D672" s="909" t="s">
        <v>1824</v>
      </c>
      <c r="E672" s="917"/>
      <c r="F672" s="1059">
        <v>20</v>
      </c>
      <c r="G672" s="918">
        <v>0.3</v>
      </c>
      <c r="H672" s="661">
        <f t="shared" si="713"/>
        <v>4.6349999999999998</v>
      </c>
      <c r="I672" s="592">
        <v>120.01</v>
      </c>
      <c r="J672" s="592">
        <f t="shared" ref="J672:J673" si="717">IF(ISBLANK(I672),"",SUM(H672:I672))</f>
        <v>124.64500000000001</v>
      </c>
      <c r="K672" s="593">
        <f t="shared" ref="K672:K673" si="718">IF(ISBLANK(I672),0,ROUND(J672*(1+$F$10)*(1+$F$11*E672),2))</f>
        <v>151.71</v>
      </c>
      <c r="L672" s="594" t="s">
        <v>18</v>
      </c>
      <c r="M672" s="92"/>
      <c r="N672" s="92"/>
      <c r="O672" s="93">
        <f t="shared" ref="O672:O673" si="719">IF(ISBLANK(M672),0,ROUND(K672*M672,2))</f>
        <v>0</v>
      </c>
      <c r="P672" s="93">
        <f t="shared" ref="P672:P673" si="720">IF(ISBLANK(N672),0,ROUND(M672*N672,2))</f>
        <v>0</v>
      </c>
      <c r="Q672" s="94"/>
      <c r="R672" s="92">
        <f t="shared" ref="R672:R673" si="721">M672</f>
        <v>0</v>
      </c>
      <c r="S672" s="92">
        <f t="shared" ref="S672:S673" si="722">N672</f>
        <v>0</v>
      </c>
      <c r="T672" s="93">
        <f t="shared" ref="T672:T673" si="723">IF(ISBLANK(R672),0,ROUND(K672*R672,2))</f>
        <v>0</v>
      </c>
      <c r="U672" s="95">
        <f t="shared" ref="U672:U673" si="724">IF(ISBLANK(R672),0,ROUND(R672*S672,2))</f>
        <v>0</v>
      </c>
      <c r="V672" s="94"/>
      <c r="X672" s="580" t="str">
        <f t="shared" ref="X672:X673" si="725">IF(W672="X","x",IF(W672="xx","x",IF(W672="xy","x",IF(W672="y","x",IF(OR(P672&gt;0,U672&gt;0),"x","")))))</f>
        <v/>
      </c>
      <c r="Y672" s="580" t="str">
        <f t="shared" ref="Y672:Y673" si="726">IF(W672="X","x",IF(W672="y","x",IF(W672="xx","x",IF(U672&gt;0,"x",""))))</f>
        <v/>
      </c>
      <c r="Z672" s="580" t="str">
        <f t="shared" ref="Z672:Z673" si="727">IF(W672="X","x",IF(U672&gt;0,"x",""))</f>
        <v/>
      </c>
    </row>
    <row r="673" spans="1:26" hidden="1" x14ac:dyDescent="0.2">
      <c r="A673" s="1008">
        <v>98509</v>
      </c>
      <c r="B673" s="1010">
        <v>98509</v>
      </c>
      <c r="C673" s="978" t="s">
        <v>883</v>
      </c>
      <c r="D673" s="595" t="s">
        <v>1870</v>
      </c>
      <c r="E673" s="596"/>
      <c r="F673" s="671"/>
      <c r="G673" s="597"/>
      <c r="H673" s="682">
        <v>0</v>
      </c>
      <c r="I673" s="592">
        <v>23.96</v>
      </c>
      <c r="J673" s="592">
        <f t="shared" si="717"/>
        <v>23.96</v>
      </c>
      <c r="K673" s="593">
        <f t="shared" si="718"/>
        <v>29.16</v>
      </c>
      <c r="L673" s="594" t="s">
        <v>21</v>
      </c>
      <c r="M673" s="92"/>
      <c r="N673" s="92"/>
      <c r="O673" s="93">
        <f t="shared" si="719"/>
        <v>0</v>
      </c>
      <c r="P673" s="93">
        <f t="shared" si="720"/>
        <v>0</v>
      </c>
      <c r="Q673" s="94"/>
      <c r="R673" s="92">
        <f t="shared" si="721"/>
        <v>0</v>
      </c>
      <c r="S673" s="92">
        <f t="shared" si="722"/>
        <v>0</v>
      </c>
      <c r="T673" s="93">
        <f t="shared" si="723"/>
        <v>0</v>
      </c>
      <c r="U673" s="95">
        <f t="shared" si="724"/>
        <v>0</v>
      </c>
      <c r="V673" s="94"/>
      <c r="X673" s="580" t="str">
        <f t="shared" si="725"/>
        <v/>
      </c>
      <c r="Y673" s="580" t="str">
        <f t="shared" si="726"/>
        <v/>
      </c>
      <c r="Z673" s="580" t="str">
        <f t="shared" si="727"/>
        <v/>
      </c>
    </row>
    <row r="674" spans="1:26" hidden="1" x14ac:dyDescent="0.2">
      <c r="A674" s="1008">
        <v>98510</v>
      </c>
      <c r="B674" s="1010">
        <v>98510</v>
      </c>
      <c r="C674" s="978" t="s">
        <v>883</v>
      </c>
      <c r="D674" s="595" t="s">
        <v>1134</v>
      </c>
      <c r="E674" s="596"/>
      <c r="F674" s="671"/>
      <c r="G674" s="597"/>
      <c r="H674" s="682">
        <v>0</v>
      </c>
      <c r="I674" s="592">
        <v>44.02</v>
      </c>
      <c r="J674" s="592">
        <f t="shared" ref="J674:J685" si="728">IF(ISBLANK(I674),"",SUM(H674:I674))</f>
        <v>44.02</v>
      </c>
      <c r="K674" s="593">
        <f t="shared" si="715"/>
        <v>53.58</v>
      </c>
      <c r="L674" s="594" t="s">
        <v>21</v>
      </c>
      <c r="M674" s="92"/>
      <c r="N674" s="92"/>
      <c r="O674" s="93">
        <f t="shared" si="536"/>
        <v>0</v>
      </c>
      <c r="P674" s="93">
        <f t="shared" si="537"/>
        <v>0</v>
      </c>
      <c r="Q674" s="94"/>
      <c r="R674" s="92">
        <f t="shared" si="709"/>
        <v>0</v>
      </c>
      <c r="S674" s="92">
        <f t="shared" si="710"/>
        <v>0</v>
      </c>
      <c r="T674" s="93">
        <f t="shared" si="540"/>
        <v>0</v>
      </c>
      <c r="U674" s="95">
        <f t="shared" ref="U674:U685" si="729">IF(ISBLANK(R674),0,ROUND(R674*S674,2))</f>
        <v>0</v>
      </c>
      <c r="V674" s="94"/>
      <c r="X674" s="580" t="str">
        <f t="shared" si="712"/>
        <v/>
      </c>
      <c r="Y674" s="580" t="str">
        <f t="shared" si="517"/>
        <v/>
      </c>
      <c r="Z674" s="580" t="str">
        <f t="shared" si="716"/>
        <v/>
      </c>
    </row>
    <row r="675" spans="1:26" hidden="1" x14ac:dyDescent="0.2">
      <c r="A675" s="1008">
        <v>98511</v>
      </c>
      <c r="B675" s="1010">
        <v>98511</v>
      </c>
      <c r="C675" s="978" t="s">
        <v>883</v>
      </c>
      <c r="D675" s="595" t="s">
        <v>1135</v>
      </c>
      <c r="E675" s="596"/>
      <c r="F675" s="671"/>
      <c r="G675" s="597"/>
      <c r="H675" s="682">
        <v>0</v>
      </c>
      <c r="I675" s="592">
        <v>78.89</v>
      </c>
      <c r="J675" s="592">
        <f t="shared" ref="J675:J676" si="730">IF(ISBLANK(I675),"",SUM(H675:I675))</f>
        <v>78.89</v>
      </c>
      <c r="K675" s="593">
        <f t="shared" si="715"/>
        <v>96.02</v>
      </c>
      <c r="L675" s="594" t="s">
        <v>21</v>
      </c>
      <c r="M675" s="92"/>
      <c r="N675" s="92"/>
      <c r="O675" s="93">
        <f t="shared" ref="O675:O676" si="731">IF(ISBLANK(M675),0,ROUND(K675*M675,2))</f>
        <v>0</v>
      </c>
      <c r="P675" s="93">
        <f t="shared" ref="P675:P676" si="732">IF(ISBLANK(N675),0,ROUND(M675*N675,2))</f>
        <v>0</v>
      </c>
      <c r="Q675" s="94"/>
      <c r="R675" s="92">
        <f t="shared" ref="R675:R676" si="733">M675</f>
        <v>0</v>
      </c>
      <c r="S675" s="92">
        <f t="shared" ref="S675:S676" si="734">N675</f>
        <v>0</v>
      </c>
      <c r="T675" s="93">
        <f t="shared" ref="T675:T676" si="735">IF(ISBLANK(R675),0,ROUND(K675*R675,2))</f>
        <v>0</v>
      </c>
      <c r="U675" s="95">
        <f t="shared" ref="U675:U676" si="736">IF(ISBLANK(R675),0,ROUND(R675*S675,2))</f>
        <v>0</v>
      </c>
      <c r="V675" s="94"/>
      <c r="X675" s="580" t="str">
        <f t="shared" si="712"/>
        <v/>
      </c>
      <c r="Y675" s="580" t="str">
        <f t="shared" si="517"/>
        <v/>
      </c>
      <c r="Z675" s="580" t="str">
        <f t="shared" si="716"/>
        <v/>
      </c>
    </row>
    <row r="676" spans="1:26" hidden="1" x14ac:dyDescent="0.2">
      <c r="A676" s="1008">
        <v>98516</v>
      </c>
      <c r="B676" s="1010">
        <v>98516</v>
      </c>
      <c r="C676" s="978" t="s">
        <v>883</v>
      </c>
      <c r="D676" s="595" t="s">
        <v>1136</v>
      </c>
      <c r="E676" s="596"/>
      <c r="F676" s="671"/>
      <c r="G676" s="597"/>
      <c r="H676" s="682">
        <v>0</v>
      </c>
      <c r="I676" s="592">
        <v>252.82</v>
      </c>
      <c r="J676" s="592">
        <f t="shared" si="730"/>
        <v>252.82</v>
      </c>
      <c r="K676" s="593">
        <f t="shared" si="715"/>
        <v>307.70999999999998</v>
      </c>
      <c r="L676" s="594" t="s">
        <v>21</v>
      </c>
      <c r="M676" s="92"/>
      <c r="N676" s="92"/>
      <c r="O676" s="93">
        <f t="shared" si="731"/>
        <v>0</v>
      </c>
      <c r="P676" s="93">
        <f t="shared" si="732"/>
        <v>0</v>
      </c>
      <c r="Q676" s="94"/>
      <c r="R676" s="92">
        <f t="shared" si="733"/>
        <v>0</v>
      </c>
      <c r="S676" s="92">
        <f t="shared" si="734"/>
        <v>0</v>
      </c>
      <c r="T676" s="93">
        <f t="shared" si="735"/>
        <v>0</v>
      </c>
      <c r="U676" s="95">
        <f t="shared" si="736"/>
        <v>0</v>
      </c>
      <c r="V676" s="94"/>
      <c r="X676" s="580" t="str">
        <f t="shared" si="712"/>
        <v/>
      </c>
      <c r="Y676" s="580" t="str">
        <f t="shared" si="517"/>
        <v/>
      </c>
      <c r="Z676" s="580" t="str">
        <f t="shared" si="716"/>
        <v/>
      </c>
    </row>
    <row r="677" spans="1:26" x14ac:dyDescent="0.2">
      <c r="A677" s="1008">
        <v>98504</v>
      </c>
      <c r="B677" s="1107">
        <v>98504</v>
      </c>
      <c r="C677" s="1108" t="s">
        <v>883</v>
      </c>
      <c r="D677" s="1109" t="s">
        <v>533</v>
      </c>
      <c r="E677" s="1110"/>
      <c r="F677" s="671"/>
      <c r="G677" s="597"/>
      <c r="H677" s="682">
        <v>0</v>
      </c>
      <c r="I677" s="592">
        <v>10.76</v>
      </c>
      <c r="J677" s="592">
        <f t="shared" si="728"/>
        <v>10.76</v>
      </c>
      <c r="K677" s="593">
        <f t="shared" si="715"/>
        <v>13.1</v>
      </c>
      <c r="L677" s="594" t="s">
        <v>18</v>
      </c>
      <c r="M677" s="92">
        <v>3816.93</v>
      </c>
      <c r="N677" s="92">
        <v>13.32</v>
      </c>
      <c r="O677" s="93">
        <f t="shared" si="536"/>
        <v>50001.78</v>
      </c>
      <c r="P677" s="93">
        <f t="shared" si="537"/>
        <v>50841.51</v>
      </c>
      <c r="Q677" s="94"/>
      <c r="R677" s="1111">
        <f t="shared" si="709"/>
        <v>3816.93</v>
      </c>
      <c r="S677" s="1111">
        <f>K677</f>
        <v>13.1</v>
      </c>
      <c r="T677" s="1112">
        <f t="shared" si="540"/>
        <v>50001.78</v>
      </c>
      <c r="U677" s="1113">
        <f t="shared" si="729"/>
        <v>50001.78</v>
      </c>
      <c r="V677" s="1114"/>
      <c r="X677" s="580" t="str">
        <f t="shared" si="712"/>
        <v>x</v>
      </c>
      <c r="Y677" s="580" t="str">
        <f t="shared" si="517"/>
        <v>x</v>
      </c>
      <c r="Z677" s="580" t="str">
        <f t="shared" si="716"/>
        <v>x</v>
      </c>
    </row>
    <row r="678" spans="1:26" hidden="1" x14ac:dyDescent="0.2">
      <c r="A678" s="1008">
        <v>98505</v>
      </c>
      <c r="B678" s="1010">
        <v>98505</v>
      </c>
      <c r="C678" s="978" t="s">
        <v>883</v>
      </c>
      <c r="D678" s="595" t="s">
        <v>1137</v>
      </c>
      <c r="E678" s="596"/>
      <c r="F678" s="671"/>
      <c r="G678" s="597"/>
      <c r="H678" s="682">
        <v>0</v>
      </c>
      <c r="I678" s="592">
        <v>35.36</v>
      </c>
      <c r="J678" s="592">
        <f t="shared" si="728"/>
        <v>35.36</v>
      </c>
      <c r="K678" s="593">
        <f t="shared" si="715"/>
        <v>43.04</v>
      </c>
      <c r="L678" s="594" t="s">
        <v>18</v>
      </c>
      <c r="M678" s="92"/>
      <c r="N678" s="92"/>
      <c r="O678" s="93">
        <f t="shared" si="536"/>
        <v>0</v>
      </c>
      <c r="P678" s="93">
        <f t="shared" si="537"/>
        <v>0</v>
      </c>
      <c r="Q678" s="94"/>
      <c r="R678" s="92">
        <f t="shared" si="709"/>
        <v>0</v>
      </c>
      <c r="S678" s="92">
        <f t="shared" si="710"/>
        <v>0</v>
      </c>
      <c r="T678" s="93">
        <f t="shared" si="540"/>
        <v>0</v>
      </c>
      <c r="U678" s="95">
        <f t="shared" si="729"/>
        <v>0</v>
      </c>
      <c r="V678" s="94"/>
      <c r="X678" s="580" t="str">
        <f t="shared" si="712"/>
        <v/>
      </c>
      <c r="Y678" s="580" t="str">
        <f t="shared" si="517"/>
        <v/>
      </c>
      <c r="Z678" s="580" t="str">
        <f t="shared" si="716"/>
        <v/>
      </c>
    </row>
    <row r="679" spans="1:26" hidden="1" x14ac:dyDescent="0.2">
      <c r="A679" s="1008">
        <v>800000</v>
      </c>
      <c r="B679" s="1010">
        <v>800000</v>
      </c>
      <c r="C679" s="978" t="s">
        <v>212</v>
      </c>
      <c r="D679" s="595" t="s">
        <v>534</v>
      </c>
      <c r="E679" s="596"/>
      <c r="F679" s="671"/>
      <c r="G679" s="597"/>
      <c r="H679" s="682">
        <v>0</v>
      </c>
      <c r="I679" s="592">
        <v>9.4499999999999993</v>
      </c>
      <c r="J679" s="592">
        <f t="shared" ref="J679" si="737">IF(ISBLANK(I679),"",SUM(H679:I679))</f>
        <v>9.4499999999999993</v>
      </c>
      <c r="K679" s="593">
        <f t="shared" si="715"/>
        <v>11.5</v>
      </c>
      <c r="L679" s="594" t="s">
        <v>18</v>
      </c>
      <c r="M679" s="92"/>
      <c r="N679" s="92"/>
      <c r="O679" s="93">
        <f t="shared" ref="O679" si="738">IF(ISBLANK(M679),0,ROUND(K679*M679,2))</f>
        <v>0</v>
      </c>
      <c r="P679" s="93">
        <f t="shared" ref="P679" si="739">IF(ISBLANK(N679),0,ROUND(M679*N679,2))</f>
        <v>0</v>
      </c>
      <c r="Q679" s="94"/>
      <c r="R679" s="92">
        <f t="shared" ref="R679" si="740">M679</f>
        <v>0</v>
      </c>
      <c r="S679" s="92">
        <f t="shared" ref="S679" si="741">N679</f>
        <v>0</v>
      </c>
      <c r="T679" s="93">
        <f t="shared" ref="T679" si="742">IF(ISBLANK(R679),0,ROUND(K679*R679,2))</f>
        <v>0</v>
      </c>
      <c r="U679" s="95">
        <f t="shared" ref="U679" si="743">IF(ISBLANK(R679),0,ROUND(R679*S679,2))</f>
        <v>0</v>
      </c>
      <c r="V679" s="94"/>
      <c r="X679" s="580" t="str">
        <f t="shared" si="712"/>
        <v/>
      </c>
      <c r="Y679" s="580" t="str">
        <f t="shared" si="517"/>
        <v/>
      </c>
      <c r="Z679" s="580" t="str">
        <f t="shared" si="716"/>
        <v/>
      </c>
    </row>
    <row r="680" spans="1:26" hidden="1" x14ac:dyDescent="0.2">
      <c r="A680" s="97" t="s">
        <v>327</v>
      </c>
      <c r="B680" s="1031" t="s">
        <v>327</v>
      </c>
      <c r="C680" s="978" t="s">
        <v>212</v>
      </c>
      <c r="D680" s="595" t="s">
        <v>310</v>
      </c>
      <c r="E680" s="596"/>
      <c r="F680" s="671"/>
      <c r="G680" s="597"/>
      <c r="H680" s="682"/>
      <c r="I680" s="592">
        <v>0</v>
      </c>
      <c r="J680" s="592">
        <f t="shared" si="728"/>
        <v>0</v>
      </c>
      <c r="K680" s="593">
        <f t="shared" si="715"/>
        <v>0</v>
      </c>
      <c r="L680" s="594" t="s">
        <v>16</v>
      </c>
      <c r="M680" s="92"/>
      <c r="N680" s="92"/>
      <c r="O680" s="93">
        <f t="shared" si="536"/>
        <v>0</v>
      </c>
      <c r="P680" s="93">
        <f t="shared" si="537"/>
        <v>0</v>
      </c>
      <c r="Q680" s="94"/>
      <c r="R680" s="92">
        <f t="shared" si="709"/>
        <v>0</v>
      </c>
      <c r="S680" s="92">
        <f t="shared" si="710"/>
        <v>0</v>
      </c>
      <c r="T680" s="93">
        <f t="shared" si="540"/>
        <v>0</v>
      </c>
      <c r="U680" s="95">
        <f t="shared" si="729"/>
        <v>0</v>
      </c>
      <c r="V680" s="94"/>
      <c r="X680" s="580" t="str">
        <f t="shared" si="712"/>
        <v/>
      </c>
      <c r="Y680" s="580" t="str">
        <f t="shared" si="517"/>
        <v/>
      </c>
      <c r="Z680" s="580" t="str">
        <f t="shared" si="716"/>
        <v/>
      </c>
    </row>
    <row r="681" spans="1:26" x14ac:dyDescent="0.2">
      <c r="A681" s="1008">
        <v>605000</v>
      </c>
      <c r="B681" s="1107" t="s">
        <v>2144</v>
      </c>
      <c r="C681" s="1108" t="s">
        <v>212</v>
      </c>
      <c r="D681" s="1109" t="s">
        <v>311</v>
      </c>
      <c r="E681" s="1110"/>
      <c r="F681" s="671"/>
      <c r="G681" s="597"/>
      <c r="H681" s="682"/>
      <c r="I681" s="592">
        <v>367.37984359516616</v>
      </c>
      <c r="J681" s="592">
        <f t="shared" si="728"/>
        <v>367.37984359516616</v>
      </c>
      <c r="K681" s="593">
        <f t="shared" si="715"/>
        <v>447.14</v>
      </c>
      <c r="L681" s="594" t="s">
        <v>21</v>
      </c>
      <c r="M681" s="92">
        <v>18</v>
      </c>
      <c r="N681" s="92">
        <v>441.42</v>
      </c>
      <c r="O681" s="93">
        <f t="shared" si="536"/>
        <v>8048.52</v>
      </c>
      <c r="P681" s="93">
        <f t="shared" si="537"/>
        <v>7945.56</v>
      </c>
      <c r="Q681" s="94"/>
      <c r="R681" s="1111">
        <f t="shared" si="709"/>
        <v>18</v>
      </c>
      <c r="S681" s="1111">
        <f t="shared" si="710"/>
        <v>441.42</v>
      </c>
      <c r="T681" s="1112">
        <f t="shared" si="540"/>
        <v>8048.52</v>
      </c>
      <c r="U681" s="1113">
        <f t="shared" si="729"/>
        <v>7945.56</v>
      </c>
      <c r="V681" s="1114"/>
      <c r="X681" s="580" t="str">
        <f t="shared" si="712"/>
        <v>x</v>
      </c>
      <c r="Y681" s="580" t="str">
        <f t="shared" si="517"/>
        <v>x</v>
      </c>
      <c r="Z681" s="580" t="str">
        <f t="shared" si="716"/>
        <v>x</v>
      </c>
    </row>
    <row r="682" spans="1:26" hidden="1" x14ac:dyDescent="0.2">
      <c r="A682" s="1008">
        <v>605000</v>
      </c>
      <c r="B682" s="1010" t="s">
        <v>2145</v>
      </c>
      <c r="C682" s="978" t="s">
        <v>212</v>
      </c>
      <c r="D682" s="595" t="s">
        <v>312</v>
      </c>
      <c r="E682" s="596"/>
      <c r="F682" s="671"/>
      <c r="G682" s="597"/>
      <c r="H682" s="682"/>
      <c r="I682" s="592">
        <v>367.37984359516616</v>
      </c>
      <c r="J682" s="592">
        <f t="shared" si="728"/>
        <v>367.37984359516616</v>
      </c>
      <c r="K682" s="593">
        <f t="shared" si="715"/>
        <v>447.14</v>
      </c>
      <c r="L682" s="594" t="s">
        <v>21</v>
      </c>
      <c r="M682" s="92"/>
      <c r="N682" s="92"/>
      <c r="O682" s="93">
        <f t="shared" si="536"/>
        <v>0</v>
      </c>
      <c r="P682" s="93">
        <f t="shared" si="537"/>
        <v>0</v>
      </c>
      <c r="Q682" s="94"/>
      <c r="R682" s="92">
        <f t="shared" si="709"/>
        <v>0</v>
      </c>
      <c r="S682" s="92">
        <f t="shared" si="710"/>
        <v>0</v>
      </c>
      <c r="T682" s="93">
        <f t="shared" si="540"/>
        <v>0</v>
      </c>
      <c r="U682" s="95">
        <f t="shared" si="729"/>
        <v>0</v>
      </c>
      <c r="V682" s="94"/>
      <c r="X682" s="580" t="str">
        <f t="shared" si="712"/>
        <v/>
      </c>
      <c r="Y682" s="580" t="str">
        <f t="shared" si="517"/>
        <v/>
      </c>
      <c r="Z682" s="580" t="str">
        <f t="shared" si="716"/>
        <v/>
      </c>
    </row>
    <row r="683" spans="1:26" hidden="1" x14ac:dyDescent="0.2">
      <c r="A683" s="1008">
        <v>605000</v>
      </c>
      <c r="B683" s="1010" t="s">
        <v>2146</v>
      </c>
      <c r="C683" s="978" t="s">
        <v>212</v>
      </c>
      <c r="D683" s="595" t="s">
        <v>313</v>
      </c>
      <c r="E683" s="596"/>
      <c r="F683" s="671"/>
      <c r="G683" s="597"/>
      <c r="H683" s="682"/>
      <c r="I683" s="592">
        <v>367.37984359516616</v>
      </c>
      <c r="J683" s="592">
        <f t="shared" si="728"/>
        <v>367.37984359516616</v>
      </c>
      <c r="K683" s="593">
        <f t="shared" si="715"/>
        <v>447.14</v>
      </c>
      <c r="L683" s="594" t="s">
        <v>21</v>
      </c>
      <c r="M683" s="92"/>
      <c r="N683" s="92"/>
      <c r="O683" s="93">
        <f t="shared" si="536"/>
        <v>0</v>
      </c>
      <c r="P683" s="93">
        <f t="shared" si="537"/>
        <v>0</v>
      </c>
      <c r="Q683" s="94"/>
      <c r="R683" s="92">
        <f t="shared" si="709"/>
        <v>0</v>
      </c>
      <c r="S683" s="92">
        <f t="shared" si="710"/>
        <v>0</v>
      </c>
      <c r="T683" s="93">
        <f t="shared" si="540"/>
        <v>0</v>
      </c>
      <c r="U683" s="95">
        <f t="shared" si="729"/>
        <v>0</v>
      </c>
      <c r="V683" s="94"/>
      <c r="X683" s="580" t="str">
        <f t="shared" si="712"/>
        <v/>
      </c>
      <c r="Y683" s="580" t="str">
        <f t="shared" si="517"/>
        <v/>
      </c>
      <c r="Z683" s="580" t="str">
        <f t="shared" si="716"/>
        <v/>
      </c>
    </row>
    <row r="684" spans="1:26" hidden="1" x14ac:dyDescent="0.2">
      <c r="A684" s="1008">
        <v>605000</v>
      </c>
      <c r="B684" s="1010" t="s">
        <v>2147</v>
      </c>
      <c r="C684" s="978" t="s">
        <v>212</v>
      </c>
      <c r="D684" s="595" t="s">
        <v>314</v>
      </c>
      <c r="E684" s="596"/>
      <c r="F684" s="671"/>
      <c r="G684" s="597"/>
      <c r="H684" s="682"/>
      <c r="I684" s="592">
        <v>485.74398942296079</v>
      </c>
      <c r="J684" s="592">
        <f t="shared" si="728"/>
        <v>485.74398942296079</v>
      </c>
      <c r="K684" s="593">
        <f t="shared" si="715"/>
        <v>591.20000000000005</v>
      </c>
      <c r="L684" s="594" t="s">
        <v>21</v>
      </c>
      <c r="M684" s="92"/>
      <c r="N684" s="92"/>
      <c r="O684" s="93">
        <f t="shared" si="536"/>
        <v>0</v>
      </c>
      <c r="P684" s="93">
        <f t="shared" si="537"/>
        <v>0</v>
      </c>
      <c r="Q684" s="94"/>
      <c r="R684" s="92">
        <f t="shared" si="709"/>
        <v>0</v>
      </c>
      <c r="S684" s="92">
        <f t="shared" si="710"/>
        <v>0</v>
      </c>
      <c r="T684" s="93">
        <f t="shared" si="540"/>
        <v>0</v>
      </c>
      <c r="U684" s="95">
        <f t="shared" si="729"/>
        <v>0</v>
      </c>
      <c r="V684" s="94"/>
      <c r="X684" s="580" t="str">
        <f t="shared" si="712"/>
        <v/>
      </c>
      <c r="Y684" s="580" t="str">
        <f t="shared" si="517"/>
        <v/>
      </c>
      <c r="Z684" s="580" t="str">
        <f t="shared" si="716"/>
        <v/>
      </c>
    </row>
    <row r="685" spans="1:26" hidden="1" x14ac:dyDescent="0.2">
      <c r="A685" s="1008">
        <v>605000</v>
      </c>
      <c r="B685" s="1010" t="s">
        <v>2148</v>
      </c>
      <c r="C685" s="978" t="s">
        <v>212</v>
      </c>
      <c r="D685" s="595" t="s">
        <v>315</v>
      </c>
      <c r="E685" s="596"/>
      <c r="F685" s="671"/>
      <c r="G685" s="597"/>
      <c r="H685" s="682"/>
      <c r="I685" s="592">
        <v>423.21471830211482</v>
      </c>
      <c r="J685" s="592">
        <f t="shared" si="728"/>
        <v>423.21471830211482</v>
      </c>
      <c r="K685" s="593">
        <f t="shared" si="715"/>
        <v>515.09</v>
      </c>
      <c r="L685" s="594" t="s">
        <v>21</v>
      </c>
      <c r="M685" s="92"/>
      <c r="N685" s="92"/>
      <c r="O685" s="93">
        <f t="shared" si="536"/>
        <v>0</v>
      </c>
      <c r="P685" s="93">
        <f t="shared" si="537"/>
        <v>0</v>
      </c>
      <c r="Q685" s="94"/>
      <c r="R685" s="92">
        <f t="shared" si="709"/>
        <v>0</v>
      </c>
      <c r="S685" s="92">
        <f t="shared" si="710"/>
        <v>0</v>
      </c>
      <c r="T685" s="93">
        <f t="shared" si="540"/>
        <v>0</v>
      </c>
      <c r="U685" s="95">
        <f t="shared" si="729"/>
        <v>0</v>
      </c>
      <c r="V685" s="94"/>
      <c r="X685" s="580" t="str">
        <f t="shared" si="712"/>
        <v/>
      </c>
      <c r="Y685" s="580" t="str">
        <f t="shared" si="517"/>
        <v/>
      </c>
      <c r="Z685" s="580" t="str">
        <f t="shared" si="716"/>
        <v/>
      </c>
    </row>
    <row r="686" spans="1:26" hidden="1" x14ac:dyDescent="0.2">
      <c r="A686" s="602" t="s">
        <v>187</v>
      </c>
      <c r="B686" s="1013" t="s">
        <v>187</v>
      </c>
      <c r="C686" s="1014"/>
      <c r="D686" s="603" t="s">
        <v>243</v>
      </c>
      <c r="E686" s="910"/>
      <c r="F686" s="676"/>
      <c r="G686" s="604"/>
      <c r="H686" s="911"/>
      <c r="I686" s="605"/>
      <c r="J686" s="605"/>
      <c r="K686" s="605"/>
      <c r="L686" s="605" t="s">
        <v>783</v>
      </c>
      <c r="M686" s="606"/>
      <c r="N686" s="605"/>
      <c r="O686" s="605"/>
      <c r="P686" s="607"/>
      <c r="Q686" s="94"/>
      <c r="R686" s="606"/>
      <c r="S686" s="605"/>
      <c r="T686" s="605"/>
      <c r="U686" s="607"/>
      <c r="V686" s="94"/>
      <c r="W686" s="579" t="str">
        <f>IF(OR(SUM(P687:P718)&gt;0,SUM(U687:U718)&gt;0),"y","")</f>
        <v>y</v>
      </c>
      <c r="X686" s="580" t="str">
        <f t="shared" si="712"/>
        <v>x</v>
      </c>
      <c r="Y686" s="580" t="str">
        <f t="shared" si="517"/>
        <v>x</v>
      </c>
      <c r="Z686" s="580" t="str">
        <f t="shared" si="716"/>
        <v/>
      </c>
    </row>
    <row r="687" spans="1:26" hidden="1" x14ac:dyDescent="0.2">
      <c r="A687" s="602" t="s">
        <v>187</v>
      </c>
      <c r="B687" s="1015" t="s">
        <v>2242</v>
      </c>
      <c r="C687" s="1016" t="s">
        <v>212</v>
      </c>
      <c r="D687" s="608" t="s">
        <v>2243</v>
      </c>
      <c r="E687" s="609"/>
      <c r="F687" s="677"/>
      <c r="G687" s="610"/>
      <c r="H687" s="611"/>
      <c r="I687" s="592">
        <v>9.39</v>
      </c>
      <c r="J687" s="592">
        <v>9.39</v>
      </c>
      <c r="K687" s="593">
        <f t="shared" ref="K687:K718" si="744">IF(ISBLANK(J687),0,ROUND(J687*(1+$F$10)*(1+$F$11*E687),2))</f>
        <v>11.43</v>
      </c>
      <c r="L687" s="615" t="s">
        <v>18</v>
      </c>
      <c r="M687" s="599"/>
      <c r="N687" s="599">
        <v>11.43</v>
      </c>
      <c r="O687" s="93">
        <f t="shared" ref="O687" si="745">IF(ISBLANK(M687),0,ROUND(K687*M687,2))</f>
        <v>0</v>
      </c>
      <c r="P687" s="95">
        <f t="shared" ref="P687:P718" si="746">IF(ISBLANK(N687),0,ROUND(M687*N687,2))</f>
        <v>0</v>
      </c>
      <c r="Q687" s="94"/>
      <c r="R687" s="598">
        <f t="shared" ref="R687:R718" si="747">M687</f>
        <v>0</v>
      </c>
      <c r="S687" s="599">
        <f t="shared" ref="S687:S718" si="748">N687</f>
        <v>11.43</v>
      </c>
      <c r="T687" s="93">
        <f t="shared" ref="T687:T718" si="749">IF(ISBLANK(R687),0,ROUND(K687*R687,2))</f>
        <v>0</v>
      </c>
      <c r="U687" s="95">
        <f t="shared" ref="U687:U718" si="750">IF(ISBLANK(R687),0,ROUND(R687*S687,2))</f>
        <v>0</v>
      </c>
      <c r="V687" s="94"/>
      <c r="X687" s="580" t="str">
        <f t="shared" si="712"/>
        <v/>
      </c>
      <c r="Y687" s="580" t="str">
        <f t="shared" si="517"/>
        <v/>
      </c>
      <c r="Z687" s="580" t="str">
        <f t="shared" si="716"/>
        <v/>
      </c>
    </row>
    <row r="688" spans="1:26" x14ac:dyDescent="0.2">
      <c r="A688" s="602" t="s">
        <v>187</v>
      </c>
      <c r="B688" s="1120">
        <v>605500</v>
      </c>
      <c r="C688" s="1121" t="s">
        <v>212</v>
      </c>
      <c r="D688" s="1122" t="s">
        <v>1106</v>
      </c>
      <c r="E688" s="1123"/>
      <c r="F688" s="677"/>
      <c r="G688" s="610"/>
      <c r="H688" s="611"/>
      <c r="I688" s="592">
        <v>429.03</v>
      </c>
      <c r="J688" s="592">
        <v>429.03</v>
      </c>
      <c r="K688" s="585">
        <f t="shared" si="744"/>
        <v>522.16999999999996</v>
      </c>
      <c r="L688" s="615" t="s">
        <v>16</v>
      </c>
      <c r="M688" s="92">
        <v>97.28</v>
      </c>
      <c r="N688" s="92">
        <v>531.27</v>
      </c>
      <c r="O688" s="93">
        <f>IF(ISBLANK(M688),0,ROUND(K688*M688,2))</f>
        <v>50796.7</v>
      </c>
      <c r="P688" s="93">
        <f t="shared" si="746"/>
        <v>51681.95</v>
      </c>
      <c r="Q688" s="94"/>
      <c r="R688" s="1111">
        <f t="shared" si="747"/>
        <v>97.28</v>
      </c>
      <c r="S688" s="1111">
        <f>K688</f>
        <v>522.16999999999996</v>
      </c>
      <c r="T688" s="1112">
        <f t="shared" si="749"/>
        <v>50796.7</v>
      </c>
      <c r="U688" s="1152">
        <f t="shared" si="750"/>
        <v>50796.7</v>
      </c>
      <c r="V688" s="1114"/>
      <c r="X688" s="580" t="str">
        <f t="shared" ref="X688:X752" si="751">IF(W688="X","x",IF(W688="xx","x",IF(W688="xy","x",IF(W688="y","x",IF(OR(P688&gt;0,U688&gt;0),"x","")))))</f>
        <v>x</v>
      </c>
      <c r="Y688" s="580" t="str">
        <f t="shared" si="517"/>
        <v>x</v>
      </c>
      <c r="Z688" s="580" t="str">
        <f t="shared" si="716"/>
        <v>x</v>
      </c>
    </row>
    <row r="689" spans="1:26" ht="13.5" thickBot="1" x14ac:dyDescent="0.25">
      <c r="A689" s="602" t="s">
        <v>187</v>
      </c>
      <c r="B689" s="1120" t="s">
        <v>2265</v>
      </c>
      <c r="C689" s="1121" t="s">
        <v>523</v>
      </c>
      <c r="D689" s="1122" t="s">
        <v>2266</v>
      </c>
      <c r="E689" s="1123"/>
      <c r="F689" s="677"/>
      <c r="G689" s="610"/>
      <c r="H689" s="611"/>
      <c r="I689" s="592">
        <v>22.9</v>
      </c>
      <c r="J689" s="592">
        <v>22.9</v>
      </c>
      <c r="K689" s="585">
        <f t="shared" si="744"/>
        <v>27.87</v>
      </c>
      <c r="L689" s="615" t="s">
        <v>19</v>
      </c>
      <c r="M689" s="92">
        <v>676</v>
      </c>
      <c r="N689" s="92">
        <v>28.36</v>
      </c>
      <c r="O689" s="93">
        <f t="shared" ref="O689:O718" si="752">IF(ISBLANK(M689),0,ROUND(K689*M689,2))</f>
        <v>18840.12</v>
      </c>
      <c r="P689" s="93">
        <f t="shared" si="746"/>
        <v>19171.36</v>
      </c>
      <c r="Q689" s="94"/>
      <c r="R689" s="1111">
        <f t="shared" si="747"/>
        <v>676</v>
      </c>
      <c r="S689" s="1111">
        <f>K689</f>
        <v>27.87</v>
      </c>
      <c r="T689" s="1112">
        <f t="shared" si="749"/>
        <v>18840.12</v>
      </c>
      <c r="U689" s="1113">
        <f t="shared" si="750"/>
        <v>18840.12</v>
      </c>
      <c r="V689" s="1114"/>
      <c r="X689" s="580" t="str">
        <f t="shared" si="751"/>
        <v>x</v>
      </c>
      <c r="Y689" s="580" t="str">
        <f t="shared" si="517"/>
        <v>x</v>
      </c>
      <c r="Z689" s="580" t="str">
        <f t="shared" si="716"/>
        <v>x</v>
      </c>
    </row>
    <row r="690" spans="1:26" ht="13.5" hidden="1" thickBot="1" x14ac:dyDescent="0.25">
      <c r="A690" s="602" t="s">
        <v>187</v>
      </c>
      <c r="B690" s="1015" t="s">
        <v>187</v>
      </c>
      <c r="C690" s="1016" t="s">
        <v>187</v>
      </c>
      <c r="D690" s="616"/>
      <c r="E690" s="609"/>
      <c r="F690" s="677"/>
      <c r="G690" s="610"/>
      <c r="H690" s="611"/>
      <c r="I690" s="612"/>
      <c r="J690" s="613"/>
      <c r="K690" s="617">
        <f t="shared" si="744"/>
        <v>0</v>
      </c>
      <c r="L690" s="615" t="s">
        <v>783</v>
      </c>
      <c r="M690" s="92"/>
      <c r="N690" s="92"/>
      <c r="O690" s="93">
        <f t="shared" si="752"/>
        <v>0</v>
      </c>
      <c r="P690" s="93">
        <f t="shared" si="746"/>
        <v>0</v>
      </c>
      <c r="Q690" s="94"/>
      <c r="R690" s="92">
        <f t="shared" si="747"/>
        <v>0</v>
      </c>
      <c r="S690" s="92">
        <f t="shared" si="748"/>
        <v>0</v>
      </c>
      <c r="T690" s="93">
        <f t="shared" si="749"/>
        <v>0</v>
      </c>
      <c r="U690" s="95">
        <f t="shared" si="750"/>
        <v>0</v>
      </c>
      <c r="V690" s="94"/>
      <c r="X690" s="580" t="str">
        <f t="shared" si="751"/>
        <v/>
      </c>
      <c r="Y690" s="580" t="str">
        <f t="shared" si="517"/>
        <v/>
      </c>
      <c r="Z690" s="580" t="str">
        <f t="shared" si="716"/>
        <v/>
      </c>
    </row>
    <row r="691" spans="1:26" ht="13.5" hidden="1" thickBot="1" x14ac:dyDescent="0.25">
      <c r="A691" s="602" t="s">
        <v>187</v>
      </c>
      <c r="B691" s="1015" t="s">
        <v>187</v>
      </c>
      <c r="C691" s="1016" t="s">
        <v>187</v>
      </c>
      <c r="D691" s="616"/>
      <c r="E691" s="609"/>
      <c r="F691" s="677"/>
      <c r="G691" s="610"/>
      <c r="H691" s="611"/>
      <c r="I691" s="612"/>
      <c r="J691" s="613"/>
      <c r="K691" s="617">
        <f t="shared" si="744"/>
        <v>0</v>
      </c>
      <c r="L691" s="615" t="s">
        <v>783</v>
      </c>
      <c r="M691" s="92"/>
      <c r="N691" s="92"/>
      <c r="O691" s="93">
        <f t="shared" si="752"/>
        <v>0</v>
      </c>
      <c r="P691" s="93">
        <f t="shared" si="746"/>
        <v>0</v>
      </c>
      <c r="Q691" s="94"/>
      <c r="R691" s="92">
        <f t="shared" si="747"/>
        <v>0</v>
      </c>
      <c r="S691" s="92">
        <f t="shared" si="748"/>
        <v>0</v>
      </c>
      <c r="T691" s="93">
        <f t="shared" si="749"/>
        <v>0</v>
      </c>
      <c r="U691" s="95">
        <f t="shared" si="750"/>
        <v>0</v>
      </c>
      <c r="V691" s="94"/>
      <c r="X691" s="580" t="str">
        <f t="shared" si="751"/>
        <v/>
      </c>
      <c r="Y691" s="580" t="str">
        <f t="shared" si="517"/>
        <v/>
      </c>
      <c r="Z691" s="580" t="str">
        <f t="shared" si="716"/>
        <v/>
      </c>
    </row>
    <row r="692" spans="1:26" ht="13.5" hidden="1" thickBot="1" x14ac:dyDescent="0.25">
      <c r="A692" s="602" t="s">
        <v>187</v>
      </c>
      <c r="B692" s="1015" t="s">
        <v>187</v>
      </c>
      <c r="C692" s="1016" t="s">
        <v>187</v>
      </c>
      <c r="D692" s="616"/>
      <c r="E692" s="609"/>
      <c r="F692" s="677"/>
      <c r="G692" s="610"/>
      <c r="H692" s="611"/>
      <c r="I692" s="612"/>
      <c r="J692" s="613"/>
      <c r="K692" s="617">
        <f t="shared" si="744"/>
        <v>0</v>
      </c>
      <c r="L692" s="615" t="s">
        <v>783</v>
      </c>
      <c r="M692" s="92"/>
      <c r="N692" s="92"/>
      <c r="O692" s="93">
        <f t="shared" si="752"/>
        <v>0</v>
      </c>
      <c r="P692" s="93">
        <f t="shared" si="746"/>
        <v>0</v>
      </c>
      <c r="Q692" s="94"/>
      <c r="R692" s="92">
        <f t="shared" si="747"/>
        <v>0</v>
      </c>
      <c r="S692" s="92">
        <f t="shared" si="748"/>
        <v>0</v>
      </c>
      <c r="T692" s="93">
        <f t="shared" si="749"/>
        <v>0</v>
      </c>
      <c r="U692" s="95">
        <f t="shared" si="750"/>
        <v>0</v>
      </c>
      <c r="V692" s="94"/>
      <c r="X692" s="580" t="str">
        <f t="shared" si="751"/>
        <v/>
      </c>
      <c r="Y692" s="580" t="str">
        <f t="shared" si="517"/>
        <v/>
      </c>
      <c r="Z692" s="580" t="str">
        <f t="shared" si="716"/>
        <v/>
      </c>
    </row>
    <row r="693" spans="1:26" ht="13.5" hidden="1" thickBot="1" x14ac:dyDescent="0.25">
      <c r="A693" s="602" t="s">
        <v>187</v>
      </c>
      <c r="B693" s="1015" t="s">
        <v>187</v>
      </c>
      <c r="C693" s="1016" t="s">
        <v>187</v>
      </c>
      <c r="D693" s="616"/>
      <c r="E693" s="609"/>
      <c r="F693" s="677"/>
      <c r="G693" s="610"/>
      <c r="H693" s="611"/>
      <c r="I693" s="612"/>
      <c r="J693" s="613"/>
      <c r="K693" s="617">
        <f t="shared" si="744"/>
        <v>0</v>
      </c>
      <c r="L693" s="615" t="s">
        <v>783</v>
      </c>
      <c r="M693" s="92"/>
      <c r="N693" s="92"/>
      <c r="O693" s="93">
        <f t="shared" si="752"/>
        <v>0</v>
      </c>
      <c r="P693" s="93">
        <f t="shared" si="746"/>
        <v>0</v>
      </c>
      <c r="Q693" s="94"/>
      <c r="R693" s="92">
        <f t="shared" si="747"/>
        <v>0</v>
      </c>
      <c r="S693" s="92">
        <f t="shared" si="748"/>
        <v>0</v>
      </c>
      <c r="T693" s="93">
        <f t="shared" si="749"/>
        <v>0</v>
      </c>
      <c r="U693" s="95">
        <f t="shared" si="750"/>
        <v>0</v>
      </c>
      <c r="V693" s="94"/>
      <c r="X693" s="580" t="str">
        <f t="shared" si="751"/>
        <v/>
      </c>
      <c r="Y693" s="580" t="str">
        <f t="shared" si="517"/>
        <v/>
      </c>
      <c r="Z693" s="580" t="str">
        <f t="shared" si="716"/>
        <v/>
      </c>
    </row>
    <row r="694" spans="1:26" ht="13.5" hidden="1" thickBot="1" x14ac:dyDescent="0.25">
      <c r="A694" s="602" t="s">
        <v>187</v>
      </c>
      <c r="B694" s="1015" t="s">
        <v>187</v>
      </c>
      <c r="C694" s="1016" t="s">
        <v>187</v>
      </c>
      <c r="D694" s="616"/>
      <c r="E694" s="609"/>
      <c r="F694" s="677"/>
      <c r="G694" s="610"/>
      <c r="H694" s="611"/>
      <c r="I694" s="612"/>
      <c r="J694" s="613"/>
      <c r="K694" s="617">
        <f t="shared" si="744"/>
        <v>0</v>
      </c>
      <c r="L694" s="615" t="s">
        <v>783</v>
      </c>
      <c r="M694" s="92"/>
      <c r="N694" s="92"/>
      <c r="O694" s="93">
        <f t="shared" si="752"/>
        <v>0</v>
      </c>
      <c r="P694" s="93">
        <f t="shared" si="746"/>
        <v>0</v>
      </c>
      <c r="Q694" s="94"/>
      <c r="R694" s="92">
        <f t="shared" si="747"/>
        <v>0</v>
      </c>
      <c r="S694" s="92">
        <f t="shared" si="748"/>
        <v>0</v>
      </c>
      <c r="T694" s="93">
        <f t="shared" si="749"/>
        <v>0</v>
      </c>
      <c r="U694" s="95">
        <f t="shared" si="750"/>
        <v>0</v>
      </c>
      <c r="V694" s="94"/>
      <c r="X694" s="580" t="str">
        <f t="shared" si="751"/>
        <v/>
      </c>
      <c r="Y694" s="580" t="str">
        <f t="shared" si="517"/>
        <v/>
      </c>
      <c r="Z694" s="580" t="str">
        <f t="shared" si="716"/>
        <v/>
      </c>
    </row>
    <row r="695" spans="1:26" ht="13.5" hidden="1" thickBot="1" x14ac:dyDescent="0.25">
      <c r="A695" s="602" t="s">
        <v>187</v>
      </c>
      <c r="B695" s="1015" t="s">
        <v>187</v>
      </c>
      <c r="C695" s="1016" t="s">
        <v>187</v>
      </c>
      <c r="D695" s="616"/>
      <c r="E695" s="609"/>
      <c r="F695" s="677"/>
      <c r="G695" s="610"/>
      <c r="H695" s="611"/>
      <c r="I695" s="612"/>
      <c r="J695" s="613"/>
      <c r="K695" s="617">
        <f t="shared" si="744"/>
        <v>0</v>
      </c>
      <c r="L695" s="615" t="s">
        <v>783</v>
      </c>
      <c r="M695" s="92"/>
      <c r="N695" s="92"/>
      <c r="O695" s="93">
        <f t="shared" si="752"/>
        <v>0</v>
      </c>
      <c r="P695" s="93">
        <f t="shared" si="746"/>
        <v>0</v>
      </c>
      <c r="Q695" s="94"/>
      <c r="R695" s="92">
        <f t="shared" si="747"/>
        <v>0</v>
      </c>
      <c r="S695" s="92">
        <f t="shared" si="748"/>
        <v>0</v>
      </c>
      <c r="T695" s="93">
        <f t="shared" si="749"/>
        <v>0</v>
      </c>
      <c r="U695" s="95">
        <f t="shared" si="750"/>
        <v>0</v>
      </c>
      <c r="V695" s="94"/>
      <c r="X695" s="580" t="str">
        <f t="shared" si="751"/>
        <v/>
      </c>
      <c r="Y695" s="580" t="str">
        <f t="shared" si="517"/>
        <v/>
      </c>
      <c r="Z695" s="580" t="str">
        <f t="shared" si="716"/>
        <v/>
      </c>
    </row>
    <row r="696" spans="1:26" ht="13.5" hidden="1" thickBot="1" x14ac:dyDescent="0.25">
      <c r="A696" s="602" t="s">
        <v>187</v>
      </c>
      <c r="B696" s="1015" t="s">
        <v>187</v>
      </c>
      <c r="C696" s="1016" t="s">
        <v>187</v>
      </c>
      <c r="D696" s="616"/>
      <c r="E696" s="609"/>
      <c r="F696" s="677"/>
      <c r="G696" s="610"/>
      <c r="H696" s="611"/>
      <c r="I696" s="612"/>
      <c r="J696" s="613"/>
      <c r="K696" s="617">
        <f t="shared" si="744"/>
        <v>0</v>
      </c>
      <c r="L696" s="615" t="s">
        <v>783</v>
      </c>
      <c r="M696" s="92"/>
      <c r="N696" s="92"/>
      <c r="O696" s="93">
        <f t="shared" si="752"/>
        <v>0</v>
      </c>
      <c r="P696" s="93">
        <f t="shared" si="746"/>
        <v>0</v>
      </c>
      <c r="Q696" s="94"/>
      <c r="R696" s="92">
        <f t="shared" si="747"/>
        <v>0</v>
      </c>
      <c r="S696" s="92">
        <f t="shared" si="748"/>
        <v>0</v>
      </c>
      <c r="T696" s="93">
        <f t="shared" si="749"/>
        <v>0</v>
      </c>
      <c r="U696" s="95">
        <f t="shared" si="750"/>
        <v>0</v>
      </c>
      <c r="V696" s="94"/>
      <c r="X696" s="580" t="str">
        <f t="shared" si="751"/>
        <v/>
      </c>
      <c r="Y696" s="580" t="str">
        <f t="shared" si="517"/>
        <v/>
      </c>
      <c r="Z696" s="580" t="str">
        <f t="shared" si="716"/>
        <v/>
      </c>
    </row>
    <row r="697" spans="1:26" ht="13.5" hidden="1" thickBot="1" x14ac:dyDescent="0.25">
      <c r="A697" s="602" t="s">
        <v>187</v>
      </c>
      <c r="B697" s="1015" t="s">
        <v>187</v>
      </c>
      <c r="C697" s="1016" t="s">
        <v>187</v>
      </c>
      <c r="D697" s="616"/>
      <c r="E697" s="609"/>
      <c r="F697" s="677"/>
      <c r="G697" s="610"/>
      <c r="H697" s="611"/>
      <c r="I697" s="612"/>
      <c r="J697" s="613"/>
      <c r="K697" s="617">
        <f t="shared" si="744"/>
        <v>0</v>
      </c>
      <c r="L697" s="615" t="s">
        <v>783</v>
      </c>
      <c r="M697" s="92"/>
      <c r="N697" s="92"/>
      <c r="O697" s="93">
        <f t="shared" si="752"/>
        <v>0</v>
      </c>
      <c r="P697" s="93">
        <f t="shared" si="746"/>
        <v>0</v>
      </c>
      <c r="Q697" s="94"/>
      <c r="R697" s="92">
        <f t="shared" si="747"/>
        <v>0</v>
      </c>
      <c r="S697" s="92">
        <f t="shared" si="748"/>
        <v>0</v>
      </c>
      <c r="T697" s="93">
        <f t="shared" si="749"/>
        <v>0</v>
      </c>
      <c r="U697" s="95">
        <f t="shared" si="750"/>
        <v>0</v>
      </c>
      <c r="V697" s="94"/>
      <c r="X697" s="580" t="str">
        <f t="shared" si="751"/>
        <v/>
      </c>
      <c r="Y697" s="580" t="str">
        <f t="shared" si="517"/>
        <v/>
      </c>
      <c r="Z697" s="580" t="str">
        <f t="shared" si="716"/>
        <v/>
      </c>
    </row>
    <row r="698" spans="1:26" ht="13.5" hidden="1" thickBot="1" x14ac:dyDescent="0.25">
      <c r="A698" s="602" t="s">
        <v>187</v>
      </c>
      <c r="B698" s="1015" t="s">
        <v>187</v>
      </c>
      <c r="C698" s="1016" t="s">
        <v>187</v>
      </c>
      <c r="D698" s="616"/>
      <c r="E698" s="609"/>
      <c r="F698" s="677"/>
      <c r="G698" s="610"/>
      <c r="H698" s="611"/>
      <c r="I698" s="612"/>
      <c r="J698" s="613"/>
      <c r="K698" s="617">
        <f t="shared" si="744"/>
        <v>0</v>
      </c>
      <c r="L698" s="615" t="s">
        <v>783</v>
      </c>
      <c r="M698" s="92"/>
      <c r="N698" s="92"/>
      <c r="O698" s="93">
        <f t="shared" si="752"/>
        <v>0</v>
      </c>
      <c r="P698" s="93">
        <f t="shared" si="746"/>
        <v>0</v>
      </c>
      <c r="Q698" s="94"/>
      <c r="R698" s="92">
        <f t="shared" si="747"/>
        <v>0</v>
      </c>
      <c r="S698" s="92">
        <f t="shared" si="748"/>
        <v>0</v>
      </c>
      <c r="T698" s="93">
        <f t="shared" si="749"/>
        <v>0</v>
      </c>
      <c r="U698" s="95">
        <f t="shared" si="750"/>
        <v>0</v>
      </c>
      <c r="V698" s="94"/>
      <c r="X698" s="580" t="str">
        <f t="shared" si="751"/>
        <v/>
      </c>
      <c r="Y698" s="580" t="str">
        <f t="shared" si="517"/>
        <v/>
      </c>
      <c r="Z698" s="580" t="str">
        <f t="shared" si="716"/>
        <v/>
      </c>
    </row>
    <row r="699" spans="1:26" ht="13.5" hidden="1" thickBot="1" x14ac:dyDescent="0.25">
      <c r="A699" s="602" t="s">
        <v>187</v>
      </c>
      <c r="B699" s="1015" t="s">
        <v>187</v>
      </c>
      <c r="C699" s="1016" t="s">
        <v>187</v>
      </c>
      <c r="D699" s="616"/>
      <c r="E699" s="609"/>
      <c r="F699" s="677"/>
      <c r="G699" s="610"/>
      <c r="H699" s="611"/>
      <c r="I699" s="612"/>
      <c r="J699" s="613"/>
      <c r="K699" s="617">
        <f t="shared" si="744"/>
        <v>0</v>
      </c>
      <c r="L699" s="615" t="s">
        <v>783</v>
      </c>
      <c r="M699" s="92"/>
      <c r="N699" s="92"/>
      <c r="O699" s="93">
        <f t="shared" si="752"/>
        <v>0</v>
      </c>
      <c r="P699" s="93">
        <f t="shared" si="746"/>
        <v>0</v>
      </c>
      <c r="Q699" s="94"/>
      <c r="R699" s="92">
        <f t="shared" si="747"/>
        <v>0</v>
      </c>
      <c r="S699" s="92">
        <f t="shared" si="748"/>
        <v>0</v>
      </c>
      <c r="T699" s="93">
        <f t="shared" si="749"/>
        <v>0</v>
      </c>
      <c r="U699" s="95">
        <f t="shared" si="750"/>
        <v>0</v>
      </c>
      <c r="V699" s="94"/>
      <c r="X699" s="580" t="str">
        <f t="shared" si="751"/>
        <v/>
      </c>
      <c r="Y699" s="580" t="str">
        <f t="shared" si="517"/>
        <v/>
      </c>
      <c r="Z699" s="580" t="str">
        <f t="shared" si="716"/>
        <v/>
      </c>
    </row>
    <row r="700" spans="1:26" ht="13.5" hidden="1" thickBot="1" x14ac:dyDescent="0.25">
      <c r="A700" s="602" t="s">
        <v>187</v>
      </c>
      <c r="B700" s="1015" t="s">
        <v>187</v>
      </c>
      <c r="C700" s="1016" t="s">
        <v>187</v>
      </c>
      <c r="D700" s="616"/>
      <c r="E700" s="609"/>
      <c r="F700" s="677"/>
      <c r="G700" s="610"/>
      <c r="H700" s="611"/>
      <c r="I700" s="612"/>
      <c r="J700" s="613"/>
      <c r="K700" s="617">
        <f t="shared" si="744"/>
        <v>0</v>
      </c>
      <c r="L700" s="615" t="s">
        <v>783</v>
      </c>
      <c r="M700" s="92"/>
      <c r="N700" s="92"/>
      <c r="O700" s="93">
        <f t="shared" si="752"/>
        <v>0</v>
      </c>
      <c r="P700" s="93">
        <f t="shared" si="746"/>
        <v>0</v>
      </c>
      <c r="Q700" s="94"/>
      <c r="R700" s="92">
        <f t="shared" si="747"/>
        <v>0</v>
      </c>
      <c r="S700" s="92">
        <f t="shared" si="748"/>
        <v>0</v>
      </c>
      <c r="T700" s="93">
        <f t="shared" si="749"/>
        <v>0</v>
      </c>
      <c r="U700" s="95">
        <f t="shared" si="750"/>
        <v>0</v>
      </c>
      <c r="V700" s="94"/>
      <c r="X700" s="580" t="str">
        <f t="shared" si="751"/>
        <v/>
      </c>
      <c r="Y700" s="580" t="str">
        <f t="shared" si="517"/>
        <v/>
      </c>
      <c r="Z700" s="580" t="str">
        <f t="shared" si="716"/>
        <v/>
      </c>
    </row>
    <row r="701" spans="1:26" ht="13.5" hidden="1" thickBot="1" x14ac:dyDescent="0.25">
      <c r="A701" s="602" t="s">
        <v>187</v>
      </c>
      <c r="B701" s="1015" t="s">
        <v>187</v>
      </c>
      <c r="C701" s="1016" t="s">
        <v>187</v>
      </c>
      <c r="D701" s="616"/>
      <c r="E701" s="609"/>
      <c r="F701" s="677"/>
      <c r="G701" s="610"/>
      <c r="H701" s="611"/>
      <c r="I701" s="612"/>
      <c r="J701" s="613"/>
      <c r="K701" s="617">
        <f t="shared" si="744"/>
        <v>0</v>
      </c>
      <c r="L701" s="615" t="s">
        <v>783</v>
      </c>
      <c r="M701" s="92"/>
      <c r="N701" s="92"/>
      <c r="O701" s="93">
        <f t="shared" si="752"/>
        <v>0</v>
      </c>
      <c r="P701" s="93">
        <f t="shared" si="746"/>
        <v>0</v>
      </c>
      <c r="Q701" s="94"/>
      <c r="R701" s="92">
        <f t="shared" si="747"/>
        <v>0</v>
      </c>
      <c r="S701" s="92">
        <f t="shared" si="748"/>
        <v>0</v>
      </c>
      <c r="T701" s="93">
        <f t="shared" si="749"/>
        <v>0</v>
      </c>
      <c r="U701" s="95">
        <f t="shared" si="750"/>
        <v>0</v>
      </c>
      <c r="V701" s="94"/>
      <c r="X701" s="580" t="str">
        <f t="shared" si="751"/>
        <v/>
      </c>
      <c r="Y701" s="580" t="str">
        <f t="shared" si="517"/>
        <v/>
      </c>
      <c r="Z701" s="580" t="str">
        <f t="shared" si="716"/>
        <v/>
      </c>
    </row>
    <row r="702" spans="1:26" ht="13.5" hidden="1" thickBot="1" x14ac:dyDescent="0.25">
      <c r="A702" s="602" t="s">
        <v>187</v>
      </c>
      <c r="B702" s="1015" t="s">
        <v>187</v>
      </c>
      <c r="C702" s="1016" t="s">
        <v>187</v>
      </c>
      <c r="D702" s="616"/>
      <c r="E702" s="609"/>
      <c r="F702" s="677"/>
      <c r="G702" s="610"/>
      <c r="H702" s="611"/>
      <c r="I702" s="612"/>
      <c r="J702" s="613"/>
      <c r="K702" s="617">
        <f t="shared" si="744"/>
        <v>0</v>
      </c>
      <c r="L702" s="615" t="s">
        <v>783</v>
      </c>
      <c r="M702" s="92"/>
      <c r="N702" s="92"/>
      <c r="O702" s="93">
        <f t="shared" si="752"/>
        <v>0</v>
      </c>
      <c r="P702" s="93">
        <f t="shared" si="746"/>
        <v>0</v>
      </c>
      <c r="Q702" s="94"/>
      <c r="R702" s="92">
        <f t="shared" si="747"/>
        <v>0</v>
      </c>
      <c r="S702" s="92">
        <f t="shared" si="748"/>
        <v>0</v>
      </c>
      <c r="T702" s="93">
        <f t="shared" si="749"/>
        <v>0</v>
      </c>
      <c r="U702" s="95">
        <f t="shared" si="750"/>
        <v>0</v>
      </c>
      <c r="V702" s="94"/>
      <c r="X702" s="580" t="str">
        <f t="shared" si="751"/>
        <v/>
      </c>
      <c r="Y702" s="580" t="str">
        <f t="shared" si="517"/>
        <v/>
      </c>
      <c r="Z702" s="580" t="str">
        <f t="shared" si="716"/>
        <v/>
      </c>
    </row>
    <row r="703" spans="1:26" ht="13.5" hidden="1" thickBot="1" x14ac:dyDescent="0.25">
      <c r="A703" s="602" t="s">
        <v>187</v>
      </c>
      <c r="B703" s="1015" t="s">
        <v>187</v>
      </c>
      <c r="C703" s="1016" t="s">
        <v>187</v>
      </c>
      <c r="D703" s="616"/>
      <c r="E703" s="609"/>
      <c r="F703" s="677"/>
      <c r="G703" s="610"/>
      <c r="H703" s="611"/>
      <c r="I703" s="612"/>
      <c r="J703" s="613"/>
      <c r="K703" s="617">
        <f t="shared" si="744"/>
        <v>0</v>
      </c>
      <c r="L703" s="615" t="s">
        <v>783</v>
      </c>
      <c r="M703" s="92"/>
      <c r="N703" s="92"/>
      <c r="O703" s="93">
        <f t="shared" si="752"/>
        <v>0</v>
      </c>
      <c r="P703" s="93">
        <f t="shared" si="746"/>
        <v>0</v>
      </c>
      <c r="Q703" s="94"/>
      <c r="R703" s="92">
        <f t="shared" si="747"/>
        <v>0</v>
      </c>
      <c r="S703" s="92">
        <f t="shared" si="748"/>
        <v>0</v>
      </c>
      <c r="T703" s="93">
        <f t="shared" si="749"/>
        <v>0</v>
      </c>
      <c r="U703" s="95">
        <f t="shared" si="750"/>
        <v>0</v>
      </c>
      <c r="V703" s="94"/>
      <c r="X703" s="580" t="str">
        <f t="shared" si="751"/>
        <v/>
      </c>
      <c r="Y703" s="580" t="str">
        <f t="shared" si="517"/>
        <v/>
      </c>
      <c r="Z703" s="580" t="str">
        <f t="shared" si="716"/>
        <v/>
      </c>
    </row>
    <row r="704" spans="1:26" ht="13.5" hidden="1" thickBot="1" x14ac:dyDescent="0.25">
      <c r="A704" s="602" t="s">
        <v>187</v>
      </c>
      <c r="B704" s="1015" t="s">
        <v>187</v>
      </c>
      <c r="C704" s="1016" t="s">
        <v>187</v>
      </c>
      <c r="D704" s="616"/>
      <c r="E704" s="609"/>
      <c r="F704" s="677"/>
      <c r="G704" s="610"/>
      <c r="H704" s="611"/>
      <c r="I704" s="612"/>
      <c r="J704" s="613"/>
      <c r="K704" s="617">
        <f t="shared" si="744"/>
        <v>0</v>
      </c>
      <c r="L704" s="615" t="s">
        <v>783</v>
      </c>
      <c r="M704" s="92"/>
      <c r="N704" s="92"/>
      <c r="O704" s="93">
        <f t="shared" si="752"/>
        <v>0</v>
      </c>
      <c r="P704" s="93">
        <f t="shared" si="746"/>
        <v>0</v>
      </c>
      <c r="Q704" s="94"/>
      <c r="R704" s="92">
        <f t="shared" si="747"/>
        <v>0</v>
      </c>
      <c r="S704" s="92">
        <f t="shared" si="748"/>
        <v>0</v>
      </c>
      <c r="T704" s="93">
        <f t="shared" si="749"/>
        <v>0</v>
      </c>
      <c r="U704" s="95">
        <f t="shared" si="750"/>
        <v>0</v>
      </c>
      <c r="V704" s="94"/>
      <c r="X704" s="580" t="str">
        <f t="shared" si="751"/>
        <v/>
      </c>
      <c r="Y704" s="580" t="str">
        <f t="shared" si="517"/>
        <v/>
      </c>
      <c r="Z704" s="580" t="str">
        <f t="shared" si="716"/>
        <v/>
      </c>
    </row>
    <row r="705" spans="1:26" ht="13.5" hidden="1" thickBot="1" x14ac:dyDescent="0.25">
      <c r="A705" s="602" t="s">
        <v>187</v>
      </c>
      <c r="B705" s="1015" t="s">
        <v>187</v>
      </c>
      <c r="C705" s="1016" t="s">
        <v>187</v>
      </c>
      <c r="D705" s="616"/>
      <c r="E705" s="609"/>
      <c r="F705" s="677"/>
      <c r="G705" s="610"/>
      <c r="H705" s="611"/>
      <c r="I705" s="612"/>
      <c r="J705" s="613"/>
      <c r="K705" s="617">
        <f t="shared" si="744"/>
        <v>0</v>
      </c>
      <c r="L705" s="615" t="s">
        <v>783</v>
      </c>
      <c r="M705" s="92"/>
      <c r="N705" s="92"/>
      <c r="O705" s="93">
        <f t="shared" si="752"/>
        <v>0</v>
      </c>
      <c r="P705" s="93">
        <f t="shared" si="746"/>
        <v>0</v>
      </c>
      <c r="Q705" s="94"/>
      <c r="R705" s="92">
        <f t="shared" si="747"/>
        <v>0</v>
      </c>
      <c r="S705" s="92">
        <f t="shared" si="748"/>
        <v>0</v>
      </c>
      <c r="T705" s="93">
        <f t="shared" si="749"/>
        <v>0</v>
      </c>
      <c r="U705" s="95">
        <f t="shared" si="750"/>
        <v>0</v>
      </c>
      <c r="V705" s="94"/>
      <c r="X705" s="580" t="str">
        <f t="shared" si="751"/>
        <v/>
      </c>
      <c r="Y705" s="580" t="str">
        <f t="shared" si="517"/>
        <v/>
      </c>
      <c r="Z705" s="580" t="str">
        <f t="shared" si="716"/>
        <v/>
      </c>
    </row>
    <row r="706" spans="1:26" ht="13.5" hidden="1" thickBot="1" x14ac:dyDescent="0.25">
      <c r="A706" s="602" t="s">
        <v>187</v>
      </c>
      <c r="B706" s="1015" t="s">
        <v>187</v>
      </c>
      <c r="C706" s="1016" t="s">
        <v>187</v>
      </c>
      <c r="D706" s="616"/>
      <c r="E706" s="609"/>
      <c r="F706" s="677"/>
      <c r="G706" s="610"/>
      <c r="H706" s="611"/>
      <c r="I706" s="612"/>
      <c r="J706" s="613"/>
      <c r="K706" s="617">
        <f t="shared" si="744"/>
        <v>0</v>
      </c>
      <c r="L706" s="615" t="s">
        <v>783</v>
      </c>
      <c r="M706" s="92"/>
      <c r="N706" s="92"/>
      <c r="O706" s="93">
        <f t="shared" si="752"/>
        <v>0</v>
      </c>
      <c r="P706" s="93">
        <f t="shared" si="746"/>
        <v>0</v>
      </c>
      <c r="Q706" s="94"/>
      <c r="R706" s="92">
        <f t="shared" si="747"/>
        <v>0</v>
      </c>
      <c r="S706" s="92">
        <f t="shared" si="748"/>
        <v>0</v>
      </c>
      <c r="T706" s="93">
        <f t="shared" si="749"/>
        <v>0</v>
      </c>
      <c r="U706" s="95">
        <f t="shared" si="750"/>
        <v>0</v>
      </c>
      <c r="V706" s="94"/>
      <c r="X706" s="580" t="str">
        <f t="shared" si="751"/>
        <v/>
      </c>
      <c r="Y706" s="580" t="str">
        <f t="shared" si="517"/>
        <v/>
      </c>
      <c r="Z706" s="580" t="str">
        <f t="shared" si="716"/>
        <v/>
      </c>
    </row>
    <row r="707" spans="1:26" ht="13.5" hidden="1" thickBot="1" x14ac:dyDescent="0.25">
      <c r="A707" s="602" t="s">
        <v>187</v>
      </c>
      <c r="B707" s="1015" t="s">
        <v>187</v>
      </c>
      <c r="C707" s="1016" t="s">
        <v>187</v>
      </c>
      <c r="D707" s="616"/>
      <c r="E707" s="609"/>
      <c r="F707" s="677"/>
      <c r="G707" s="610"/>
      <c r="H707" s="611"/>
      <c r="I707" s="612"/>
      <c r="J707" s="613"/>
      <c r="K707" s="617">
        <f t="shared" si="744"/>
        <v>0</v>
      </c>
      <c r="L707" s="615" t="s">
        <v>783</v>
      </c>
      <c r="M707" s="92"/>
      <c r="N707" s="92"/>
      <c r="O707" s="93">
        <f t="shared" si="752"/>
        <v>0</v>
      </c>
      <c r="P707" s="93">
        <f t="shared" si="746"/>
        <v>0</v>
      </c>
      <c r="Q707" s="94"/>
      <c r="R707" s="92">
        <f t="shared" si="747"/>
        <v>0</v>
      </c>
      <c r="S707" s="92">
        <f t="shared" si="748"/>
        <v>0</v>
      </c>
      <c r="T707" s="93">
        <f t="shared" si="749"/>
        <v>0</v>
      </c>
      <c r="U707" s="95">
        <f t="shared" si="750"/>
        <v>0</v>
      </c>
      <c r="V707" s="94"/>
      <c r="X707" s="580" t="str">
        <f t="shared" si="751"/>
        <v/>
      </c>
      <c r="Y707" s="580" t="str">
        <f t="shared" si="517"/>
        <v/>
      </c>
      <c r="Z707" s="580" t="str">
        <f t="shared" si="716"/>
        <v/>
      </c>
    </row>
    <row r="708" spans="1:26" ht="13.5" hidden="1" thickBot="1" x14ac:dyDescent="0.25">
      <c r="A708" s="602" t="s">
        <v>187</v>
      </c>
      <c r="B708" s="1015" t="s">
        <v>187</v>
      </c>
      <c r="C708" s="1016" t="s">
        <v>187</v>
      </c>
      <c r="D708" s="616"/>
      <c r="E708" s="609"/>
      <c r="F708" s="677"/>
      <c r="G708" s="610"/>
      <c r="H708" s="611"/>
      <c r="I708" s="612"/>
      <c r="J708" s="613"/>
      <c r="K708" s="617">
        <f t="shared" si="744"/>
        <v>0</v>
      </c>
      <c r="L708" s="615" t="s">
        <v>783</v>
      </c>
      <c r="M708" s="92"/>
      <c r="N708" s="92"/>
      <c r="O708" s="93">
        <f t="shared" si="752"/>
        <v>0</v>
      </c>
      <c r="P708" s="93">
        <f t="shared" si="746"/>
        <v>0</v>
      </c>
      <c r="Q708" s="94"/>
      <c r="R708" s="92">
        <f t="shared" si="747"/>
        <v>0</v>
      </c>
      <c r="S708" s="92">
        <f t="shared" si="748"/>
        <v>0</v>
      </c>
      <c r="T708" s="93">
        <f t="shared" si="749"/>
        <v>0</v>
      </c>
      <c r="U708" s="95">
        <f t="shared" si="750"/>
        <v>0</v>
      </c>
      <c r="V708" s="94"/>
      <c r="X708" s="580" t="str">
        <f t="shared" si="751"/>
        <v/>
      </c>
      <c r="Y708" s="580" t="str">
        <f t="shared" si="517"/>
        <v/>
      </c>
      <c r="Z708" s="580" t="str">
        <f t="shared" si="716"/>
        <v/>
      </c>
    </row>
    <row r="709" spans="1:26" ht="13.5" hidden="1" thickBot="1" x14ac:dyDescent="0.25">
      <c r="A709" s="602" t="s">
        <v>187</v>
      </c>
      <c r="B709" s="1015" t="s">
        <v>187</v>
      </c>
      <c r="C709" s="1016" t="s">
        <v>187</v>
      </c>
      <c r="D709" s="616"/>
      <c r="E709" s="609"/>
      <c r="F709" s="677"/>
      <c r="G709" s="610"/>
      <c r="H709" s="611"/>
      <c r="I709" s="612"/>
      <c r="J709" s="613"/>
      <c r="K709" s="617">
        <f t="shared" si="744"/>
        <v>0</v>
      </c>
      <c r="L709" s="615" t="s">
        <v>783</v>
      </c>
      <c r="M709" s="92"/>
      <c r="N709" s="92"/>
      <c r="O709" s="93">
        <f t="shared" si="752"/>
        <v>0</v>
      </c>
      <c r="P709" s="93">
        <f t="shared" si="746"/>
        <v>0</v>
      </c>
      <c r="Q709" s="94"/>
      <c r="R709" s="92">
        <f t="shared" si="747"/>
        <v>0</v>
      </c>
      <c r="S709" s="92">
        <f t="shared" si="748"/>
        <v>0</v>
      </c>
      <c r="T709" s="93">
        <f t="shared" si="749"/>
        <v>0</v>
      </c>
      <c r="U709" s="95">
        <f t="shared" si="750"/>
        <v>0</v>
      </c>
      <c r="V709" s="94"/>
      <c r="X709" s="580" t="str">
        <f t="shared" si="751"/>
        <v/>
      </c>
      <c r="Y709" s="580" t="str">
        <f t="shared" si="517"/>
        <v/>
      </c>
      <c r="Z709" s="580" t="str">
        <f t="shared" si="716"/>
        <v/>
      </c>
    </row>
    <row r="710" spans="1:26" ht="13.5" hidden="1" thickBot="1" x14ac:dyDescent="0.25">
      <c r="A710" s="602" t="s">
        <v>187</v>
      </c>
      <c r="B710" s="1015" t="s">
        <v>187</v>
      </c>
      <c r="C710" s="1016" t="s">
        <v>187</v>
      </c>
      <c r="D710" s="616"/>
      <c r="E710" s="609"/>
      <c r="F710" s="677"/>
      <c r="G710" s="610"/>
      <c r="H710" s="611"/>
      <c r="I710" s="612"/>
      <c r="J710" s="613"/>
      <c r="K710" s="617">
        <f t="shared" si="744"/>
        <v>0</v>
      </c>
      <c r="L710" s="615" t="s">
        <v>783</v>
      </c>
      <c r="M710" s="92"/>
      <c r="N710" s="92"/>
      <c r="O710" s="93">
        <f t="shared" si="752"/>
        <v>0</v>
      </c>
      <c r="P710" s="93">
        <f t="shared" si="746"/>
        <v>0</v>
      </c>
      <c r="Q710" s="94"/>
      <c r="R710" s="92">
        <f t="shared" si="747"/>
        <v>0</v>
      </c>
      <c r="S710" s="92">
        <f t="shared" si="748"/>
        <v>0</v>
      </c>
      <c r="T710" s="93">
        <f t="shared" si="749"/>
        <v>0</v>
      </c>
      <c r="U710" s="95">
        <f t="shared" si="750"/>
        <v>0</v>
      </c>
      <c r="V710" s="94"/>
      <c r="X710" s="580" t="str">
        <f t="shared" si="751"/>
        <v/>
      </c>
      <c r="Y710" s="580" t="str">
        <f t="shared" si="517"/>
        <v/>
      </c>
      <c r="Z710" s="580" t="str">
        <f t="shared" si="716"/>
        <v/>
      </c>
    </row>
    <row r="711" spans="1:26" ht="13.5" hidden="1" thickBot="1" x14ac:dyDescent="0.25">
      <c r="A711" s="602" t="s">
        <v>187</v>
      </c>
      <c r="B711" s="1015" t="s">
        <v>187</v>
      </c>
      <c r="C711" s="1016" t="s">
        <v>187</v>
      </c>
      <c r="D711" s="616"/>
      <c r="E711" s="609"/>
      <c r="F711" s="677"/>
      <c r="G711" s="610"/>
      <c r="H711" s="611"/>
      <c r="I711" s="612"/>
      <c r="J711" s="613"/>
      <c r="K711" s="617">
        <f t="shared" si="744"/>
        <v>0</v>
      </c>
      <c r="L711" s="615" t="s">
        <v>783</v>
      </c>
      <c r="M711" s="92"/>
      <c r="N711" s="92"/>
      <c r="O711" s="93">
        <f t="shared" si="752"/>
        <v>0</v>
      </c>
      <c r="P711" s="93">
        <f t="shared" si="746"/>
        <v>0</v>
      </c>
      <c r="Q711" s="94"/>
      <c r="R711" s="92">
        <f t="shared" si="747"/>
        <v>0</v>
      </c>
      <c r="S711" s="92">
        <f t="shared" si="748"/>
        <v>0</v>
      </c>
      <c r="T711" s="93">
        <f t="shared" si="749"/>
        <v>0</v>
      </c>
      <c r="U711" s="95">
        <f t="shared" si="750"/>
        <v>0</v>
      </c>
      <c r="V711" s="94"/>
      <c r="X711" s="580" t="str">
        <f t="shared" si="751"/>
        <v/>
      </c>
      <c r="Y711" s="580" t="str">
        <f t="shared" si="517"/>
        <v/>
      </c>
      <c r="Z711" s="580" t="str">
        <f t="shared" si="716"/>
        <v/>
      </c>
    </row>
    <row r="712" spans="1:26" ht="13.5" hidden="1" thickBot="1" x14ac:dyDescent="0.25">
      <c r="A712" s="602" t="s">
        <v>187</v>
      </c>
      <c r="B712" s="1015" t="s">
        <v>187</v>
      </c>
      <c r="C712" s="1016" t="s">
        <v>187</v>
      </c>
      <c r="D712" s="616"/>
      <c r="E712" s="609"/>
      <c r="F712" s="677"/>
      <c r="G712" s="610"/>
      <c r="H712" s="611"/>
      <c r="I712" s="612"/>
      <c r="J712" s="613"/>
      <c r="K712" s="617">
        <f t="shared" si="744"/>
        <v>0</v>
      </c>
      <c r="L712" s="615" t="s">
        <v>783</v>
      </c>
      <c r="M712" s="92"/>
      <c r="N712" s="92"/>
      <c r="O712" s="93">
        <f t="shared" si="752"/>
        <v>0</v>
      </c>
      <c r="P712" s="93">
        <f t="shared" si="746"/>
        <v>0</v>
      </c>
      <c r="Q712" s="94"/>
      <c r="R712" s="92">
        <f t="shared" si="747"/>
        <v>0</v>
      </c>
      <c r="S712" s="92">
        <f t="shared" si="748"/>
        <v>0</v>
      </c>
      <c r="T712" s="93">
        <f t="shared" si="749"/>
        <v>0</v>
      </c>
      <c r="U712" s="95">
        <f t="shared" si="750"/>
        <v>0</v>
      </c>
      <c r="V712" s="94"/>
      <c r="X712" s="580" t="str">
        <f t="shared" si="751"/>
        <v/>
      </c>
      <c r="Y712" s="580" t="str">
        <f t="shared" si="517"/>
        <v/>
      </c>
      <c r="Z712" s="580" t="str">
        <f t="shared" si="716"/>
        <v/>
      </c>
    </row>
    <row r="713" spans="1:26" ht="13.5" hidden="1" thickBot="1" x14ac:dyDescent="0.25">
      <c r="A713" s="602" t="s">
        <v>187</v>
      </c>
      <c r="B713" s="1015" t="s">
        <v>187</v>
      </c>
      <c r="C713" s="1016" t="s">
        <v>187</v>
      </c>
      <c r="D713" s="616"/>
      <c r="E713" s="609"/>
      <c r="F713" s="677"/>
      <c r="G713" s="610"/>
      <c r="H713" s="611"/>
      <c r="I713" s="612"/>
      <c r="J713" s="613"/>
      <c r="K713" s="617">
        <f t="shared" si="744"/>
        <v>0</v>
      </c>
      <c r="L713" s="615" t="s">
        <v>783</v>
      </c>
      <c r="M713" s="92"/>
      <c r="N713" s="92"/>
      <c r="O713" s="93">
        <f t="shared" si="752"/>
        <v>0</v>
      </c>
      <c r="P713" s="93">
        <f t="shared" si="746"/>
        <v>0</v>
      </c>
      <c r="Q713" s="94"/>
      <c r="R713" s="92">
        <f t="shared" si="747"/>
        <v>0</v>
      </c>
      <c r="S713" s="92">
        <f t="shared" si="748"/>
        <v>0</v>
      </c>
      <c r="T713" s="93">
        <f t="shared" si="749"/>
        <v>0</v>
      </c>
      <c r="U713" s="95">
        <f t="shared" si="750"/>
        <v>0</v>
      </c>
      <c r="V713" s="94"/>
      <c r="X713" s="580" t="str">
        <f t="shared" si="751"/>
        <v/>
      </c>
      <c r="Y713" s="580" t="str">
        <f t="shared" si="517"/>
        <v/>
      </c>
      <c r="Z713" s="580" t="str">
        <f t="shared" si="716"/>
        <v/>
      </c>
    </row>
    <row r="714" spans="1:26" ht="13.5" hidden="1" thickBot="1" x14ac:dyDescent="0.25">
      <c r="A714" s="602" t="s">
        <v>187</v>
      </c>
      <c r="B714" s="1015" t="s">
        <v>187</v>
      </c>
      <c r="C714" s="1016" t="s">
        <v>187</v>
      </c>
      <c r="D714" s="616"/>
      <c r="E714" s="609"/>
      <c r="F714" s="677"/>
      <c r="G714" s="610"/>
      <c r="H714" s="611"/>
      <c r="I714" s="612"/>
      <c r="J714" s="613"/>
      <c r="K714" s="617">
        <f t="shared" si="744"/>
        <v>0</v>
      </c>
      <c r="L714" s="615" t="s">
        <v>783</v>
      </c>
      <c r="M714" s="92"/>
      <c r="N714" s="92"/>
      <c r="O714" s="93">
        <f t="shared" si="752"/>
        <v>0</v>
      </c>
      <c r="P714" s="93">
        <f t="shared" si="746"/>
        <v>0</v>
      </c>
      <c r="Q714" s="94"/>
      <c r="R714" s="92">
        <f t="shared" si="747"/>
        <v>0</v>
      </c>
      <c r="S714" s="92">
        <f t="shared" si="748"/>
        <v>0</v>
      </c>
      <c r="T714" s="93">
        <f t="shared" si="749"/>
        <v>0</v>
      </c>
      <c r="U714" s="95">
        <f t="shared" si="750"/>
        <v>0</v>
      </c>
      <c r="V714" s="94"/>
      <c r="X714" s="580" t="str">
        <f t="shared" si="751"/>
        <v/>
      </c>
      <c r="Y714" s="580" t="str">
        <f t="shared" si="517"/>
        <v/>
      </c>
      <c r="Z714" s="580" t="str">
        <f t="shared" si="716"/>
        <v/>
      </c>
    </row>
    <row r="715" spans="1:26" ht="13.5" hidden="1" thickBot="1" x14ac:dyDescent="0.25">
      <c r="A715" s="602" t="s">
        <v>187</v>
      </c>
      <c r="B715" s="1015" t="s">
        <v>187</v>
      </c>
      <c r="C715" s="1016" t="s">
        <v>187</v>
      </c>
      <c r="D715" s="616"/>
      <c r="E715" s="609"/>
      <c r="F715" s="677"/>
      <c r="G715" s="610"/>
      <c r="H715" s="611"/>
      <c r="I715" s="612"/>
      <c r="J715" s="613"/>
      <c r="K715" s="617">
        <f t="shared" si="744"/>
        <v>0</v>
      </c>
      <c r="L715" s="615" t="s">
        <v>783</v>
      </c>
      <c r="M715" s="92"/>
      <c r="N715" s="92"/>
      <c r="O715" s="93">
        <f t="shared" si="752"/>
        <v>0</v>
      </c>
      <c r="P715" s="93">
        <f t="shared" si="746"/>
        <v>0</v>
      </c>
      <c r="Q715" s="94"/>
      <c r="R715" s="92">
        <f t="shared" si="747"/>
        <v>0</v>
      </c>
      <c r="S715" s="92">
        <f t="shared" si="748"/>
        <v>0</v>
      </c>
      <c r="T715" s="93">
        <f t="shared" si="749"/>
        <v>0</v>
      </c>
      <c r="U715" s="95">
        <f t="shared" si="750"/>
        <v>0</v>
      </c>
      <c r="V715" s="94"/>
      <c r="X715" s="580" t="str">
        <f t="shared" si="751"/>
        <v/>
      </c>
      <c r="Y715" s="580" t="str">
        <f t="shared" si="517"/>
        <v/>
      </c>
      <c r="Z715" s="580" t="str">
        <f t="shared" si="716"/>
        <v/>
      </c>
    </row>
    <row r="716" spans="1:26" ht="13.5" hidden="1" thickBot="1" x14ac:dyDescent="0.25">
      <c r="A716" s="602" t="s">
        <v>187</v>
      </c>
      <c r="B716" s="1015" t="s">
        <v>187</v>
      </c>
      <c r="C716" s="1016" t="s">
        <v>187</v>
      </c>
      <c r="D716" s="616"/>
      <c r="E716" s="609"/>
      <c r="F716" s="677"/>
      <c r="G716" s="610"/>
      <c r="H716" s="611"/>
      <c r="I716" s="612"/>
      <c r="J716" s="613"/>
      <c r="K716" s="617">
        <f t="shared" si="744"/>
        <v>0</v>
      </c>
      <c r="L716" s="615" t="s">
        <v>783</v>
      </c>
      <c r="M716" s="92"/>
      <c r="N716" s="92"/>
      <c r="O716" s="93">
        <f t="shared" si="752"/>
        <v>0</v>
      </c>
      <c r="P716" s="93">
        <f t="shared" si="746"/>
        <v>0</v>
      </c>
      <c r="Q716" s="94"/>
      <c r="R716" s="92">
        <f t="shared" si="747"/>
        <v>0</v>
      </c>
      <c r="S716" s="92">
        <f t="shared" si="748"/>
        <v>0</v>
      </c>
      <c r="T716" s="93">
        <f t="shared" si="749"/>
        <v>0</v>
      </c>
      <c r="U716" s="95">
        <f t="shared" si="750"/>
        <v>0</v>
      </c>
      <c r="V716" s="94"/>
      <c r="X716" s="580" t="str">
        <f t="shared" si="751"/>
        <v/>
      </c>
      <c r="Y716" s="580" t="str">
        <f t="shared" si="517"/>
        <v/>
      </c>
      <c r="Z716" s="580" t="str">
        <f t="shared" si="716"/>
        <v/>
      </c>
    </row>
    <row r="717" spans="1:26" ht="13.5" hidden="1" thickBot="1" x14ac:dyDescent="0.25">
      <c r="A717" s="602" t="s">
        <v>187</v>
      </c>
      <c r="B717" s="1015" t="s">
        <v>187</v>
      </c>
      <c r="C717" s="1016" t="s">
        <v>187</v>
      </c>
      <c r="D717" s="616"/>
      <c r="E717" s="609"/>
      <c r="F717" s="677"/>
      <c r="G717" s="610"/>
      <c r="H717" s="611"/>
      <c r="I717" s="612"/>
      <c r="J717" s="613"/>
      <c r="K717" s="617">
        <f t="shared" si="744"/>
        <v>0</v>
      </c>
      <c r="L717" s="615" t="s">
        <v>783</v>
      </c>
      <c r="M717" s="92"/>
      <c r="N717" s="92"/>
      <c r="O717" s="93">
        <f t="shared" si="752"/>
        <v>0</v>
      </c>
      <c r="P717" s="93">
        <f t="shared" si="746"/>
        <v>0</v>
      </c>
      <c r="Q717" s="94"/>
      <c r="R717" s="92">
        <f t="shared" si="747"/>
        <v>0</v>
      </c>
      <c r="S717" s="92">
        <f t="shared" si="748"/>
        <v>0</v>
      </c>
      <c r="T717" s="93">
        <f t="shared" si="749"/>
        <v>0</v>
      </c>
      <c r="U717" s="95">
        <f t="shared" si="750"/>
        <v>0</v>
      </c>
      <c r="V717" s="94"/>
      <c r="X717" s="580" t="str">
        <f t="shared" si="751"/>
        <v/>
      </c>
      <c r="Y717" s="580" t="str">
        <f t="shared" si="517"/>
        <v/>
      </c>
      <c r="Z717" s="580" t="str">
        <f t="shared" si="716"/>
        <v/>
      </c>
    </row>
    <row r="718" spans="1:26" ht="13.5" hidden="1" thickBot="1" x14ac:dyDescent="0.25">
      <c r="A718" s="602" t="s">
        <v>187</v>
      </c>
      <c r="B718" s="1017" t="s">
        <v>187</v>
      </c>
      <c r="C718" s="1018" t="s">
        <v>187</v>
      </c>
      <c r="D718" s="619"/>
      <c r="E718" s="620"/>
      <c r="F718" s="678"/>
      <c r="G718" s="621"/>
      <c r="H718" s="622"/>
      <c r="I718" s="623"/>
      <c r="J718" s="624"/>
      <c r="K718" s="625">
        <f t="shared" si="744"/>
        <v>0</v>
      </c>
      <c r="L718" s="626" t="s">
        <v>783</v>
      </c>
      <c r="M718" s="92"/>
      <c r="N718" s="92"/>
      <c r="O718" s="627">
        <f t="shared" si="752"/>
        <v>0</v>
      </c>
      <c r="P718" s="627">
        <f t="shared" si="746"/>
        <v>0</v>
      </c>
      <c r="Q718" s="94"/>
      <c r="R718" s="92">
        <f t="shared" si="747"/>
        <v>0</v>
      </c>
      <c r="S718" s="92">
        <f t="shared" si="748"/>
        <v>0</v>
      </c>
      <c r="T718" s="627">
        <f t="shared" si="749"/>
        <v>0</v>
      </c>
      <c r="U718" s="628">
        <f t="shared" si="750"/>
        <v>0</v>
      </c>
      <c r="V718" s="94"/>
      <c r="X718" s="580" t="str">
        <f t="shared" si="751"/>
        <v/>
      </c>
      <c r="Y718" s="580" t="str">
        <f t="shared" si="517"/>
        <v/>
      </c>
      <c r="Z718" s="580" t="str">
        <f t="shared" si="716"/>
        <v/>
      </c>
    </row>
    <row r="719" spans="1:26" ht="13.5" thickBot="1" x14ac:dyDescent="0.25">
      <c r="A719" s="97" t="s">
        <v>474</v>
      </c>
      <c r="B719" s="1124" t="s">
        <v>474</v>
      </c>
      <c r="C719" s="1125"/>
      <c r="D719" s="1126" t="s">
        <v>504</v>
      </c>
      <c r="E719" s="1102"/>
      <c r="F719" s="679"/>
      <c r="G719" s="574"/>
      <c r="H719" s="77"/>
      <c r="I719" s="576"/>
      <c r="J719" s="576"/>
      <c r="K719" s="576"/>
      <c r="L719" s="576" t="s">
        <v>783</v>
      </c>
      <c r="M719" s="575"/>
      <c r="N719" s="576"/>
      <c r="O719" s="576"/>
      <c r="P719" s="577"/>
      <c r="Q719" s="578">
        <f>SUM(P720:P778)</f>
        <v>56562.79</v>
      </c>
      <c r="R719" s="1103"/>
      <c r="S719" s="1104"/>
      <c r="T719" s="1104"/>
      <c r="U719" s="1105"/>
      <c r="V719" s="1106">
        <f>SUM(U720:U778)</f>
        <v>55596.86</v>
      </c>
      <c r="W719" s="579" t="str">
        <f>IF(OR(Q719&gt;0,V719&gt;0),"X","")</f>
        <v>X</v>
      </c>
      <c r="X719" s="580" t="str">
        <f t="shared" si="751"/>
        <v>x</v>
      </c>
      <c r="Y719" s="580" t="str">
        <f t="shared" si="517"/>
        <v>x</v>
      </c>
      <c r="Z719" s="580" t="str">
        <f t="shared" si="716"/>
        <v>x</v>
      </c>
    </row>
    <row r="720" spans="1:26" hidden="1" x14ac:dyDescent="0.2">
      <c r="A720" s="1008">
        <v>813000</v>
      </c>
      <c r="B720" s="1010">
        <v>813000</v>
      </c>
      <c r="C720" s="978" t="s">
        <v>212</v>
      </c>
      <c r="D720" s="595" t="s">
        <v>812</v>
      </c>
      <c r="E720" s="596"/>
      <c r="F720" s="671"/>
      <c r="G720" s="597"/>
      <c r="H720" s="682">
        <f>SUM(H721:H723)</f>
        <v>13.782183000000002</v>
      </c>
      <c r="I720" s="592">
        <v>96.5</v>
      </c>
      <c r="J720" s="592">
        <f t="shared" ref="J720:J728" si="753">IF(ISBLANK(I720),"",SUM(H720:I720))</f>
        <v>110.282183</v>
      </c>
      <c r="K720" s="617">
        <f t="shared" ref="K720:K727" si="754">IF(ISBLANK(J720),0,ROUND(J720*(1+$F$10)*(1+$F$11*E720),2))</f>
        <v>134.22</v>
      </c>
      <c r="L720" s="594" t="s">
        <v>19</v>
      </c>
      <c r="M720" s="92"/>
      <c r="N720" s="92"/>
      <c r="O720" s="93">
        <f t="shared" ref="O720:O745" si="755">IF(ISBLANK(M720),0,ROUND(K720*M720,2))</f>
        <v>0</v>
      </c>
      <c r="P720" s="93">
        <f t="shared" ref="P720:P745" si="756">IF(ISBLANK(N720),0,ROUND(M720*N720,2))</f>
        <v>0</v>
      </c>
      <c r="Q720" s="94"/>
      <c r="R720" s="92">
        <f t="shared" ref="R720:R728" si="757">M720</f>
        <v>0</v>
      </c>
      <c r="S720" s="92">
        <f t="shared" ref="S720:S728" si="758">N720</f>
        <v>0</v>
      </c>
      <c r="T720" s="93">
        <f t="shared" ref="T720:T745" si="759">IF(ISBLANK(R720),0,ROUND(K720*R720,2))</f>
        <v>0</v>
      </c>
      <c r="U720" s="95">
        <f t="shared" ref="U720:U722" si="760">IF(ISBLANK(R720),0,ROUND(R720*S720,2))</f>
        <v>0</v>
      </c>
      <c r="V720" s="94"/>
      <c r="X720" s="580" t="str">
        <f t="shared" si="751"/>
        <v/>
      </c>
      <c r="Y720" s="580" t="str">
        <f t="shared" si="517"/>
        <v/>
      </c>
      <c r="Z720" s="580" t="str">
        <f t="shared" si="716"/>
        <v/>
      </c>
    </row>
    <row r="721" spans="1:26" hidden="1" x14ac:dyDescent="0.2">
      <c r="A721" s="97" t="s">
        <v>165</v>
      </c>
      <c r="B721" s="1031" t="s">
        <v>165</v>
      </c>
      <c r="C721" s="978"/>
      <c r="D721" s="631" t="s">
        <v>218</v>
      </c>
      <c r="E721" s="596"/>
      <c r="F721" s="671">
        <v>500</v>
      </c>
      <c r="G721" s="597">
        <v>1.7600000000000001E-2</v>
      </c>
      <c r="H721" s="682">
        <f>IF(F721&lt;=30,(0.51*F721+4.28)*G721,((0.51*30+4.28)+0.42*(F721-30))*G721)</f>
        <v>3.8188480000000005</v>
      </c>
      <c r="I721" s="592">
        <v>0</v>
      </c>
      <c r="J721" s="592"/>
      <c r="K721" s="617">
        <f t="shared" si="754"/>
        <v>0</v>
      </c>
      <c r="L721" s="670" t="s">
        <v>783</v>
      </c>
      <c r="M721" s="632"/>
      <c r="N721" s="633"/>
      <c r="O721" s="93">
        <f t="shared" si="755"/>
        <v>0</v>
      </c>
      <c r="P721" s="93">
        <f t="shared" si="756"/>
        <v>0</v>
      </c>
      <c r="Q721" s="94"/>
      <c r="R721" s="632">
        <f t="shared" si="757"/>
        <v>0</v>
      </c>
      <c r="S721" s="633">
        <f t="shared" si="758"/>
        <v>0</v>
      </c>
      <c r="T721" s="93">
        <f t="shared" si="759"/>
        <v>0</v>
      </c>
      <c r="U721" s="95">
        <f t="shared" si="760"/>
        <v>0</v>
      </c>
      <c r="V721" s="94"/>
      <c r="W721" s="579" t="str">
        <f>IF(U720&gt;0,"xx",IF(P720&gt;0,"xy",""))</f>
        <v/>
      </c>
      <c r="X721" s="580" t="str">
        <f t="shared" si="751"/>
        <v/>
      </c>
      <c r="Y721" s="580" t="str">
        <f t="shared" si="517"/>
        <v/>
      </c>
      <c r="Z721" s="580" t="str">
        <f t="shared" si="716"/>
        <v/>
      </c>
    </row>
    <row r="722" spans="1:26" hidden="1" x14ac:dyDescent="0.2">
      <c r="A722" s="97" t="s">
        <v>165</v>
      </c>
      <c r="B722" s="1031" t="s">
        <v>165</v>
      </c>
      <c r="C722" s="978"/>
      <c r="D722" s="631" t="s">
        <v>257</v>
      </c>
      <c r="E722" s="596"/>
      <c r="F722" s="671">
        <v>180</v>
      </c>
      <c r="G722" s="597">
        <v>7.3400000000000007E-2</v>
      </c>
      <c r="H722" s="682">
        <f>IF(F722=0,0,IF(F722&lt;=30,(0.7*F722+1.45)*G722,((0.7*30+1.45)+0.58*(F722-30))*G722))</f>
        <v>8.0336300000000005</v>
      </c>
      <c r="I722" s="592">
        <v>0</v>
      </c>
      <c r="J722" s="592"/>
      <c r="K722" s="617">
        <f t="shared" si="754"/>
        <v>0</v>
      </c>
      <c r="L722" s="670" t="s">
        <v>783</v>
      </c>
      <c r="M722" s="632"/>
      <c r="N722" s="633"/>
      <c r="O722" s="93">
        <f t="shared" si="755"/>
        <v>0</v>
      </c>
      <c r="P722" s="93">
        <f t="shared" si="756"/>
        <v>0</v>
      </c>
      <c r="Q722" s="94"/>
      <c r="R722" s="632">
        <f t="shared" si="757"/>
        <v>0</v>
      </c>
      <c r="S722" s="633">
        <f t="shared" si="758"/>
        <v>0</v>
      </c>
      <c r="T722" s="93">
        <f t="shared" si="759"/>
        <v>0</v>
      </c>
      <c r="U722" s="95">
        <f t="shared" si="760"/>
        <v>0</v>
      </c>
      <c r="V722" s="94"/>
      <c r="W722" s="579" t="str">
        <f>IF(U720&gt;0,"xx",IF(P720&gt;0,"xy",""))</f>
        <v/>
      </c>
      <c r="X722" s="580" t="str">
        <f t="shared" si="751"/>
        <v/>
      </c>
      <c r="Y722" s="580" t="str">
        <f t="shared" si="517"/>
        <v/>
      </c>
      <c r="Z722" s="580" t="str">
        <f t="shared" si="716"/>
        <v/>
      </c>
    </row>
    <row r="723" spans="1:26" hidden="1" x14ac:dyDescent="0.2">
      <c r="A723" s="97" t="s">
        <v>165</v>
      </c>
      <c r="B723" s="1031" t="s">
        <v>165</v>
      </c>
      <c r="C723" s="978"/>
      <c r="D723" s="631" t="s">
        <v>261</v>
      </c>
      <c r="E723" s="596"/>
      <c r="F723" s="671">
        <v>20</v>
      </c>
      <c r="G723" s="597">
        <v>0.1249</v>
      </c>
      <c r="H723" s="682">
        <f>IF(F723=0,0,IF(F723&lt;=30,(0.7*F723+1.45)*G723,((0.7*30+1.45)+0.58*(F723-30))*G723))</f>
        <v>1.9297049999999998</v>
      </c>
      <c r="I723" s="592">
        <v>0</v>
      </c>
      <c r="J723" s="592"/>
      <c r="K723" s="617">
        <f t="shared" si="754"/>
        <v>0</v>
      </c>
      <c r="L723" s="670" t="s">
        <v>783</v>
      </c>
      <c r="M723" s="632"/>
      <c r="N723" s="633"/>
      <c r="O723" s="93">
        <f t="shared" si="755"/>
        <v>0</v>
      </c>
      <c r="P723" s="93">
        <f t="shared" si="756"/>
        <v>0</v>
      </c>
      <c r="Q723" s="94"/>
      <c r="R723" s="632">
        <f t="shared" si="757"/>
        <v>0</v>
      </c>
      <c r="S723" s="633">
        <f t="shared" si="758"/>
        <v>0</v>
      </c>
      <c r="T723" s="93">
        <f t="shared" si="759"/>
        <v>0</v>
      </c>
      <c r="U723" s="95">
        <f t="shared" ref="U723:U728" si="761">IF(ISBLANK(R723),0,ROUND(R723*S723,2))</f>
        <v>0</v>
      </c>
      <c r="V723" s="94"/>
      <c r="W723" s="579" t="str">
        <f>IF(U720&gt;0,"xx",IF(P720&gt;0,"xy",""))</f>
        <v/>
      </c>
      <c r="X723" s="580" t="str">
        <f t="shared" si="751"/>
        <v/>
      </c>
      <c r="Y723" s="580" t="str">
        <f t="shared" si="517"/>
        <v/>
      </c>
      <c r="Z723" s="580" t="str">
        <f t="shared" si="716"/>
        <v/>
      </c>
    </row>
    <row r="724" spans="1:26" hidden="1" x14ac:dyDescent="0.2">
      <c r="A724" s="1008">
        <v>814000</v>
      </c>
      <c r="B724" s="1010">
        <v>814000</v>
      </c>
      <c r="C724" s="978" t="s">
        <v>212</v>
      </c>
      <c r="D724" s="595" t="s">
        <v>813</v>
      </c>
      <c r="E724" s="596"/>
      <c r="F724" s="671"/>
      <c r="G724" s="597"/>
      <c r="H724" s="682">
        <f>SUM(H725:H727)</f>
        <v>13.782183000000002</v>
      </c>
      <c r="I724" s="592">
        <v>95.5</v>
      </c>
      <c r="J724" s="592">
        <f t="shared" si="753"/>
        <v>109.282183</v>
      </c>
      <c r="K724" s="617">
        <f t="shared" si="754"/>
        <v>133.01</v>
      </c>
      <c r="L724" s="594" t="s">
        <v>19</v>
      </c>
      <c r="M724" s="92"/>
      <c r="N724" s="92"/>
      <c r="O724" s="93">
        <f t="shared" si="755"/>
        <v>0</v>
      </c>
      <c r="P724" s="93">
        <f t="shared" si="756"/>
        <v>0</v>
      </c>
      <c r="Q724" s="94"/>
      <c r="R724" s="92">
        <f t="shared" si="757"/>
        <v>0</v>
      </c>
      <c r="S724" s="92">
        <f t="shared" si="758"/>
        <v>0</v>
      </c>
      <c r="T724" s="93">
        <f t="shared" si="759"/>
        <v>0</v>
      </c>
      <c r="U724" s="95">
        <f t="shared" si="761"/>
        <v>0</v>
      </c>
      <c r="V724" s="94"/>
      <c r="X724" s="580" t="str">
        <f t="shared" si="751"/>
        <v/>
      </c>
      <c r="Y724" s="580" t="str">
        <f t="shared" si="517"/>
        <v/>
      </c>
      <c r="Z724" s="580" t="str">
        <f t="shared" si="716"/>
        <v/>
      </c>
    </row>
    <row r="725" spans="1:26" hidden="1" x14ac:dyDescent="0.2">
      <c r="A725" s="97" t="s">
        <v>165</v>
      </c>
      <c r="B725" s="1031" t="s">
        <v>165</v>
      </c>
      <c r="C725" s="978"/>
      <c r="D725" s="631" t="s">
        <v>218</v>
      </c>
      <c r="E725" s="596"/>
      <c r="F725" s="671">
        <v>500</v>
      </c>
      <c r="G725" s="597">
        <v>1.7600000000000001E-2</v>
      </c>
      <c r="H725" s="682">
        <f>IF(F725&lt;=30,(0.51*F725+4.28)*G725,((0.51*30+4.28)+0.42*(F725-30))*G725)</f>
        <v>3.8188480000000005</v>
      </c>
      <c r="I725" s="592">
        <v>0</v>
      </c>
      <c r="J725" s="592"/>
      <c r="K725" s="617">
        <f t="shared" si="754"/>
        <v>0</v>
      </c>
      <c r="L725" s="670" t="s">
        <v>783</v>
      </c>
      <c r="M725" s="632"/>
      <c r="N725" s="633"/>
      <c r="O725" s="93">
        <f t="shared" si="755"/>
        <v>0</v>
      </c>
      <c r="P725" s="93">
        <f t="shared" si="756"/>
        <v>0</v>
      </c>
      <c r="Q725" s="94"/>
      <c r="R725" s="632">
        <f t="shared" si="757"/>
        <v>0</v>
      </c>
      <c r="S725" s="633">
        <f t="shared" si="758"/>
        <v>0</v>
      </c>
      <c r="T725" s="93">
        <f t="shared" si="759"/>
        <v>0</v>
      </c>
      <c r="U725" s="95">
        <f t="shared" si="761"/>
        <v>0</v>
      </c>
      <c r="V725" s="94"/>
      <c r="W725" s="579" t="str">
        <f>IF(U724&gt;0,"xx",IF(P724&gt;0,"xy",""))</f>
        <v/>
      </c>
      <c r="X725" s="580" t="str">
        <f t="shared" si="751"/>
        <v/>
      </c>
      <c r="Y725" s="580" t="str">
        <f t="shared" si="517"/>
        <v/>
      </c>
      <c r="Z725" s="580" t="str">
        <f t="shared" si="716"/>
        <v/>
      </c>
    </row>
    <row r="726" spans="1:26" hidden="1" x14ac:dyDescent="0.2">
      <c r="A726" s="97" t="s">
        <v>165</v>
      </c>
      <c r="B726" s="1031" t="s">
        <v>165</v>
      </c>
      <c r="C726" s="978"/>
      <c r="D726" s="631" t="s">
        <v>257</v>
      </c>
      <c r="E726" s="596"/>
      <c r="F726" s="671">
        <v>180</v>
      </c>
      <c r="G726" s="597">
        <v>7.3400000000000007E-2</v>
      </c>
      <c r="H726" s="682">
        <f>IF(F726=0,0,IF(F726&lt;=30,(0.7*F726+1.45)*G726,((0.7*30+1.45)+0.58*(F726-30))*G726))</f>
        <v>8.0336300000000005</v>
      </c>
      <c r="I726" s="592">
        <v>0</v>
      </c>
      <c r="J726" s="592"/>
      <c r="K726" s="617">
        <f t="shared" si="754"/>
        <v>0</v>
      </c>
      <c r="L726" s="670" t="s">
        <v>783</v>
      </c>
      <c r="M726" s="632"/>
      <c r="N726" s="633"/>
      <c r="O726" s="93">
        <f t="shared" si="755"/>
        <v>0</v>
      </c>
      <c r="P726" s="93">
        <f t="shared" si="756"/>
        <v>0</v>
      </c>
      <c r="Q726" s="94"/>
      <c r="R726" s="632">
        <f t="shared" si="757"/>
        <v>0</v>
      </c>
      <c r="S726" s="633">
        <f t="shared" si="758"/>
        <v>0</v>
      </c>
      <c r="T726" s="93">
        <f t="shared" si="759"/>
        <v>0</v>
      </c>
      <c r="U726" s="95">
        <f t="shared" si="761"/>
        <v>0</v>
      </c>
      <c r="V726" s="94"/>
      <c r="W726" s="579" t="str">
        <f>IF(U724&gt;0,"xx",IF(P724&gt;0,"xy",""))</f>
        <v/>
      </c>
      <c r="X726" s="580" t="str">
        <f t="shared" si="751"/>
        <v/>
      </c>
      <c r="Y726" s="580" t="str">
        <f t="shared" si="517"/>
        <v/>
      </c>
      <c r="Z726" s="580" t="str">
        <f t="shared" si="716"/>
        <v/>
      </c>
    </row>
    <row r="727" spans="1:26" hidden="1" x14ac:dyDescent="0.2">
      <c r="A727" s="97" t="s">
        <v>165</v>
      </c>
      <c r="B727" s="1031" t="s">
        <v>165</v>
      </c>
      <c r="C727" s="978"/>
      <c r="D727" s="631" t="s">
        <v>261</v>
      </c>
      <c r="E727" s="596"/>
      <c r="F727" s="671">
        <v>20</v>
      </c>
      <c r="G727" s="597">
        <v>0.1249</v>
      </c>
      <c r="H727" s="682">
        <f>IF(F727=0,0,IF(F727&lt;=30,(0.7*F727+1.45)*G727,((0.7*30+1.45)+0.58*(F727-30))*G727))</f>
        <v>1.9297049999999998</v>
      </c>
      <c r="I727" s="592">
        <v>0</v>
      </c>
      <c r="J727" s="592"/>
      <c r="K727" s="617">
        <f t="shared" si="754"/>
        <v>0</v>
      </c>
      <c r="L727" s="670" t="s">
        <v>783</v>
      </c>
      <c r="M727" s="632"/>
      <c r="N727" s="633"/>
      <c r="O727" s="93">
        <f t="shared" si="755"/>
        <v>0</v>
      </c>
      <c r="P727" s="93">
        <f t="shared" si="756"/>
        <v>0</v>
      </c>
      <c r="Q727" s="94"/>
      <c r="R727" s="632">
        <f t="shared" si="757"/>
        <v>0</v>
      </c>
      <c r="S727" s="633">
        <f t="shared" si="758"/>
        <v>0</v>
      </c>
      <c r="T727" s="93">
        <f t="shared" si="759"/>
        <v>0</v>
      </c>
      <c r="U727" s="95">
        <f t="shared" si="761"/>
        <v>0</v>
      </c>
      <c r="V727" s="94"/>
      <c r="W727" s="579" t="str">
        <f>IF(U724&gt;0,"xx",IF(P724&gt;0,"xy",""))</f>
        <v/>
      </c>
      <c r="X727" s="580" t="str">
        <f t="shared" si="751"/>
        <v/>
      </c>
      <c r="Y727" s="580" t="str">
        <f t="shared" si="517"/>
        <v/>
      </c>
      <c r="Z727" s="580" t="str">
        <f t="shared" si="716"/>
        <v/>
      </c>
    </row>
    <row r="728" spans="1:26" hidden="1" x14ac:dyDescent="0.2">
      <c r="A728" s="1008">
        <v>823000</v>
      </c>
      <c r="B728" s="1010" t="s">
        <v>2156</v>
      </c>
      <c r="C728" s="978" t="s">
        <v>212</v>
      </c>
      <c r="D728" s="595" t="s">
        <v>297</v>
      </c>
      <c r="E728" s="596"/>
      <c r="F728" s="671">
        <v>0</v>
      </c>
      <c r="G728" s="597"/>
      <c r="H728" s="682">
        <v>0</v>
      </c>
      <c r="I728" s="592">
        <v>322.98</v>
      </c>
      <c r="J728" s="592">
        <f t="shared" si="753"/>
        <v>322.98</v>
      </c>
      <c r="K728" s="617">
        <f t="shared" ref="K728:K745" si="762">IF(ISBLANK(I728),0,ROUND(J728*(1+$F$10)*(1+$F$11*E728),2))</f>
        <v>393.1</v>
      </c>
      <c r="L728" s="594" t="s">
        <v>19</v>
      </c>
      <c r="M728" s="92"/>
      <c r="N728" s="92"/>
      <c r="O728" s="93">
        <f t="shared" si="755"/>
        <v>0</v>
      </c>
      <c r="P728" s="93">
        <f t="shared" si="756"/>
        <v>0</v>
      </c>
      <c r="Q728" s="94"/>
      <c r="R728" s="92">
        <f t="shared" si="757"/>
        <v>0</v>
      </c>
      <c r="S728" s="92">
        <f t="shared" si="758"/>
        <v>0</v>
      </c>
      <c r="T728" s="93">
        <f t="shared" si="759"/>
        <v>0</v>
      </c>
      <c r="U728" s="95">
        <f t="shared" si="761"/>
        <v>0</v>
      </c>
      <c r="V728" s="94"/>
      <c r="X728" s="580" t="str">
        <f t="shared" si="751"/>
        <v/>
      </c>
      <c r="Y728" s="580" t="str">
        <f t="shared" si="517"/>
        <v/>
      </c>
      <c r="Z728" s="580" t="str">
        <f t="shared" si="716"/>
        <v/>
      </c>
    </row>
    <row r="729" spans="1:26" hidden="1" x14ac:dyDescent="0.2">
      <c r="A729" s="1008">
        <v>871000</v>
      </c>
      <c r="B729" s="1010">
        <v>871000</v>
      </c>
      <c r="C729" s="978" t="s">
        <v>212</v>
      </c>
      <c r="D729" s="595" t="s">
        <v>536</v>
      </c>
      <c r="E729" s="596"/>
      <c r="F729" s="671"/>
      <c r="G729" s="597"/>
      <c r="H729" s="682"/>
      <c r="I729" s="592">
        <v>22.43</v>
      </c>
      <c r="J729" s="592">
        <f>IF(ISBLANK(I729),"",SUM(H729:I729))</f>
        <v>22.43</v>
      </c>
      <c r="K729" s="617">
        <f t="shared" si="762"/>
        <v>27.3</v>
      </c>
      <c r="L729" s="594" t="s">
        <v>21</v>
      </c>
      <c r="M729" s="92"/>
      <c r="N729" s="92"/>
      <c r="O729" s="93">
        <f t="shared" si="755"/>
        <v>0</v>
      </c>
      <c r="P729" s="93">
        <f t="shared" si="756"/>
        <v>0</v>
      </c>
      <c r="Q729" s="94"/>
      <c r="R729" s="92">
        <f t="shared" ref="R729:R736" si="763">M729</f>
        <v>0</v>
      </c>
      <c r="S729" s="92">
        <f t="shared" ref="S729:S735" si="764">N729</f>
        <v>0</v>
      </c>
      <c r="T729" s="93">
        <f t="shared" si="759"/>
        <v>0</v>
      </c>
      <c r="U729" s="95">
        <f t="shared" ref="U729:U736" si="765">IF(ISBLANK(R729),0,ROUND(R729*S729,2))</f>
        <v>0</v>
      </c>
      <c r="V729" s="94"/>
      <c r="X729" s="580" t="str">
        <f t="shared" si="751"/>
        <v/>
      </c>
      <c r="Y729" s="580" t="str">
        <f t="shared" si="517"/>
        <v/>
      </c>
      <c r="Z729" s="580" t="str">
        <f t="shared" si="716"/>
        <v/>
      </c>
    </row>
    <row r="730" spans="1:26" hidden="1" x14ac:dyDescent="0.2">
      <c r="A730" s="1008">
        <v>870000</v>
      </c>
      <c r="B730" s="1010">
        <v>870000</v>
      </c>
      <c r="C730" s="978" t="s">
        <v>212</v>
      </c>
      <c r="D730" s="595" t="s">
        <v>537</v>
      </c>
      <c r="E730" s="596"/>
      <c r="F730" s="671"/>
      <c r="G730" s="597"/>
      <c r="H730" s="682"/>
      <c r="I730" s="592">
        <v>21.41</v>
      </c>
      <c r="J730" s="592">
        <f t="shared" ref="J730:J733" si="766">IF(ISBLANK(I730),"",SUM(H730:I730))</f>
        <v>21.41</v>
      </c>
      <c r="K730" s="617">
        <f t="shared" si="762"/>
        <v>26.06</v>
      </c>
      <c r="L730" s="594" t="s">
        <v>21</v>
      </c>
      <c r="M730" s="92"/>
      <c r="N730" s="92"/>
      <c r="O730" s="93">
        <f t="shared" ref="O730:O733" si="767">IF(ISBLANK(M730),0,ROUND(K730*M730,2))</f>
        <v>0</v>
      </c>
      <c r="P730" s="93">
        <f t="shared" ref="P730:P733" si="768">IF(ISBLANK(N730),0,ROUND(M730*N730,2))</f>
        <v>0</v>
      </c>
      <c r="Q730" s="94"/>
      <c r="R730" s="92">
        <f t="shared" ref="R730:R733" si="769">M730</f>
        <v>0</v>
      </c>
      <c r="S730" s="92">
        <f t="shared" ref="S730:S732" si="770">N730</f>
        <v>0</v>
      </c>
      <c r="T730" s="93">
        <f t="shared" ref="T730:T733" si="771">IF(ISBLANK(R730),0,ROUND(K730*R730,2))</f>
        <v>0</v>
      </c>
      <c r="U730" s="95">
        <f t="shared" ref="U730:U733" si="772">IF(ISBLANK(R730),0,ROUND(R730*S730,2))</f>
        <v>0</v>
      </c>
      <c r="V730" s="94"/>
      <c r="X730" s="580" t="str">
        <f t="shared" si="751"/>
        <v/>
      </c>
      <c r="Y730" s="580" t="str">
        <f t="shared" si="517"/>
        <v/>
      </c>
      <c r="Z730" s="580" t="str">
        <f t="shared" si="716"/>
        <v/>
      </c>
    </row>
    <row r="731" spans="1:26" x14ac:dyDescent="0.2">
      <c r="A731" s="1008">
        <v>873000</v>
      </c>
      <c r="B731" s="1107">
        <v>873000</v>
      </c>
      <c r="C731" s="1108" t="s">
        <v>212</v>
      </c>
      <c r="D731" s="1109" t="s">
        <v>538</v>
      </c>
      <c r="E731" s="1110"/>
      <c r="F731" s="671"/>
      <c r="G731" s="597"/>
      <c r="H731" s="682"/>
      <c r="I731" s="592">
        <v>33.549999999999997</v>
      </c>
      <c r="J731" s="592">
        <f t="shared" si="766"/>
        <v>33.549999999999997</v>
      </c>
      <c r="K731" s="617">
        <f t="shared" si="762"/>
        <v>40.83</v>
      </c>
      <c r="L731" s="594" t="s">
        <v>21</v>
      </c>
      <c r="M731" s="92">
        <v>469</v>
      </c>
      <c r="N731" s="92">
        <v>41.54</v>
      </c>
      <c r="O731" s="93">
        <f t="shared" si="767"/>
        <v>19149.27</v>
      </c>
      <c r="P731" s="93">
        <f t="shared" si="768"/>
        <v>19482.259999999998</v>
      </c>
      <c r="Q731" s="94"/>
      <c r="R731" s="1111">
        <f t="shared" si="769"/>
        <v>469</v>
      </c>
      <c r="S731" s="1111">
        <f>K731</f>
        <v>40.83</v>
      </c>
      <c r="T731" s="1112">
        <f t="shared" si="771"/>
        <v>19149.27</v>
      </c>
      <c r="U731" s="1113">
        <f t="shared" si="772"/>
        <v>19149.27</v>
      </c>
      <c r="V731" s="1114"/>
      <c r="X731" s="580" t="str">
        <f t="shared" si="751"/>
        <v>x</v>
      </c>
      <c r="Y731" s="580" t="str">
        <f t="shared" si="517"/>
        <v>x</v>
      </c>
      <c r="Z731" s="580" t="str">
        <f t="shared" si="716"/>
        <v>x</v>
      </c>
    </row>
    <row r="732" spans="1:26" hidden="1" x14ac:dyDescent="0.2">
      <c r="A732" s="1008">
        <v>872000</v>
      </c>
      <c r="B732" s="1010">
        <v>872000</v>
      </c>
      <c r="C732" s="978" t="s">
        <v>212</v>
      </c>
      <c r="D732" s="595" t="s">
        <v>539</v>
      </c>
      <c r="E732" s="596"/>
      <c r="F732" s="671"/>
      <c r="G732" s="597"/>
      <c r="H732" s="682"/>
      <c r="I732" s="592">
        <v>32.43</v>
      </c>
      <c r="J732" s="592">
        <f t="shared" si="766"/>
        <v>32.43</v>
      </c>
      <c r="K732" s="617">
        <f t="shared" si="762"/>
        <v>39.47</v>
      </c>
      <c r="L732" s="594" t="s">
        <v>21</v>
      </c>
      <c r="M732" s="92"/>
      <c r="N732" s="92"/>
      <c r="O732" s="93">
        <f t="shared" si="767"/>
        <v>0</v>
      </c>
      <c r="P732" s="93">
        <f t="shared" si="768"/>
        <v>0</v>
      </c>
      <c r="Q732" s="94"/>
      <c r="R732" s="92">
        <f t="shared" si="769"/>
        <v>0</v>
      </c>
      <c r="S732" s="92">
        <f t="shared" si="770"/>
        <v>0</v>
      </c>
      <c r="T732" s="93">
        <f t="shared" si="771"/>
        <v>0</v>
      </c>
      <c r="U732" s="95">
        <f t="shared" si="772"/>
        <v>0</v>
      </c>
      <c r="V732" s="94"/>
      <c r="X732" s="580" t="str">
        <f t="shared" si="751"/>
        <v/>
      </c>
      <c r="Y732" s="580" t="str">
        <f t="shared" si="517"/>
        <v/>
      </c>
      <c r="Z732" s="580" t="str">
        <f t="shared" si="716"/>
        <v/>
      </c>
    </row>
    <row r="733" spans="1:26" x14ac:dyDescent="0.2">
      <c r="A733" s="1008">
        <v>822000</v>
      </c>
      <c r="B733" s="1107">
        <v>822000</v>
      </c>
      <c r="C733" s="1108" t="s">
        <v>212</v>
      </c>
      <c r="D733" s="1109" t="s">
        <v>535</v>
      </c>
      <c r="E733" s="1110"/>
      <c r="F733" s="671"/>
      <c r="G733" s="597"/>
      <c r="H733" s="682"/>
      <c r="I733" s="592">
        <v>23.700000000000003</v>
      </c>
      <c r="J733" s="592">
        <f t="shared" si="766"/>
        <v>23.700000000000003</v>
      </c>
      <c r="K733" s="617">
        <f t="shared" si="762"/>
        <v>28.85</v>
      </c>
      <c r="L733" s="594" t="s">
        <v>18</v>
      </c>
      <c r="M733" s="92">
        <v>782.37</v>
      </c>
      <c r="N733" s="92">
        <v>29.35</v>
      </c>
      <c r="O733" s="93">
        <f t="shared" si="767"/>
        <v>22571.37</v>
      </c>
      <c r="P733" s="93">
        <f t="shared" si="768"/>
        <v>22962.560000000001</v>
      </c>
      <c r="Q733" s="94"/>
      <c r="R733" s="1111">
        <f t="shared" si="769"/>
        <v>782.37</v>
      </c>
      <c r="S733" s="1111">
        <f>K733</f>
        <v>28.85</v>
      </c>
      <c r="T733" s="1112">
        <f t="shared" si="771"/>
        <v>22571.37</v>
      </c>
      <c r="U733" s="1113">
        <f t="shared" si="772"/>
        <v>22571.37</v>
      </c>
      <c r="V733" s="1114"/>
      <c r="X733" s="580" t="str">
        <f t="shared" si="751"/>
        <v>x</v>
      </c>
      <c r="Y733" s="580" t="str">
        <f t="shared" si="517"/>
        <v>x</v>
      </c>
      <c r="Z733" s="580" t="str">
        <f t="shared" si="716"/>
        <v>x</v>
      </c>
    </row>
    <row r="734" spans="1:26" x14ac:dyDescent="0.2">
      <c r="A734" s="1008">
        <v>820000</v>
      </c>
      <c r="B734" s="1107" t="s">
        <v>332</v>
      </c>
      <c r="C734" s="1108" t="s">
        <v>212</v>
      </c>
      <c r="D734" s="1109" t="s">
        <v>316</v>
      </c>
      <c r="E734" s="1110"/>
      <c r="F734" s="671"/>
      <c r="G734" s="597"/>
      <c r="H734" s="682"/>
      <c r="I734" s="592">
        <v>530.62</v>
      </c>
      <c r="J734" s="592">
        <f>IF(ISBLANK(I734),"",SUM(H734:I734))</f>
        <v>530.62</v>
      </c>
      <c r="K734" s="617">
        <f t="shared" si="762"/>
        <v>645.82000000000005</v>
      </c>
      <c r="L734" s="594" t="s">
        <v>18</v>
      </c>
      <c r="M734" s="92">
        <v>3</v>
      </c>
      <c r="N734" s="92">
        <v>657.07</v>
      </c>
      <c r="O734" s="93">
        <f t="shared" si="755"/>
        <v>1937.46</v>
      </c>
      <c r="P734" s="93">
        <f t="shared" si="756"/>
        <v>1971.21</v>
      </c>
      <c r="Q734" s="94"/>
      <c r="R734" s="1111">
        <f t="shared" si="763"/>
        <v>3</v>
      </c>
      <c r="S734" s="1111">
        <f>K734</f>
        <v>645.82000000000005</v>
      </c>
      <c r="T734" s="1112">
        <f t="shared" si="759"/>
        <v>1937.46</v>
      </c>
      <c r="U734" s="1113">
        <f t="shared" si="765"/>
        <v>1937.46</v>
      </c>
      <c r="V734" s="1114"/>
      <c r="X734" s="580" t="str">
        <f t="shared" si="751"/>
        <v>x</v>
      </c>
      <c r="Y734" s="580" t="str">
        <f t="shared" si="517"/>
        <v>x</v>
      </c>
      <c r="Z734" s="580" t="str">
        <f t="shared" si="716"/>
        <v>x</v>
      </c>
    </row>
    <row r="735" spans="1:26" hidden="1" x14ac:dyDescent="0.2">
      <c r="A735" s="1008">
        <v>821000</v>
      </c>
      <c r="B735" s="1010">
        <v>821000</v>
      </c>
      <c r="C735" s="978" t="s">
        <v>212</v>
      </c>
      <c r="D735" s="595" t="s">
        <v>317</v>
      </c>
      <c r="E735" s="596"/>
      <c r="F735" s="671"/>
      <c r="G735" s="597"/>
      <c r="H735" s="682"/>
      <c r="I735" s="592">
        <v>132.99</v>
      </c>
      <c r="J735" s="592">
        <f>IF(ISBLANK(I735),"",SUM(H735:I735))</f>
        <v>132.99</v>
      </c>
      <c r="K735" s="617">
        <f t="shared" si="762"/>
        <v>161.86000000000001</v>
      </c>
      <c r="L735" s="594" t="s">
        <v>21</v>
      </c>
      <c r="M735" s="92"/>
      <c r="N735" s="92"/>
      <c r="O735" s="93">
        <f t="shared" si="755"/>
        <v>0</v>
      </c>
      <c r="P735" s="93">
        <f t="shared" si="756"/>
        <v>0</v>
      </c>
      <c r="Q735" s="94"/>
      <c r="R735" s="92">
        <f t="shared" si="763"/>
        <v>0</v>
      </c>
      <c r="S735" s="92">
        <f t="shared" si="764"/>
        <v>0</v>
      </c>
      <c r="T735" s="93">
        <f t="shared" si="759"/>
        <v>0</v>
      </c>
      <c r="U735" s="95">
        <f t="shared" si="765"/>
        <v>0</v>
      </c>
      <c r="V735" s="94"/>
      <c r="X735" s="580" t="str">
        <f t="shared" si="751"/>
        <v/>
      </c>
      <c r="Y735" s="580" t="str">
        <f t="shared" si="517"/>
        <v/>
      </c>
      <c r="Z735" s="580" t="str">
        <f t="shared" si="716"/>
        <v/>
      </c>
    </row>
    <row r="736" spans="1:26" x14ac:dyDescent="0.2">
      <c r="A736" s="1008">
        <v>821300</v>
      </c>
      <c r="B736" s="1107">
        <v>821300</v>
      </c>
      <c r="C736" s="1108" t="s">
        <v>212</v>
      </c>
      <c r="D736" s="1109" t="s">
        <v>318</v>
      </c>
      <c r="E736" s="1110"/>
      <c r="F736" s="671"/>
      <c r="G736" s="597"/>
      <c r="H736" s="682"/>
      <c r="I736" s="592">
        <v>320.70000000000005</v>
      </c>
      <c r="J736" s="592">
        <f t="shared" ref="J736" si="773">IF(ISBLANK(I736),"",SUM(H736:I736))</f>
        <v>320.70000000000005</v>
      </c>
      <c r="K736" s="617">
        <f t="shared" si="762"/>
        <v>390.32</v>
      </c>
      <c r="L736" s="594" t="s">
        <v>21</v>
      </c>
      <c r="M736" s="92">
        <v>8</v>
      </c>
      <c r="N736" s="92">
        <v>397.12</v>
      </c>
      <c r="O736" s="93">
        <f t="shared" si="755"/>
        <v>3122.56</v>
      </c>
      <c r="P736" s="93">
        <f t="shared" si="756"/>
        <v>3176.96</v>
      </c>
      <c r="Q736" s="94"/>
      <c r="R736" s="1111">
        <f t="shared" si="763"/>
        <v>8</v>
      </c>
      <c r="S736" s="1111">
        <f>K736</f>
        <v>390.32</v>
      </c>
      <c r="T736" s="1112">
        <f t="shared" si="759"/>
        <v>3122.56</v>
      </c>
      <c r="U736" s="1113">
        <f t="shared" si="765"/>
        <v>3122.56</v>
      </c>
      <c r="V736" s="1114"/>
      <c r="X736" s="580" t="str">
        <f t="shared" si="751"/>
        <v>x</v>
      </c>
      <c r="Y736" s="580" t="str">
        <f t="shared" si="517"/>
        <v>x</v>
      </c>
      <c r="Z736" s="580" t="str">
        <f t="shared" si="716"/>
        <v>x</v>
      </c>
    </row>
    <row r="737" spans="1:26" hidden="1" x14ac:dyDescent="0.2">
      <c r="A737" s="1008">
        <v>820000</v>
      </c>
      <c r="B737" s="1010" t="s">
        <v>333</v>
      </c>
      <c r="C737" s="978" t="s">
        <v>212</v>
      </c>
      <c r="D737" s="595" t="s">
        <v>319</v>
      </c>
      <c r="E737" s="596"/>
      <c r="F737" s="671"/>
      <c r="G737" s="597"/>
      <c r="H737" s="682"/>
      <c r="I737" s="923">
        <v>237.20376800000003</v>
      </c>
      <c r="J737" s="592">
        <f>IF(ISBLANK(I737),"",SUM(H737:I737))*0.85</f>
        <v>201.62320280000003</v>
      </c>
      <c r="K737" s="617">
        <f t="shared" si="762"/>
        <v>245.4</v>
      </c>
      <c r="L737" s="594" t="s">
        <v>21</v>
      </c>
      <c r="M737" s="92"/>
      <c r="N737" s="92"/>
      <c r="O737" s="93">
        <f t="shared" si="755"/>
        <v>0</v>
      </c>
      <c r="P737" s="93">
        <f t="shared" si="756"/>
        <v>0</v>
      </c>
      <c r="Q737" s="94"/>
      <c r="R737" s="92">
        <f t="shared" ref="R737:R745" si="774">M737</f>
        <v>0</v>
      </c>
      <c r="S737" s="92">
        <f t="shared" ref="S737:S745" si="775">N737</f>
        <v>0</v>
      </c>
      <c r="T737" s="93">
        <f t="shared" si="759"/>
        <v>0</v>
      </c>
      <c r="U737" s="95">
        <f t="shared" ref="U737:U745" si="776">IF(ISBLANK(R737),0,ROUND(R737*S737,2))</f>
        <v>0</v>
      </c>
      <c r="V737" s="94"/>
      <c r="X737" s="580" t="str">
        <f t="shared" si="751"/>
        <v/>
      </c>
      <c r="Y737" s="580" t="str">
        <f t="shared" si="517"/>
        <v/>
      </c>
      <c r="Z737" s="580" t="str">
        <f t="shared" si="716"/>
        <v/>
      </c>
    </row>
    <row r="738" spans="1:26" hidden="1" x14ac:dyDescent="0.2">
      <c r="A738" s="1008">
        <v>820000</v>
      </c>
      <c r="B738" s="1010" t="s">
        <v>334</v>
      </c>
      <c r="C738" s="978" t="s">
        <v>212</v>
      </c>
      <c r="D738" s="595" t="s">
        <v>320</v>
      </c>
      <c r="E738" s="596"/>
      <c r="F738" s="671"/>
      <c r="G738" s="597"/>
      <c r="H738" s="682"/>
      <c r="I738" s="923">
        <v>197.67257799999999</v>
      </c>
      <c r="J738" s="592">
        <f>IF(ISBLANK(I738),"",SUM(H738:I738))*0.85</f>
        <v>168.02169129999999</v>
      </c>
      <c r="K738" s="617">
        <f t="shared" si="762"/>
        <v>204.5</v>
      </c>
      <c r="L738" s="594" t="s">
        <v>21</v>
      </c>
      <c r="M738" s="92"/>
      <c r="N738" s="92"/>
      <c r="O738" s="93">
        <f t="shared" si="755"/>
        <v>0</v>
      </c>
      <c r="P738" s="93">
        <f t="shared" si="756"/>
        <v>0</v>
      </c>
      <c r="Q738" s="94"/>
      <c r="R738" s="92">
        <f t="shared" si="774"/>
        <v>0</v>
      </c>
      <c r="S738" s="92">
        <f t="shared" si="775"/>
        <v>0</v>
      </c>
      <c r="T738" s="93">
        <f t="shared" si="759"/>
        <v>0</v>
      </c>
      <c r="U738" s="95">
        <f t="shared" si="776"/>
        <v>0</v>
      </c>
      <c r="V738" s="94"/>
      <c r="X738" s="580" t="str">
        <f t="shared" si="751"/>
        <v/>
      </c>
      <c r="Y738" s="580" t="str">
        <f t="shared" si="517"/>
        <v/>
      </c>
      <c r="Z738" s="580" t="str">
        <f t="shared" si="716"/>
        <v/>
      </c>
    </row>
    <row r="739" spans="1:26" hidden="1" x14ac:dyDescent="0.2">
      <c r="A739" s="1008">
        <v>820000</v>
      </c>
      <c r="B739" s="1010" t="s">
        <v>335</v>
      </c>
      <c r="C739" s="978" t="s">
        <v>212</v>
      </c>
      <c r="D739" s="595" t="s">
        <v>321</v>
      </c>
      <c r="E739" s="596"/>
      <c r="F739" s="671"/>
      <c r="G739" s="597"/>
      <c r="H739" s="682"/>
      <c r="I739" s="923">
        <v>247.60392000000002</v>
      </c>
      <c r="J739" s="592">
        <f>IF(ISBLANK(I739),"",SUM(H739:I739))*0.85</f>
        <v>210.46333200000001</v>
      </c>
      <c r="K739" s="617">
        <f t="shared" si="762"/>
        <v>256.14999999999998</v>
      </c>
      <c r="L739" s="594" t="s">
        <v>21</v>
      </c>
      <c r="M739" s="92"/>
      <c r="N739" s="92"/>
      <c r="O739" s="93">
        <f t="shared" si="755"/>
        <v>0</v>
      </c>
      <c r="P739" s="93">
        <f t="shared" si="756"/>
        <v>0</v>
      </c>
      <c r="Q739" s="94"/>
      <c r="R739" s="92">
        <f t="shared" si="774"/>
        <v>0</v>
      </c>
      <c r="S739" s="92">
        <f t="shared" si="775"/>
        <v>0</v>
      </c>
      <c r="T739" s="93">
        <f t="shared" si="759"/>
        <v>0</v>
      </c>
      <c r="U739" s="95">
        <f t="shared" si="776"/>
        <v>0</v>
      </c>
      <c r="V739" s="94"/>
      <c r="X739" s="580" t="str">
        <f t="shared" si="751"/>
        <v/>
      </c>
      <c r="Y739" s="580" t="str">
        <f t="shared" si="517"/>
        <v/>
      </c>
      <c r="Z739" s="580" t="str">
        <f t="shared" si="716"/>
        <v/>
      </c>
    </row>
    <row r="740" spans="1:26" hidden="1" x14ac:dyDescent="0.2">
      <c r="A740" s="1008">
        <v>820000</v>
      </c>
      <c r="B740" s="1010" t="s">
        <v>336</v>
      </c>
      <c r="C740" s="978" t="s">
        <v>212</v>
      </c>
      <c r="D740" s="595" t="s">
        <v>322</v>
      </c>
      <c r="E740" s="596"/>
      <c r="F740" s="671"/>
      <c r="G740" s="597"/>
      <c r="H740" s="682"/>
      <c r="I740" s="923">
        <v>240.44055000000003</v>
      </c>
      <c r="J740" s="592">
        <f>IF(ISBLANK(I740),"",SUM(H740:I740))*0.85</f>
        <v>204.37446750000001</v>
      </c>
      <c r="K740" s="617">
        <f t="shared" si="762"/>
        <v>248.74</v>
      </c>
      <c r="L740" s="594" t="s">
        <v>21</v>
      </c>
      <c r="M740" s="92"/>
      <c r="N740" s="92"/>
      <c r="O740" s="93">
        <f t="shared" si="755"/>
        <v>0</v>
      </c>
      <c r="P740" s="93">
        <f t="shared" si="756"/>
        <v>0</v>
      </c>
      <c r="Q740" s="94"/>
      <c r="R740" s="92">
        <f t="shared" si="774"/>
        <v>0</v>
      </c>
      <c r="S740" s="92">
        <f t="shared" si="775"/>
        <v>0</v>
      </c>
      <c r="T740" s="93">
        <f t="shared" si="759"/>
        <v>0</v>
      </c>
      <c r="U740" s="95">
        <f t="shared" si="776"/>
        <v>0</v>
      </c>
      <c r="V740" s="94"/>
      <c r="X740" s="580" t="str">
        <f t="shared" si="751"/>
        <v/>
      </c>
      <c r="Y740" s="580" t="str">
        <f t="shared" si="517"/>
        <v/>
      </c>
      <c r="Z740" s="580" t="str">
        <f t="shared" si="716"/>
        <v/>
      </c>
    </row>
    <row r="741" spans="1:26" x14ac:dyDescent="0.2">
      <c r="A741" s="1008">
        <v>820000</v>
      </c>
      <c r="B741" s="1107" t="s">
        <v>337</v>
      </c>
      <c r="C741" s="1108" t="s">
        <v>212</v>
      </c>
      <c r="D741" s="1109" t="s">
        <v>323</v>
      </c>
      <c r="E741" s="1110"/>
      <c r="F741" s="671"/>
      <c r="G741" s="597"/>
      <c r="H741" s="682"/>
      <c r="I741" s="923">
        <v>424.91376800000006</v>
      </c>
      <c r="J741" s="592">
        <f t="shared" ref="J741:J744" si="777">IF(ISBLANK(I741),"",SUM(H741:I741))</f>
        <v>424.91376800000006</v>
      </c>
      <c r="K741" s="617">
        <f t="shared" si="762"/>
        <v>517.16</v>
      </c>
      <c r="L741" s="594" t="s">
        <v>21</v>
      </c>
      <c r="M741" s="92">
        <v>13</v>
      </c>
      <c r="N741" s="92">
        <v>526.16999999999996</v>
      </c>
      <c r="O741" s="93">
        <f t="shared" si="755"/>
        <v>6723.08</v>
      </c>
      <c r="P741" s="93">
        <f t="shared" si="756"/>
        <v>6840.21</v>
      </c>
      <c r="Q741" s="94"/>
      <c r="R741" s="1111">
        <f t="shared" si="774"/>
        <v>13</v>
      </c>
      <c r="S741" s="1111">
        <f>K741</f>
        <v>517.16</v>
      </c>
      <c r="T741" s="1112">
        <f t="shared" si="759"/>
        <v>6723.08</v>
      </c>
      <c r="U741" s="1113">
        <f t="shared" si="776"/>
        <v>6723.08</v>
      </c>
      <c r="V741" s="1114"/>
      <c r="X741" s="580" t="str">
        <f t="shared" si="751"/>
        <v>x</v>
      </c>
      <c r="Y741" s="580" t="str">
        <f t="shared" si="517"/>
        <v>x</v>
      </c>
      <c r="Z741" s="580" t="str">
        <f t="shared" si="716"/>
        <v>x</v>
      </c>
    </row>
    <row r="742" spans="1:26" hidden="1" x14ac:dyDescent="0.2">
      <c r="A742" s="1008">
        <v>820000</v>
      </c>
      <c r="B742" s="1010" t="s">
        <v>338</v>
      </c>
      <c r="C742" s="978" t="s">
        <v>212</v>
      </c>
      <c r="D742" s="595" t="s">
        <v>324</v>
      </c>
      <c r="E742" s="596"/>
      <c r="F742" s="671"/>
      <c r="G742" s="597"/>
      <c r="H742" s="682"/>
      <c r="I742" s="923">
        <v>385.40380280000005</v>
      </c>
      <c r="J742" s="592">
        <f t="shared" si="777"/>
        <v>385.40380280000005</v>
      </c>
      <c r="K742" s="617">
        <f t="shared" si="762"/>
        <v>469.07</v>
      </c>
      <c r="L742" s="594" t="s">
        <v>21</v>
      </c>
      <c r="M742" s="92"/>
      <c r="N742" s="92">
        <v>477.25</v>
      </c>
      <c r="O742" s="93">
        <f t="shared" si="755"/>
        <v>0</v>
      </c>
      <c r="P742" s="93">
        <f t="shared" si="756"/>
        <v>0</v>
      </c>
      <c r="Q742" s="94"/>
      <c r="R742" s="92">
        <f t="shared" si="774"/>
        <v>0</v>
      </c>
      <c r="S742" s="92">
        <f t="shared" si="775"/>
        <v>477.25</v>
      </c>
      <c r="T742" s="93">
        <f t="shared" si="759"/>
        <v>0</v>
      </c>
      <c r="U742" s="95">
        <f t="shared" si="776"/>
        <v>0</v>
      </c>
      <c r="V742" s="94"/>
      <c r="X742" s="580" t="str">
        <f t="shared" si="751"/>
        <v/>
      </c>
      <c r="Y742" s="580" t="str">
        <f t="shared" si="517"/>
        <v/>
      </c>
      <c r="Z742" s="580" t="str">
        <f t="shared" si="716"/>
        <v/>
      </c>
    </row>
    <row r="743" spans="1:26" x14ac:dyDescent="0.2">
      <c r="A743" s="1008">
        <v>820000</v>
      </c>
      <c r="B743" s="1107" t="s">
        <v>339</v>
      </c>
      <c r="C743" s="1108" t="s">
        <v>212</v>
      </c>
      <c r="D743" s="1109" t="s">
        <v>325</v>
      </c>
      <c r="E743" s="1110"/>
      <c r="F743" s="671"/>
      <c r="G743" s="597"/>
      <c r="H743" s="682"/>
      <c r="I743" s="923">
        <v>435.31392000000005</v>
      </c>
      <c r="J743" s="592">
        <f t="shared" si="777"/>
        <v>435.31392000000005</v>
      </c>
      <c r="K743" s="617">
        <f t="shared" si="762"/>
        <v>529.82000000000005</v>
      </c>
      <c r="L743" s="594" t="s">
        <v>21</v>
      </c>
      <c r="M743" s="92">
        <v>1</v>
      </c>
      <c r="N743" s="92">
        <v>539.04999999999995</v>
      </c>
      <c r="O743" s="93">
        <f t="shared" si="755"/>
        <v>529.82000000000005</v>
      </c>
      <c r="P743" s="93">
        <f t="shared" si="756"/>
        <v>539.04999999999995</v>
      </c>
      <c r="Q743" s="94"/>
      <c r="R743" s="1111">
        <f t="shared" si="774"/>
        <v>1</v>
      </c>
      <c r="S743" s="1111">
        <f>K743</f>
        <v>529.82000000000005</v>
      </c>
      <c r="T743" s="1112">
        <f t="shared" si="759"/>
        <v>529.82000000000005</v>
      </c>
      <c r="U743" s="1113">
        <f t="shared" si="776"/>
        <v>529.82000000000005</v>
      </c>
      <c r="V743" s="1114"/>
      <c r="X743" s="580" t="str">
        <f t="shared" si="751"/>
        <v>x</v>
      </c>
      <c r="Y743" s="580" t="str">
        <f t="shared" si="517"/>
        <v>x</v>
      </c>
      <c r="Z743" s="580" t="str">
        <f t="shared" si="716"/>
        <v>x</v>
      </c>
    </row>
    <row r="744" spans="1:26" ht="13.5" thickBot="1" x14ac:dyDescent="0.25">
      <c r="A744" s="1008">
        <v>820000</v>
      </c>
      <c r="B744" s="1107" t="s">
        <v>2158</v>
      </c>
      <c r="C744" s="1108" t="s">
        <v>212</v>
      </c>
      <c r="D744" s="1109" t="s">
        <v>326</v>
      </c>
      <c r="E744" s="1110"/>
      <c r="F744" s="671"/>
      <c r="G744" s="597"/>
      <c r="H744" s="682"/>
      <c r="I744" s="923">
        <v>428.15055000000007</v>
      </c>
      <c r="J744" s="592">
        <f t="shared" si="777"/>
        <v>428.15055000000007</v>
      </c>
      <c r="K744" s="617">
        <f t="shared" si="762"/>
        <v>521.1</v>
      </c>
      <c r="L744" s="594" t="s">
        <v>21</v>
      </c>
      <c r="M744" s="599">
        <v>3</v>
      </c>
      <c r="N744" s="599">
        <v>530.17999999999995</v>
      </c>
      <c r="O744" s="93">
        <f t="shared" ref="O744" si="778">IF(ISBLANK(M744),0,ROUND(K744*M744,2))</f>
        <v>1563.3</v>
      </c>
      <c r="P744" s="95">
        <f t="shared" ref="P744" si="779">IF(ISBLANK(N744),0,ROUND(M744*N744,2))</f>
        <v>1590.54</v>
      </c>
      <c r="Q744" s="94"/>
      <c r="R744" s="1116">
        <f t="shared" ref="R744" si="780">M744</f>
        <v>3</v>
      </c>
      <c r="S744" s="1117">
        <f>K744</f>
        <v>521.1</v>
      </c>
      <c r="T744" s="1112">
        <f t="shared" ref="T744" si="781">IF(ISBLANK(R744),0,ROUND(K744*R744,2))</f>
        <v>1563.3</v>
      </c>
      <c r="U744" s="1113">
        <f t="shared" ref="U744" si="782">IF(ISBLANK(R744),0,ROUND(R744*S744,2))</f>
        <v>1563.3</v>
      </c>
      <c r="V744" s="1114"/>
      <c r="X744" s="580" t="str">
        <f t="shared" si="751"/>
        <v>x</v>
      </c>
      <c r="Y744" s="580" t="str">
        <f t="shared" si="517"/>
        <v>x</v>
      </c>
      <c r="Z744" s="580" t="str">
        <f t="shared" si="716"/>
        <v>x</v>
      </c>
    </row>
    <row r="745" spans="1:26" ht="26.25" hidden="1" thickBot="1" x14ac:dyDescent="0.25">
      <c r="A745" s="1008">
        <v>820000</v>
      </c>
      <c r="B745" s="1010" t="s">
        <v>2159</v>
      </c>
      <c r="C745" s="978" t="s">
        <v>212</v>
      </c>
      <c r="D745" s="595" t="s">
        <v>808</v>
      </c>
      <c r="E745" s="596"/>
      <c r="F745" s="671"/>
      <c r="G745" s="597"/>
      <c r="H745" s="682"/>
      <c r="I745" s="923">
        <v>439.55888000000004</v>
      </c>
      <c r="J745" s="592">
        <f t="shared" ref="J745" si="783">IF(ISBLANK(I745),"",SUM(H745:I745))</f>
        <v>439.55888000000004</v>
      </c>
      <c r="K745" s="617">
        <f t="shared" si="762"/>
        <v>534.99</v>
      </c>
      <c r="L745" s="594" t="s">
        <v>21</v>
      </c>
      <c r="M745" s="599"/>
      <c r="N745" s="599"/>
      <c r="O745" s="93">
        <f t="shared" si="755"/>
        <v>0</v>
      </c>
      <c r="P745" s="95">
        <f t="shared" si="756"/>
        <v>0</v>
      </c>
      <c r="Q745" s="94"/>
      <c r="R745" s="598">
        <f t="shared" si="774"/>
        <v>0</v>
      </c>
      <c r="S745" s="599">
        <f t="shared" si="775"/>
        <v>0</v>
      </c>
      <c r="T745" s="93">
        <f t="shared" si="759"/>
        <v>0</v>
      </c>
      <c r="U745" s="95">
        <f t="shared" si="776"/>
        <v>0</v>
      </c>
      <c r="V745" s="94"/>
      <c r="X745" s="580" t="str">
        <f t="shared" si="751"/>
        <v/>
      </c>
      <c r="Y745" s="580" t="str">
        <f t="shared" si="517"/>
        <v/>
      </c>
      <c r="Z745" s="580" t="str">
        <f t="shared" si="716"/>
        <v/>
      </c>
    </row>
    <row r="746" spans="1:26" ht="13.5" hidden="1" thickBot="1" x14ac:dyDescent="0.25">
      <c r="B746" s="1015" t="s">
        <v>187</v>
      </c>
      <c r="C746" s="1014"/>
      <c r="D746" s="603" t="s">
        <v>505</v>
      </c>
      <c r="E746" s="910"/>
      <c r="F746" s="676"/>
      <c r="G746" s="604"/>
      <c r="H746" s="911"/>
      <c r="I746" s="605"/>
      <c r="J746" s="605"/>
      <c r="K746" s="605"/>
      <c r="L746" s="605" t="s">
        <v>783</v>
      </c>
      <c r="M746" s="606"/>
      <c r="N746" s="605"/>
      <c r="O746" s="605"/>
      <c r="P746" s="607"/>
      <c r="Q746" s="94"/>
      <c r="R746" s="606"/>
      <c r="S746" s="605"/>
      <c r="T746" s="605"/>
      <c r="U746" s="607"/>
      <c r="V746" s="94"/>
      <c r="W746" s="579" t="str">
        <f>IF(OR(SUM(P747:P778)&gt;0,SUM(U747:U778)&gt;0),"y","")</f>
        <v/>
      </c>
      <c r="X746" s="580" t="str">
        <f t="shared" si="751"/>
        <v/>
      </c>
      <c r="Y746" s="580" t="str">
        <f t="shared" si="517"/>
        <v/>
      </c>
      <c r="Z746" s="580" t="str">
        <f t="shared" si="716"/>
        <v/>
      </c>
    </row>
    <row r="747" spans="1:26" ht="13.5" hidden="1" thickBot="1" x14ac:dyDescent="0.25">
      <c r="B747" s="1015" t="s">
        <v>187</v>
      </c>
      <c r="C747" s="1016"/>
      <c r="D747" s="616"/>
      <c r="E747" s="609"/>
      <c r="F747" s="677"/>
      <c r="G747" s="610"/>
      <c r="H747" s="611"/>
      <c r="I747" s="612"/>
      <c r="J747" s="592"/>
      <c r="K747" s="593">
        <f>IF(ISBLANK(I747),0,ROUND(J747*(1+$F$10)*(1+$F$11*E747),2))</f>
        <v>0</v>
      </c>
      <c r="L747" s="615" t="s">
        <v>783</v>
      </c>
      <c r="M747" s="92"/>
      <c r="N747" s="92"/>
      <c r="O747" s="93">
        <f t="shared" ref="O747" si="784">IF(ISBLANK(M747),0,ROUND(K747*M747,2))</f>
        <v>0</v>
      </c>
      <c r="P747" s="93">
        <f t="shared" ref="P747" si="785">IF(ISBLANK(N747),0,ROUND(M747*N747,2))</f>
        <v>0</v>
      </c>
      <c r="Q747" s="94"/>
      <c r="R747" s="92">
        <f t="shared" ref="R747:S747" si="786">M747</f>
        <v>0</v>
      </c>
      <c r="S747" s="92">
        <f t="shared" si="786"/>
        <v>0</v>
      </c>
      <c r="T747" s="93">
        <f t="shared" ref="T747" si="787">IF(ISBLANK(R747),0,ROUND(K747*R747,2))</f>
        <v>0</v>
      </c>
      <c r="U747" s="618">
        <f t="shared" ref="U747" si="788">IF(ISBLANK(R747),0,ROUND(R747*S747,2))</f>
        <v>0</v>
      </c>
      <c r="V747" s="94"/>
      <c r="X747" s="580" t="str">
        <f t="shared" si="751"/>
        <v/>
      </c>
      <c r="Y747" s="580" t="str">
        <f t="shared" si="517"/>
        <v/>
      </c>
      <c r="Z747" s="580" t="str">
        <f t="shared" si="716"/>
        <v/>
      </c>
    </row>
    <row r="748" spans="1:26" ht="13.5" hidden="1" thickBot="1" x14ac:dyDescent="0.25">
      <c r="A748" s="602" t="s">
        <v>187</v>
      </c>
      <c r="B748" s="1015" t="s">
        <v>187</v>
      </c>
      <c r="C748" s="1016" t="s">
        <v>187</v>
      </c>
      <c r="D748" s="616"/>
      <c r="E748" s="609"/>
      <c r="F748" s="677"/>
      <c r="G748" s="610"/>
      <c r="H748" s="611"/>
      <c r="I748" s="612"/>
      <c r="J748" s="613"/>
      <c r="K748" s="617">
        <f t="shared" ref="K748:K778" si="789">IF(ISBLANK(J748),0,ROUND(J748*(1+$F$10)*(1+$F$11*E748),2))</f>
        <v>0</v>
      </c>
      <c r="L748" s="615" t="s">
        <v>783</v>
      </c>
      <c r="M748" s="92"/>
      <c r="N748" s="92"/>
      <c r="O748" s="93">
        <f>IF(ISBLANK(M748),0,ROUND(K748*M748,2))</f>
        <v>0</v>
      </c>
      <c r="P748" s="93">
        <f t="shared" ref="P748:P778" si="790">IF(ISBLANK(N748),0,ROUND(M748*N748,2))</f>
        <v>0</v>
      </c>
      <c r="Q748" s="94"/>
      <c r="R748" s="92">
        <f t="shared" ref="R748:R778" si="791">M748</f>
        <v>0</v>
      </c>
      <c r="S748" s="92">
        <f t="shared" ref="S748:S778" si="792">N748</f>
        <v>0</v>
      </c>
      <c r="T748" s="93">
        <f t="shared" ref="T748:T778" si="793">IF(ISBLANK(R748),0,ROUND(K748*R748,2))</f>
        <v>0</v>
      </c>
      <c r="U748" s="618">
        <f t="shared" ref="U748:U778" si="794">IF(ISBLANK(R748),0,ROUND(R748*S748,2))</f>
        <v>0</v>
      </c>
      <c r="V748" s="94"/>
      <c r="X748" s="580" t="str">
        <f t="shared" si="751"/>
        <v/>
      </c>
      <c r="Y748" s="580" t="str">
        <f t="shared" si="517"/>
        <v/>
      </c>
      <c r="Z748" s="580" t="str">
        <f t="shared" si="716"/>
        <v/>
      </c>
    </row>
    <row r="749" spans="1:26" ht="13.5" hidden="1" thickBot="1" x14ac:dyDescent="0.25">
      <c r="A749" s="602" t="s">
        <v>187</v>
      </c>
      <c r="B749" s="1015" t="s">
        <v>187</v>
      </c>
      <c r="C749" s="1016" t="s">
        <v>187</v>
      </c>
      <c r="D749" s="616"/>
      <c r="E749" s="609"/>
      <c r="F749" s="677"/>
      <c r="G749" s="610"/>
      <c r="H749" s="611"/>
      <c r="I749" s="612"/>
      <c r="J749" s="613"/>
      <c r="K749" s="617">
        <f t="shared" si="789"/>
        <v>0</v>
      </c>
      <c r="L749" s="615" t="s">
        <v>783</v>
      </c>
      <c r="M749" s="92"/>
      <c r="N749" s="92"/>
      <c r="O749" s="93">
        <f t="shared" ref="O749:O778" si="795">IF(ISBLANK(M749),0,ROUND(K749*M749,2))</f>
        <v>0</v>
      </c>
      <c r="P749" s="93">
        <f t="shared" si="790"/>
        <v>0</v>
      </c>
      <c r="Q749" s="94"/>
      <c r="R749" s="92">
        <f t="shared" si="791"/>
        <v>0</v>
      </c>
      <c r="S749" s="92">
        <f t="shared" si="792"/>
        <v>0</v>
      </c>
      <c r="T749" s="93">
        <f t="shared" si="793"/>
        <v>0</v>
      </c>
      <c r="U749" s="95">
        <f t="shared" si="794"/>
        <v>0</v>
      </c>
      <c r="V749" s="94"/>
      <c r="X749" s="580" t="str">
        <f t="shared" si="751"/>
        <v/>
      </c>
      <c r="Y749" s="580" t="str">
        <f t="shared" si="517"/>
        <v/>
      </c>
      <c r="Z749" s="580" t="str">
        <f t="shared" si="716"/>
        <v/>
      </c>
    </row>
    <row r="750" spans="1:26" ht="13.5" hidden="1" thickBot="1" x14ac:dyDescent="0.25">
      <c r="A750" s="602" t="s">
        <v>187</v>
      </c>
      <c r="B750" s="1015" t="s">
        <v>187</v>
      </c>
      <c r="C750" s="1016" t="s">
        <v>187</v>
      </c>
      <c r="D750" s="616"/>
      <c r="E750" s="609"/>
      <c r="F750" s="677"/>
      <c r="G750" s="610"/>
      <c r="H750" s="611"/>
      <c r="I750" s="612"/>
      <c r="J750" s="613"/>
      <c r="K750" s="617">
        <f t="shared" si="789"/>
        <v>0</v>
      </c>
      <c r="L750" s="615" t="s">
        <v>783</v>
      </c>
      <c r="M750" s="92"/>
      <c r="N750" s="92"/>
      <c r="O750" s="93">
        <f t="shared" si="795"/>
        <v>0</v>
      </c>
      <c r="P750" s="93">
        <f t="shared" si="790"/>
        <v>0</v>
      </c>
      <c r="Q750" s="94"/>
      <c r="R750" s="92">
        <f t="shared" si="791"/>
        <v>0</v>
      </c>
      <c r="S750" s="92">
        <f t="shared" si="792"/>
        <v>0</v>
      </c>
      <c r="T750" s="93">
        <f t="shared" si="793"/>
        <v>0</v>
      </c>
      <c r="U750" s="95">
        <f t="shared" si="794"/>
        <v>0</v>
      </c>
      <c r="V750" s="94"/>
      <c r="X750" s="580" t="str">
        <f t="shared" si="751"/>
        <v/>
      </c>
      <c r="Y750" s="580" t="str">
        <f t="shared" si="517"/>
        <v/>
      </c>
      <c r="Z750" s="580" t="str">
        <f t="shared" si="716"/>
        <v/>
      </c>
    </row>
    <row r="751" spans="1:26" ht="13.5" hidden="1" thickBot="1" x14ac:dyDescent="0.25">
      <c r="A751" s="602" t="s">
        <v>187</v>
      </c>
      <c r="B751" s="1015" t="s">
        <v>187</v>
      </c>
      <c r="C751" s="1016" t="s">
        <v>187</v>
      </c>
      <c r="D751" s="616"/>
      <c r="E751" s="609"/>
      <c r="F751" s="677"/>
      <c r="G751" s="610"/>
      <c r="H751" s="611"/>
      <c r="I751" s="612"/>
      <c r="J751" s="613"/>
      <c r="K751" s="617">
        <f t="shared" si="789"/>
        <v>0</v>
      </c>
      <c r="L751" s="615" t="s">
        <v>783</v>
      </c>
      <c r="M751" s="92"/>
      <c r="N751" s="92"/>
      <c r="O751" s="93">
        <f t="shared" si="795"/>
        <v>0</v>
      </c>
      <c r="P751" s="93">
        <f t="shared" si="790"/>
        <v>0</v>
      </c>
      <c r="Q751" s="94"/>
      <c r="R751" s="92">
        <f t="shared" si="791"/>
        <v>0</v>
      </c>
      <c r="S751" s="92">
        <f t="shared" si="792"/>
        <v>0</v>
      </c>
      <c r="T751" s="93">
        <f t="shared" si="793"/>
        <v>0</v>
      </c>
      <c r="U751" s="95">
        <f t="shared" si="794"/>
        <v>0</v>
      </c>
      <c r="V751" s="94"/>
      <c r="X751" s="580" t="str">
        <f t="shared" si="751"/>
        <v/>
      </c>
      <c r="Y751" s="580" t="str">
        <f t="shared" si="517"/>
        <v/>
      </c>
      <c r="Z751" s="580" t="str">
        <f t="shared" si="716"/>
        <v/>
      </c>
    </row>
    <row r="752" spans="1:26" ht="13.5" hidden="1" thickBot="1" x14ac:dyDescent="0.25">
      <c r="A752" s="602" t="s">
        <v>187</v>
      </c>
      <c r="B752" s="1015" t="s">
        <v>187</v>
      </c>
      <c r="C752" s="1016" t="s">
        <v>187</v>
      </c>
      <c r="D752" s="616"/>
      <c r="E752" s="609"/>
      <c r="F752" s="677"/>
      <c r="G752" s="610"/>
      <c r="H752" s="611"/>
      <c r="I752" s="612"/>
      <c r="J752" s="613"/>
      <c r="K752" s="617">
        <f t="shared" si="789"/>
        <v>0</v>
      </c>
      <c r="L752" s="615" t="s">
        <v>783</v>
      </c>
      <c r="M752" s="92"/>
      <c r="N752" s="92"/>
      <c r="O752" s="93">
        <f t="shared" si="795"/>
        <v>0</v>
      </c>
      <c r="P752" s="93">
        <f t="shared" si="790"/>
        <v>0</v>
      </c>
      <c r="Q752" s="94"/>
      <c r="R752" s="92">
        <f t="shared" si="791"/>
        <v>0</v>
      </c>
      <c r="S752" s="92">
        <f t="shared" si="792"/>
        <v>0</v>
      </c>
      <c r="T752" s="93">
        <f t="shared" si="793"/>
        <v>0</v>
      </c>
      <c r="U752" s="95">
        <f t="shared" si="794"/>
        <v>0</v>
      </c>
      <c r="V752" s="94"/>
      <c r="X752" s="580" t="str">
        <f t="shared" si="751"/>
        <v/>
      </c>
      <c r="Y752" s="580" t="str">
        <f t="shared" si="517"/>
        <v/>
      </c>
      <c r="Z752" s="580" t="str">
        <f t="shared" si="716"/>
        <v/>
      </c>
    </row>
    <row r="753" spans="1:26" ht="13.5" hidden="1" thickBot="1" x14ac:dyDescent="0.25">
      <c r="A753" s="602" t="s">
        <v>187</v>
      </c>
      <c r="B753" s="1015" t="s">
        <v>187</v>
      </c>
      <c r="C753" s="1016" t="s">
        <v>187</v>
      </c>
      <c r="D753" s="616"/>
      <c r="E753" s="609"/>
      <c r="F753" s="677"/>
      <c r="G753" s="610"/>
      <c r="H753" s="611"/>
      <c r="I753" s="612"/>
      <c r="J753" s="613"/>
      <c r="K753" s="617">
        <f t="shared" si="789"/>
        <v>0</v>
      </c>
      <c r="L753" s="615" t="s">
        <v>783</v>
      </c>
      <c r="M753" s="92"/>
      <c r="N753" s="92"/>
      <c r="O753" s="93">
        <f t="shared" si="795"/>
        <v>0</v>
      </c>
      <c r="P753" s="93">
        <f t="shared" si="790"/>
        <v>0</v>
      </c>
      <c r="Q753" s="94"/>
      <c r="R753" s="92">
        <f t="shared" si="791"/>
        <v>0</v>
      </c>
      <c r="S753" s="92">
        <f t="shared" si="792"/>
        <v>0</v>
      </c>
      <c r="T753" s="93">
        <f t="shared" si="793"/>
        <v>0</v>
      </c>
      <c r="U753" s="95">
        <f t="shared" si="794"/>
        <v>0</v>
      </c>
      <c r="V753" s="94"/>
      <c r="X753" s="580" t="str">
        <f t="shared" ref="X753:X816" si="796">IF(W753="X","x",IF(W753="xx","x",IF(W753="xy","x",IF(W753="y","x",IF(OR(P753&gt;0,U753&gt;0),"x","")))))</f>
        <v/>
      </c>
      <c r="Y753" s="580" t="str">
        <f t="shared" si="517"/>
        <v/>
      </c>
      <c r="Z753" s="580" t="str">
        <f t="shared" si="716"/>
        <v/>
      </c>
    </row>
    <row r="754" spans="1:26" ht="13.5" hidden="1" thickBot="1" x14ac:dyDescent="0.25">
      <c r="A754" s="602" t="s">
        <v>187</v>
      </c>
      <c r="B754" s="1015" t="s">
        <v>187</v>
      </c>
      <c r="C754" s="1016" t="s">
        <v>187</v>
      </c>
      <c r="D754" s="616"/>
      <c r="E754" s="609"/>
      <c r="F754" s="677"/>
      <c r="G754" s="610"/>
      <c r="H754" s="611"/>
      <c r="I754" s="612"/>
      <c r="J754" s="613"/>
      <c r="K754" s="617">
        <f t="shared" si="789"/>
        <v>0</v>
      </c>
      <c r="L754" s="615" t="s">
        <v>783</v>
      </c>
      <c r="M754" s="92"/>
      <c r="N754" s="92"/>
      <c r="O754" s="93">
        <f t="shared" si="795"/>
        <v>0</v>
      </c>
      <c r="P754" s="93">
        <f t="shared" si="790"/>
        <v>0</v>
      </c>
      <c r="Q754" s="94"/>
      <c r="R754" s="92">
        <f t="shared" si="791"/>
        <v>0</v>
      </c>
      <c r="S754" s="92">
        <f t="shared" si="792"/>
        <v>0</v>
      </c>
      <c r="T754" s="93">
        <f t="shared" si="793"/>
        <v>0</v>
      </c>
      <c r="U754" s="95">
        <f t="shared" si="794"/>
        <v>0</v>
      </c>
      <c r="V754" s="94"/>
      <c r="X754" s="580" t="str">
        <f t="shared" si="796"/>
        <v/>
      </c>
      <c r="Y754" s="580" t="str">
        <f t="shared" si="517"/>
        <v/>
      </c>
      <c r="Z754" s="580" t="str">
        <f t="shared" si="716"/>
        <v/>
      </c>
    </row>
    <row r="755" spans="1:26" ht="13.5" hidden="1" thickBot="1" x14ac:dyDescent="0.25">
      <c r="A755" s="602" t="s">
        <v>187</v>
      </c>
      <c r="B755" s="1015" t="s">
        <v>187</v>
      </c>
      <c r="C755" s="1016" t="s">
        <v>187</v>
      </c>
      <c r="D755" s="616"/>
      <c r="E755" s="609"/>
      <c r="F755" s="677"/>
      <c r="G755" s="610"/>
      <c r="H755" s="611"/>
      <c r="I755" s="612"/>
      <c r="J755" s="613"/>
      <c r="K755" s="617">
        <f t="shared" si="789"/>
        <v>0</v>
      </c>
      <c r="L755" s="615" t="s">
        <v>783</v>
      </c>
      <c r="M755" s="92"/>
      <c r="N755" s="92"/>
      <c r="O755" s="93">
        <f t="shared" si="795"/>
        <v>0</v>
      </c>
      <c r="P755" s="93">
        <f t="shared" si="790"/>
        <v>0</v>
      </c>
      <c r="Q755" s="94"/>
      <c r="R755" s="92">
        <f t="shared" si="791"/>
        <v>0</v>
      </c>
      <c r="S755" s="92">
        <f t="shared" si="792"/>
        <v>0</v>
      </c>
      <c r="T755" s="93">
        <f t="shared" si="793"/>
        <v>0</v>
      </c>
      <c r="U755" s="95">
        <f t="shared" si="794"/>
        <v>0</v>
      </c>
      <c r="V755" s="94"/>
      <c r="X755" s="580" t="str">
        <f t="shared" si="796"/>
        <v/>
      </c>
      <c r="Y755" s="580" t="str">
        <f t="shared" si="517"/>
        <v/>
      </c>
      <c r="Z755" s="580" t="str">
        <f t="shared" si="716"/>
        <v/>
      </c>
    </row>
    <row r="756" spans="1:26" ht="13.5" hidden="1" thickBot="1" x14ac:dyDescent="0.25">
      <c r="A756" s="602" t="s">
        <v>187</v>
      </c>
      <c r="B756" s="1015" t="s">
        <v>187</v>
      </c>
      <c r="C756" s="1016" t="s">
        <v>187</v>
      </c>
      <c r="D756" s="616"/>
      <c r="E756" s="609"/>
      <c r="F756" s="677"/>
      <c r="G756" s="610"/>
      <c r="H756" s="611"/>
      <c r="I756" s="612"/>
      <c r="J756" s="613"/>
      <c r="K756" s="617">
        <f t="shared" si="789"/>
        <v>0</v>
      </c>
      <c r="L756" s="615" t="s">
        <v>783</v>
      </c>
      <c r="M756" s="92"/>
      <c r="N756" s="92"/>
      <c r="O756" s="93">
        <f t="shared" si="795"/>
        <v>0</v>
      </c>
      <c r="P756" s="93">
        <f t="shared" si="790"/>
        <v>0</v>
      </c>
      <c r="Q756" s="94"/>
      <c r="R756" s="92">
        <f t="shared" si="791"/>
        <v>0</v>
      </c>
      <c r="S756" s="92">
        <f t="shared" si="792"/>
        <v>0</v>
      </c>
      <c r="T756" s="93">
        <f t="shared" si="793"/>
        <v>0</v>
      </c>
      <c r="U756" s="95">
        <f t="shared" si="794"/>
        <v>0</v>
      </c>
      <c r="V756" s="94"/>
      <c r="X756" s="580" t="str">
        <f t="shared" si="796"/>
        <v/>
      </c>
      <c r="Y756" s="580" t="str">
        <f t="shared" si="517"/>
        <v/>
      </c>
      <c r="Z756" s="580" t="str">
        <f t="shared" si="716"/>
        <v/>
      </c>
    </row>
    <row r="757" spans="1:26" ht="13.5" hidden="1" thickBot="1" x14ac:dyDescent="0.25">
      <c r="A757" s="602" t="s">
        <v>187</v>
      </c>
      <c r="B757" s="1015" t="s">
        <v>187</v>
      </c>
      <c r="C757" s="1016" t="s">
        <v>187</v>
      </c>
      <c r="D757" s="616"/>
      <c r="E757" s="609"/>
      <c r="F757" s="677"/>
      <c r="G757" s="610"/>
      <c r="H757" s="611"/>
      <c r="I757" s="612"/>
      <c r="J757" s="613"/>
      <c r="K757" s="617">
        <f t="shared" si="789"/>
        <v>0</v>
      </c>
      <c r="L757" s="615" t="s">
        <v>783</v>
      </c>
      <c r="M757" s="92"/>
      <c r="N757" s="92"/>
      <c r="O757" s="93">
        <f t="shared" si="795"/>
        <v>0</v>
      </c>
      <c r="P757" s="93">
        <f t="shared" si="790"/>
        <v>0</v>
      </c>
      <c r="Q757" s="94"/>
      <c r="R757" s="92">
        <f t="shared" si="791"/>
        <v>0</v>
      </c>
      <c r="S757" s="92">
        <f t="shared" si="792"/>
        <v>0</v>
      </c>
      <c r="T757" s="93">
        <f t="shared" si="793"/>
        <v>0</v>
      </c>
      <c r="U757" s="95">
        <f t="shared" si="794"/>
        <v>0</v>
      </c>
      <c r="V757" s="94"/>
      <c r="X757" s="580" t="str">
        <f t="shared" si="796"/>
        <v/>
      </c>
      <c r="Y757" s="580" t="str">
        <f t="shared" si="517"/>
        <v/>
      </c>
      <c r="Z757" s="580" t="str">
        <f t="shared" si="716"/>
        <v/>
      </c>
    </row>
    <row r="758" spans="1:26" ht="13.5" hidden="1" thickBot="1" x14ac:dyDescent="0.25">
      <c r="A758" s="602" t="s">
        <v>187</v>
      </c>
      <c r="B758" s="1015" t="s">
        <v>187</v>
      </c>
      <c r="C758" s="1016" t="s">
        <v>187</v>
      </c>
      <c r="D758" s="616"/>
      <c r="E758" s="609"/>
      <c r="F758" s="677"/>
      <c r="G758" s="610"/>
      <c r="H758" s="611"/>
      <c r="I758" s="612"/>
      <c r="J758" s="613"/>
      <c r="K758" s="617">
        <f t="shared" si="789"/>
        <v>0</v>
      </c>
      <c r="L758" s="615" t="s">
        <v>783</v>
      </c>
      <c r="M758" s="92"/>
      <c r="N758" s="92"/>
      <c r="O758" s="93">
        <f t="shared" si="795"/>
        <v>0</v>
      </c>
      <c r="P758" s="93">
        <f t="shared" si="790"/>
        <v>0</v>
      </c>
      <c r="Q758" s="94"/>
      <c r="R758" s="92">
        <f t="shared" si="791"/>
        <v>0</v>
      </c>
      <c r="S758" s="92">
        <f t="shared" si="792"/>
        <v>0</v>
      </c>
      <c r="T758" s="93">
        <f t="shared" si="793"/>
        <v>0</v>
      </c>
      <c r="U758" s="95">
        <f t="shared" si="794"/>
        <v>0</v>
      </c>
      <c r="V758" s="94"/>
      <c r="X758" s="580" t="str">
        <f t="shared" si="796"/>
        <v/>
      </c>
      <c r="Y758" s="580" t="str">
        <f t="shared" si="517"/>
        <v/>
      </c>
      <c r="Z758" s="580" t="str">
        <f t="shared" si="716"/>
        <v/>
      </c>
    </row>
    <row r="759" spans="1:26" ht="13.5" hidden="1" thickBot="1" x14ac:dyDescent="0.25">
      <c r="A759" s="602" t="s">
        <v>187</v>
      </c>
      <c r="B759" s="1015" t="s">
        <v>187</v>
      </c>
      <c r="C759" s="1016" t="s">
        <v>187</v>
      </c>
      <c r="D759" s="616"/>
      <c r="E759" s="609"/>
      <c r="F759" s="677"/>
      <c r="G759" s="610"/>
      <c r="H759" s="611"/>
      <c r="I759" s="612"/>
      <c r="J759" s="613"/>
      <c r="K759" s="617">
        <f t="shared" si="789"/>
        <v>0</v>
      </c>
      <c r="L759" s="615" t="s">
        <v>783</v>
      </c>
      <c r="M759" s="92"/>
      <c r="N759" s="92"/>
      <c r="O759" s="93">
        <f t="shared" si="795"/>
        <v>0</v>
      </c>
      <c r="P759" s="93">
        <f t="shared" si="790"/>
        <v>0</v>
      </c>
      <c r="Q759" s="94"/>
      <c r="R759" s="92">
        <f t="shared" si="791"/>
        <v>0</v>
      </c>
      <c r="S759" s="92">
        <f t="shared" si="792"/>
        <v>0</v>
      </c>
      <c r="T759" s="93">
        <f t="shared" si="793"/>
        <v>0</v>
      </c>
      <c r="U759" s="95">
        <f t="shared" si="794"/>
        <v>0</v>
      </c>
      <c r="V759" s="94"/>
      <c r="X759" s="580" t="str">
        <f t="shared" si="796"/>
        <v/>
      </c>
      <c r="Y759" s="580" t="str">
        <f t="shared" si="517"/>
        <v/>
      </c>
      <c r="Z759" s="580" t="str">
        <f t="shared" si="716"/>
        <v/>
      </c>
    </row>
    <row r="760" spans="1:26" ht="13.5" hidden="1" thickBot="1" x14ac:dyDescent="0.25">
      <c r="A760" s="602" t="s">
        <v>187</v>
      </c>
      <c r="B760" s="1015" t="s">
        <v>187</v>
      </c>
      <c r="C760" s="1016" t="s">
        <v>187</v>
      </c>
      <c r="D760" s="616"/>
      <c r="E760" s="609"/>
      <c r="F760" s="677"/>
      <c r="G760" s="610"/>
      <c r="H760" s="611"/>
      <c r="I760" s="612"/>
      <c r="J760" s="613"/>
      <c r="K760" s="617">
        <f t="shared" si="789"/>
        <v>0</v>
      </c>
      <c r="L760" s="615" t="s">
        <v>783</v>
      </c>
      <c r="M760" s="92"/>
      <c r="N760" s="92"/>
      <c r="O760" s="93">
        <f t="shared" si="795"/>
        <v>0</v>
      </c>
      <c r="P760" s="93">
        <f t="shared" si="790"/>
        <v>0</v>
      </c>
      <c r="Q760" s="94"/>
      <c r="R760" s="92">
        <f t="shared" si="791"/>
        <v>0</v>
      </c>
      <c r="S760" s="92">
        <f t="shared" si="792"/>
        <v>0</v>
      </c>
      <c r="T760" s="93">
        <f t="shared" si="793"/>
        <v>0</v>
      </c>
      <c r="U760" s="95">
        <f t="shared" si="794"/>
        <v>0</v>
      </c>
      <c r="V760" s="94"/>
      <c r="X760" s="580" t="str">
        <f t="shared" si="796"/>
        <v/>
      </c>
      <c r="Y760" s="580" t="str">
        <f t="shared" si="517"/>
        <v/>
      </c>
      <c r="Z760" s="580" t="str">
        <f t="shared" si="716"/>
        <v/>
      </c>
    </row>
    <row r="761" spans="1:26" ht="13.5" hidden="1" thickBot="1" x14ac:dyDescent="0.25">
      <c r="A761" s="602" t="s">
        <v>187</v>
      </c>
      <c r="B761" s="1015" t="s">
        <v>187</v>
      </c>
      <c r="C761" s="1016" t="s">
        <v>187</v>
      </c>
      <c r="D761" s="616"/>
      <c r="E761" s="609"/>
      <c r="F761" s="677"/>
      <c r="G761" s="610"/>
      <c r="H761" s="611"/>
      <c r="I761" s="612"/>
      <c r="J761" s="613"/>
      <c r="K761" s="617">
        <f t="shared" si="789"/>
        <v>0</v>
      </c>
      <c r="L761" s="615" t="s">
        <v>783</v>
      </c>
      <c r="M761" s="92"/>
      <c r="N761" s="92"/>
      <c r="O761" s="93">
        <f t="shared" si="795"/>
        <v>0</v>
      </c>
      <c r="P761" s="93">
        <f t="shared" si="790"/>
        <v>0</v>
      </c>
      <c r="Q761" s="94"/>
      <c r="R761" s="92">
        <f t="shared" si="791"/>
        <v>0</v>
      </c>
      <c r="S761" s="92">
        <f t="shared" si="792"/>
        <v>0</v>
      </c>
      <c r="T761" s="93">
        <f t="shared" si="793"/>
        <v>0</v>
      </c>
      <c r="U761" s="95">
        <f t="shared" si="794"/>
        <v>0</v>
      </c>
      <c r="V761" s="94"/>
      <c r="X761" s="580" t="str">
        <f t="shared" si="796"/>
        <v/>
      </c>
      <c r="Y761" s="580" t="str">
        <f t="shared" si="517"/>
        <v/>
      </c>
      <c r="Z761" s="580" t="str">
        <f t="shared" si="716"/>
        <v/>
      </c>
    </row>
    <row r="762" spans="1:26" ht="13.5" hidden="1" thickBot="1" x14ac:dyDescent="0.25">
      <c r="A762" s="602" t="s">
        <v>187</v>
      </c>
      <c r="B762" s="1015" t="s">
        <v>187</v>
      </c>
      <c r="C762" s="1016" t="s">
        <v>187</v>
      </c>
      <c r="D762" s="616"/>
      <c r="E762" s="609"/>
      <c r="F762" s="677"/>
      <c r="G762" s="610"/>
      <c r="H762" s="611"/>
      <c r="I762" s="612"/>
      <c r="J762" s="613"/>
      <c r="K762" s="617">
        <f t="shared" si="789"/>
        <v>0</v>
      </c>
      <c r="L762" s="615" t="s">
        <v>783</v>
      </c>
      <c r="M762" s="92"/>
      <c r="N762" s="92"/>
      <c r="O762" s="93">
        <f t="shared" si="795"/>
        <v>0</v>
      </c>
      <c r="P762" s="93">
        <f t="shared" si="790"/>
        <v>0</v>
      </c>
      <c r="Q762" s="94"/>
      <c r="R762" s="92">
        <f t="shared" si="791"/>
        <v>0</v>
      </c>
      <c r="S762" s="92">
        <f t="shared" si="792"/>
        <v>0</v>
      </c>
      <c r="T762" s="93">
        <f t="shared" si="793"/>
        <v>0</v>
      </c>
      <c r="U762" s="95">
        <f t="shared" si="794"/>
        <v>0</v>
      </c>
      <c r="V762" s="94"/>
      <c r="X762" s="580" t="str">
        <f t="shared" si="796"/>
        <v/>
      </c>
      <c r="Y762" s="580" t="str">
        <f t="shared" si="517"/>
        <v/>
      </c>
      <c r="Z762" s="580" t="str">
        <f t="shared" si="716"/>
        <v/>
      </c>
    </row>
    <row r="763" spans="1:26" ht="13.5" hidden="1" thickBot="1" x14ac:dyDescent="0.25">
      <c r="A763" s="602" t="s">
        <v>187</v>
      </c>
      <c r="B763" s="1015" t="s">
        <v>187</v>
      </c>
      <c r="C763" s="1016" t="s">
        <v>187</v>
      </c>
      <c r="D763" s="616"/>
      <c r="E763" s="609"/>
      <c r="F763" s="677"/>
      <c r="G763" s="610"/>
      <c r="H763" s="611"/>
      <c r="I763" s="612"/>
      <c r="J763" s="613"/>
      <c r="K763" s="617">
        <f t="shared" si="789"/>
        <v>0</v>
      </c>
      <c r="L763" s="615" t="s">
        <v>783</v>
      </c>
      <c r="M763" s="92"/>
      <c r="N763" s="92"/>
      <c r="O763" s="93">
        <f t="shared" si="795"/>
        <v>0</v>
      </c>
      <c r="P763" s="93">
        <f t="shared" si="790"/>
        <v>0</v>
      </c>
      <c r="Q763" s="94"/>
      <c r="R763" s="92">
        <f t="shared" si="791"/>
        <v>0</v>
      </c>
      <c r="S763" s="92">
        <f t="shared" si="792"/>
        <v>0</v>
      </c>
      <c r="T763" s="93">
        <f t="shared" si="793"/>
        <v>0</v>
      </c>
      <c r="U763" s="95">
        <f t="shared" si="794"/>
        <v>0</v>
      </c>
      <c r="V763" s="94"/>
      <c r="X763" s="580" t="str">
        <f t="shared" si="796"/>
        <v/>
      </c>
      <c r="Y763" s="580" t="str">
        <f t="shared" si="517"/>
        <v/>
      </c>
      <c r="Z763" s="580" t="str">
        <f t="shared" si="716"/>
        <v/>
      </c>
    </row>
    <row r="764" spans="1:26" ht="13.5" hidden="1" thickBot="1" x14ac:dyDescent="0.25">
      <c r="A764" s="602" t="s">
        <v>187</v>
      </c>
      <c r="B764" s="1015" t="s">
        <v>187</v>
      </c>
      <c r="C764" s="1016" t="s">
        <v>187</v>
      </c>
      <c r="D764" s="616"/>
      <c r="E764" s="609"/>
      <c r="F764" s="677"/>
      <c r="G764" s="610"/>
      <c r="H764" s="611"/>
      <c r="I764" s="612"/>
      <c r="J764" s="613"/>
      <c r="K764" s="617">
        <f t="shared" si="789"/>
        <v>0</v>
      </c>
      <c r="L764" s="615" t="s">
        <v>783</v>
      </c>
      <c r="M764" s="92"/>
      <c r="N764" s="92"/>
      <c r="O764" s="93">
        <f t="shared" si="795"/>
        <v>0</v>
      </c>
      <c r="P764" s="93">
        <f t="shared" si="790"/>
        <v>0</v>
      </c>
      <c r="Q764" s="94"/>
      <c r="R764" s="92">
        <f t="shared" si="791"/>
        <v>0</v>
      </c>
      <c r="S764" s="92">
        <f t="shared" si="792"/>
        <v>0</v>
      </c>
      <c r="T764" s="93">
        <f t="shared" si="793"/>
        <v>0</v>
      </c>
      <c r="U764" s="95">
        <f t="shared" si="794"/>
        <v>0</v>
      </c>
      <c r="V764" s="94"/>
      <c r="X764" s="580" t="str">
        <f t="shared" si="796"/>
        <v/>
      </c>
      <c r="Y764" s="580" t="str">
        <f t="shared" si="517"/>
        <v/>
      </c>
      <c r="Z764" s="580" t="str">
        <f t="shared" si="716"/>
        <v/>
      </c>
    </row>
    <row r="765" spans="1:26" ht="13.5" hidden="1" thickBot="1" x14ac:dyDescent="0.25">
      <c r="A765" s="602" t="s">
        <v>187</v>
      </c>
      <c r="B765" s="1015" t="s">
        <v>187</v>
      </c>
      <c r="C765" s="1016" t="s">
        <v>187</v>
      </c>
      <c r="D765" s="616"/>
      <c r="E765" s="609"/>
      <c r="F765" s="677"/>
      <c r="G765" s="610"/>
      <c r="H765" s="611"/>
      <c r="I765" s="612"/>
      <c r="J765" s="613"/>
      <c r="K765" s="617">
        <f t="shared" si="789"/>
        <v>0</v>
      </c>
      <c r="L765" s="615" t="s">
        <v>783</v>
      </c>
      <c r="M765" s="92"/>
      <c r="N765" s="92"/>
      <c r="O765" s="93">
        <f t="shared" si="795"/>
        <v>0</v>
      </c>
      <c r="P765" s="93">
        <f t="shared" si="790"/>
        <v>0</v>
      </c>
      <c r="Q765" s="94"/>
      <c r="R765" s="92">
        <f t="shared" si="791"/>
        <v>0</v>
      </c>
      <c r="S765" s="92">
        <f t="shared" si="792"/>
        <v>0</v>
      </c>
      <c r="T765" s="93">
        <f t="shared" si="793"/>
        <v>0</v>
      </c>
      <c r="U765" s="95">
        <f t="shared" si="794"/>
        <v>0</v>
      </c>
      <c r="V765" s="94"/>
      <c r="X765" s="580" t="str">
        <f t="shared" si="796"/>
        <v/>
      </c>
      <c r="Y765" s="580" t="str">
        <f t="shared" si="517"/>
        <v/>
      </c>
      <c r="Z765" s="580" t="str">
        <f t="shared" si="716"/>
        <v/>
      </c>
    </row>
    <row r="766" spans="1:26" ht="13.5" hidden="1" thickBot="1" x14ac:dyDescent="0.25">
      <c r="A766" s="602" t="s">
        <v>187</v>
      </c>
      <c r="B766" s="1015" t="s">
        <v>187</v>
      </c>
      <c r="C766" s="1016" t="s">
        <v>187</v>
      </c>
      <c r="D766" s="616"/>
      <c r="E766" s="609"/>
      <c r="F766" s="677"/>
      <c r="G766" s="610"/>
      <c r="H766" s="611"/>
      <c r="I766" s="612"/>
      <c r="J766" s="613"/>
      <c r="K766" s="617">
        <f t="shared" si="789"/>
        <v>0</v>
      </c>
      <c r="L766" s="615" t="s">
        <v>783</v>
      </c>
      <c r="M766" s="92"/>
      <c r="N766" s="92"/>
      <c r="O766" s="93">
        <f t="shared" si="795"/>
        <v>0</v>
      </c>
      <c r="P766" s="93">
        <f t="shared" si="790"/>
        <v>0</v>
      </c>
      <c r="Q766" s="94"/>
      <c r="R766" s="92">
        <f t="shared" si="791"/>
        <v>0</v>
      </c>
      <c r="S766" s="92">
        <f t="shared" si="792"/>
        <v>0</v>
      </c>
      <c r="T766" s="93">
        <f t="shared" si="793"/>
        <v>0</v>
      </c>
      <c r="U766" s="95">
        <f t="shared" si="794"/>
        <v>0</v>
      </c>
      <c r="V766" s="94"/>
      <c r="X766" s="580" t="str">
        <f t="shared" si="796"/>
        <v/>
      </c>
      <c r="Y766" s="580" t="str">
        <f t="shared" si="517"/>
        <v/>
      </c>
      <c r="Z766" s="580" t="str">
        <f t="shared" si="716"/>
        <v/>
      </c>
    </row>
    <row r="767" spans="1:26" ht="13.5" hidden="1" thickBot="1" x14ac:dyDescent="0.25">
      <c r="A767" s="602" t="s">
        <v>187</v>
      </c>
      <c r="B767" s="1015" t="s">
        <v>187</v>
      </c>
      <c r="C767" s="1016" t="s">
        <v>187</v>
      </c>
      <c r="D767" s="616"/>
      <c r="E767" s="609"/>
      <c r="F767" s="677"/>
      <c r="G767" s="610"/>
      <c r="H767" s="611"/>
      <c r="I767" s="612"/>
      <c r="J767" s="613"/>
      <c r="K767" s="617">
        <f t="shared" si="789"/>
        <v>0</v>
      </c>
      <c r="L767" s="615" t="s">
        <v>783</v>
      </c>
      <c r="M767" s="92"/>
      <c r="N767" s="92"/>
      <c r="O767" s="93">
        <f t="shared" si="795"/>
        <v>0</v>
      </c>
      <c r="P767" s="93">
        <f t="shared" si="790"/>
        <v>0</v>
      </c>
      <c r="Q767" s="94"/>
      <c r="R767" s="92">
        <f t="shared" si="791"/>
        <v>0</v>
      </c>
      <c r="S767" s="92">
        <f t="shared" si="792"/>
        <v>0</v>
      </c>
      <c r="T767" s="93">
        <f t="shared" si="793"/>
        <v>0</v>
      </c>
      <c r="U767" s="95">
        <f t="shared" si="794"/>
        <v>0</v>
      </c>
      <c r="V767" s="94"/>
      <c r="X767" s="580" t="str">
        <f t="shared" si="796"/>
        <v/>
      </c>
      <c r="Y767" s="580" t="str">
        <f t="shared" si="517"/>
        <v/>
      </c>
      <c r="Z767" s="580" t="str">
        <f t="shared" si="716"/>
        <v/>
      </c>
    </row>
    <row r="768" spans="1:26" ht="13.5" hidden="1" thickBot="1" x14ac:dyDescent="0.25">
      <c r="A768" s="602" t="s">
        <v>187</v>
      </c>
      <c r="B768" s="1015" t="s">
        <v>187</v>
      </c>
      <c r="C768" s="1016" t="s">
        <v>187</v>
      </c>
      <c r="D768" s="616"/>
      <c r="E768" s="609"/>
      <c r="F768" s="677"/>
      <c r="G768" s="610"/>
      <c r="H768" s="611"/>
      <c r="I768" s="612"/>
      <c r="J768" s="613"/>
      <c r="K768" s="617">
        <f t="shared" si="789"/>
        <v>0</v>
      </c>
      <c r="L768" s="615" t="s">
        <v>783</v>
      </c>
      <c r="M768" s="92"/>
      <c r="N768" s="92"/>
      <c r="O768" s="93">
        <f t="shared" si="795"/>
        <v>0</v>
      </c>
      <c r="P768" s="93">
        <f t="shared" si="790"/>
        <v>0</v>
      </c>
      <c r="Q768" s="94"/>
      <c r="R768" s="92">
        <f t="shared" si="791"/>
        <v>0</v>
      </c>
      <c r="S768" s="92">
        <f t="shared" si="792"/>
        <v>0</v>
      </c>
      <c r="T768" s="93">
        <f t="shared" si="793"/>
        <v>0</v>
      </c>
      <c r="U768" s="95">
        <f t="shared" si="794"/>
        <v>0</v>
      </c>
      <c r="V768" s="94"/>
      <c r="X768" s="580" t="str">
        <f t="shared" si="796"/>
        <v/>
      </c>
      <c r="Y768" s="580" t="str">
        <f t="shared" si="517"/>
        <v/>
      </c>
      <c r="Z768" s="580" t="str">
        <f t="shared" si="716"/>
        <v/>
      </c>
    </row>
    <row r="769" spans="1:26" ht="13.5" hidden="1" thickBot="1" x14ac:dyDescent="0.25">
      <c r="A769" s="602" t="s">
        <v>187</v>
      </c>
      <c r="B769" s="1015" t="s">
        <v>187</v>
      </c>
      <c r="C769" s="1016" t="s">
        <v>187</v>
      </c>
      <c r="D769" s="616"/>
      <c r="E769" s="609"/>
      <c r="F769" s="677"/>
      <c r="G769" s="610"/>
      <c r="H769" s="611"/>
      <c r="I769" s="612"/>
      <c r="J769" s="613"/>
      <c r="K769" s="617">
        <f t="shared" si="789"/>
        <v>0</v>
      </c>
      <c r="L769" s="615" t="s">
        <v>783</v>
      </c>
      <c r="M769" s="92"/>
      <c r="N769" s="92"/>
      <c r="O769" s="93">
        <f t="shared" si="795"/>
        <v>0</v>
      </c>
      <c r="P769" s="93">
        <f t="shared" si="790"/>
        <v>0</v>
      </c>
      <c r="Q769" s="94"/>
      <c r="R769" s="92">
        <f t="shared" si="791"/>
        <v>0</v>
      </c>
      <c r="S769" s="92">
        <f t="shared" si="792"/>
        <v>0</v>
      </c>
      <c r="T769" s="93">
        <f t="shared" si="793"/>
        <v>0</v>
      </c>
      <c r="U769" s="95">
        <f t="shared" si="794"/>
        <v>0</v>
      </c>
      <c r="V769" s="94"/>
      <c r="X769" s="580" t="str">
        <f t="shared" si="796"/>
        <v/>
      </c>
      <c r="Y769" s="580" t="str">
        <f t="shared" si="517"/>
        <v/>
      </c>
      <c r="Z769" s="580" t="str">
        <f t="shared" si="716"/>
        <v/>
      </c>
    </row>
    <row r="770" spans="1:26" ht="13.5" hidden="1" thickBot="1" x14ac:dyDescent="0.25">
      <c r="A770" s="602" t="s">
        <v>187</v>
      </c>
      <c r="B770" s="1015" t="s">
        <v>187</v>
      </c>
      <c r="C770" s="1016" t="s">
        <v>187</v>
      </c>
      <c r="D770" s="616"/>
      <c r="E770" s="609"/>
      <c r="F770" s="677"/>
      <c r="G770" s="610"/>
      <c r="H770" s="611"/>
      <c r="I770" s="612"/>
      <c r="J770" s="613"/>
      <c r="K770" s="617">
        <f t="shared" si="789"/>
        <v>0</v>
      </c>
      <c r="L770" s="615" t="s">
        <v>783</v>
      </c>
      <c r="M770" s="92"/>
      <c r="N770" s="92"/>
      <c r="O770" s="93">
        <f t="shared" si="795"/>
        <v>0</v>
      </c>
      <c r="P770" s="93">
        <f t="shared" si="790"/>
        <v>0</v>
      </c>
      <c r="Q770" s="94"/>
      <c r="R770" s="92">
        <f t="shared" si="791"/>
        <v>0</v>
      </c>
      <c r="S770" s="92">
        <f t="shared" si="792"/>
        <v>0</v>
      </c>
      <c r="T770" s="93">
        <f t="shared" si="793"/>
        <v>0</v>
      </c>
      <c r="U770" s="95">
        <f t="shared" si="794"/>
        <v>0</v>
      </c>
      <c r="V770" s="94"/>
      <c r="X770" s="580" t="str">
        <f t="shared" si="796"/>
        <v/>
      </c>
      <c r="Y770" s="580" t="str">
        <f t="shared" si="517"/>
        <v/>
      </c>
      <c r="Z770" s="580" t="str">
        <f t="shared" si="716"/>
        <v/>
      </c>
    </row>
    <row r="771" spans="1:26" ht="13.5" hidden="1" thickBot="1" x14ac:dyDescent="0.25">
      <c r="A771" s="602" t="s">
        <v>187</v>
      </c>
      <c r="B771" s="1015" t="s">
        <v>187</v>
      </c>
      <c r="C771" s="1016" t="s">
        <v>187</v>
      </c>
      <c r="D771" s="616"/>
      <c r="E771" s="609"/>
      <c r="F771" s="677"/>
      <c r="G771" s="610"/>
      <c r="H771" s="611"/>
      <c r="I771" s="612"/>
      <c r="J771" s="613"/>
      <c r="K771" s="617">
        <f t="shared" si="789"/>
        <v>0</v>
      </c>
      <c r="L771" s="615" t="s">
        <v>783</v>
      </c>
      <c r="M771" s="92"/>
      <c r="N771" s="92"/>
      <c r="O771" s="93">
        <f t="shared" si="795"/>
        <v>0</v>
      </c>
      <c r="P771" s="93">
        <f t="shared" si="790"/>
        <v>0</v>
      </c>
      <c r="Q771" s="94"/>
      <c r="R771" s="92">
        <f t="shared" si="791"/>
        <v>0</v>
      </c>
      <c r="S771" s="92">
        <f t="shared" si="792"/>
        <v>0</v>
      </c>
      <c r="T771" s="93">
        <f t="shared" si="793"/>
        <v>0</v>
      </c>
      <c r="U771" s="95">
        <f t="shared" si="794"/>
        <v>0</v>
      </c>
      <c r="V771" s="94"/>
      <c r="X771" s="580" t="str">
        <f t="shared" si="796"/>
        <v/>
      </c>
      <c r="Y771" s="580" t="str">
        <f t="shared" si="517"/>
        <v/>
      </c>
      <c r="Z771" s="580" t="str">
        <f t="shared" si="716"/>
        <v/>
      </c>
    </row>
    <row r="772" spans="1:26" ht="13.5" hidden="1" thickBot="1" x14ac:dyDescent="0.25">
      <c r="A772" s="602" t="s">
        <v>187</v>
      </c>
      <c r="B772" s="1015" t="s">
        <v>187</v>
      </c>
      <c r="C772" s="1016" t="s">
        <v>187</v>
      </c>
      <c r="D772" s="616"/>
      <c r="E772" s="609"/>
      <c r="F772" s="677"/>
      <c r="G772" s="610"/>
      <c r="H772" s="611"/>
      <c r="I772" s="612"/>
      <c r="J772" s="613"/>
      <c r="K772" s="617">
        <f t="shared" si="789"/>
        <v>0</v>
      </c>
      <c r="L772" s="615" t="s">
        <v>783</v>
      </c>
      <c r="M772" s="92"/>
      <c r="N772" s="92"/>
      <c r="O772" s="93">
        <f t="shared" ref="O772:O775" si="797">IF(ISBLANK(M772),0,ROUND(K772*M772,2))</f>
        <v>0</v>
      </c>
      <c r="P772" s="93">
        <f t="shared" ref="P772:P775" si="798">IF(ISBLANK(N772),0,ROUND(M772*N772,2))</f>
        <v>0</v>
      </c>
      <c r="Q772" s="94"/>
      <c r="R772" s="92">
        <f t="shared" ref="R772:R775" si="799">M772</f>
        <v>0</v>
      </c>
      <c r="S772" s="92">
        <f t="shared" ref="S772:S775" si="800">N772</f>
        <v>0</v>
      </c>
      <c r="T772" s="93">
        <f t="shared" ref="T772:T775" si="801">IF(ISBLANK(R772),0,ROUND(K772*R772,2))</f>
        <v>0</v>
      </c>
      <c r="U772" s="95">
        <f t="shared" ref="U772:U775" si="802">IF(ISBLANK(R772),0,ROUND(R772*S772,2))</f>
        <v>0</v>
      </c>
      <c r="V772" s="94"/>
      <c r="X772" s="580" t="str">
        <f t="shared" si="796"/>
        <v/>
      </c>
      <c r="Y772" s="580" t="str">
        <f t="shared" si="517"/>
        <v/>
      </c>
      <c r="Z772" s="580" t="str">
        <f t="shared" si="716"/>
        <v/>
      </c>
    </row>
    <row r="773" spans="1:26" ht="13.5" hidden="1" thickBot="1" x14ac:dyDescent="0.25">
      <c r="A773" s="602" t="s">
        <v>187</v>
      </c>
      <c r="B773" s="1015" t="s">
        <v>187</v>
      </c>
      <c r="C773" s="1016" t="s">
        <v>187</v>
      </c>
      <c r="D773" s="616"/>
      <c r="E773" s="609"/>
      <c r="F773" s="677"/>
      <c r="G773" s="610"/>
      <c r="H773" s="611"/>
      <c r="I773" s="612"/>
      <c r="J773" s="613"/>
      <c r="K773" s="617">
        <f t="shared" si="789"/>
        <v>0</v>
      </c>
      <c r="L773" s="615" t="s">
        <v>783</v>
      </c>
      <c r="M773" s="92"/>
      <c r="N773" s="92"/>
      <c r="O773" s="93">
        <f t="shared" si="797"/>
        <v>0</v>
      </c>
      <c r="P773" s="93">
        <f t="shared" si="798"/>
        <v>0</v>
      </c>
      <c r="Q773" s="94"/>
      <c r="R773" s="92">
        <f t="shared" si="799"/>
        <v>0</v>
      </c>
      <c r="S773" s="92">
        <f t="shared" si="800"/>
        <v>0</v>
      </c>
      <c r="T773" s="93">
        <f t="shared" si="801"/>
        <v>0</v>
      </c>
      <c r="U773" s="95">
        <f t="shared" si="802"/>
        <v>0</v>
      </c>
      <c r="V773" s="94"/>
      <c r="X773" s="580" t="str">
        <f t="shared" si="796"/>
        <v/>
      </c>
      <c r="Y773" s="580"/>
      <c r="Z773" s="580"/>
    </row>
    <row r="774" spans="1:26" ht="13.5" hidden="1" thickBot="1" x14ac:dyDescent="0.25">
      <c r="A774" s="602" t="s">
        <v>187</v>
      </c>
      <c r="B774" s="1015" t="s">
        <v>187</v>
      </c>
      <c r="C774" s="1016" t="s">
        <v>187</v>
      </c>
      <c r="D774" s="616"/>
      <c r="E774" s="609"/>
      <c r="F774" s="677"/>
      <c r="G774" s="610"/>
      <c r="H774" s="611"/>
      <c r="I774" s="612"/>
      <c r="J774" s="613"/>
      <c r="K774" s="617">
        <f t="shared" si="789"/>
        <v>0</v>
      </c>
      <c r="L774" s="615" t="s">
        <v>783</v>
      </c>
      <c r="M774" s="92"/>
      <c r="N774" s="92"/>
      <c r="O774" s="93">
        <f t="shared" si="797"/>
        <v>0</v>
      </c>
      <c r="P774" s="93">
        <f t="shared" si="798"/>
        <v>0</v>
      </c>
      <c r="Q774" s="94"/>
      <c r="R774" s="92">
        <f t="shared" si="799"/>
        <v>0</v>
      </c>
      <c r="S774" s="92">
        <f t="shared" si="800"/>
        <v>0</v>
      </c>
      <c r="T774" s="93">
        <f t="shared" si="801"/>
        <v>0</v>
      </c>
      <c r="U774" s="95">
        <f t="shared" si="802"/>
        <v>0</v>
      </c>
      <c r="V774" s="94"/>
      <c r="X774" s="580" t="str">
        <f t="shared" si="796"/>
        <v/>
      </c>
      <c r="Y774" s="580" t="str">
        <f t="shared" si="517"/>
        <v/>
      </c>
      <c r="Z774" s="580" t="str">
        <f t="shared" si="716"/>
        <v/>
      </c>
    </row>
    <row r="775" spans="1:26" ht="13.5" hidden="1" thickBot="1" x14ac:dyDescent="0.25">
      <c r="A775" s="602" t="s">
        <v>187</v>
      </c>
      <c r="B775" s="1015" t="s">
        <v>187</v>
      </c>
      <c r="C775" s="1016" t="s">
        <v>187</v>
      </c>
      <c r="D775" s="616"/>
      <c r="E775" s="609"/>
      <c r="F775" s="677"/>
      <c r="G775" s="610"/>
      <c r="H775" s="611"/>
      <c r="I775" s="612"/>
      <c r="J775" s="613"/>
      <c r="K775" s="617">
        <f t="shared" si="789"/>
        <v>0</v>
      </c>
      <c r="L775" s="615" t="s">
        <v>783</v>
      </c>
      <c r="M775" s="92"/>
      <c r="N775" s="92"/>
      <c r="O775" s="93">
        <f t="shared" si="797"/>
        <v>0</v>
      </c>
      <c r="P775" s="93">
        <f t="shared" si="798"/>
        <v>0</v>
      </c>
      <c r="Q775" s="94"/>
      <c r="R775" s="92">
        <f t="shared" si="799"/>
        <v>0</v>
      </c>
      <c r="S775" s="92">
        <f t="shared" si="800"/>
        <v>0</v>
      </c>
      <c r="T775" s="93">
        <f t="shared" si="801"/>
        <v>0</v>
      </c>
      <c r="U775" s="95">
        <f t="shared" si="802"/>
        <v>0</v>
      </c>
      <c r="V775" s="94"/>
      <c r="X775" s="580" t="str">
        <f t="shared" si="796"/>
        <v/>
      </c>
      <c r="Y775" s="580" t="str">
        <f t="shared" si="517"/>
        <v/>
      </c>
      <c r="Z775" s="580" t="str">
        <f t="shared" si="716"/>
        <v/>
      </c>
    </row>
    <row r="776" spans="1:26" ht="13.5" hidden="1" thickBot="1" x14ac:dyDescent="0.25">
      <c r="A776" s="602" t="s">
        <v>187</v>
      </c>
      <c r="B776" s="1015" t="s">
        <v>187</v>
      </c>
      <c r="C776" s="1016" t="s">
        <v>187</v>
      </c>
      <c r="D776" s="616"/>
      <c r="E776" s="609"/>
      <c r="F776" s="677"/>
      <c r="G776" s="610"/>
      <c r="H776" s="611"/>
      <c r="I776" s="612"/>
      <c r="J776" s="613"/>
      <c r="K776" s="617">
        <f t="shared" si="789"/>
        <v>0</v>
      </c>
      <c r="L776" s="615" t="s">
        <v>783</v>
      </c>
      <c r="M776" s="92"/>
      <c r="N776" s="92"/>
      <c r="O776" s="93">
        <f t="shared" si="795"/>
        <v>0</v>
      </c>
      <c r="P776" s="93">
        <f t="shared" si="790"/>
        <v>0</v>
      </c>
      <c r="Q776" s="94"/>
      <c r="R776" s="92">
        <f t="shared" si="791"/>
        <v>0</v>
      </c>
      <c r="S776" s="92">
        <f t="shared" si="792"/>
        <v>0</v>
      </c>
      <c r="T776" s="93">
        <f t="shared" si="793"/>
        <v>0</v>
      </c>
      <c r="U776" s="95">
        <f t="shared" si="794"/>
        <v>0</v>
      </c>
      <c r="V776" s="94"/>
      <c r="X776" s="580" t="str">
        <f t="shared" si="796"/>
        <v/>
      </c>
      <c r="Y776" s="580" t="str">
        <f t="shared" si="517"/>
        <v/>
      </c>
      <c r="Z776" s="580" t="str">
        <f t="shared" si="716"/>
        <v/>
      </c>
    </row>
    <row r="777" spans="1:26" ht="13.5" hidden="1" thickBot="1" x14ac:dyDescent="0.25">
      <c r="A777" s="602" t="s">
        <v>187</v>
      </c>
      <c r="B777" s="1015" t="s">
        <v>187</v>
      </c>
      <c r="C777" s="1016" t="s">
        <v>187</v>
      </c>
      <c r="D777" s="616"/>
      <c r="E777" s="609"/>
      <c r="F777" s="677"/>
      <c r="G777" s="610"/>
      <c r="H777" s="611"/>
      <c r="I777" s="612"/>
      <c r="J777" s="613"/>
      <c r="K777" s="617">
        <f t="shared" si="789"/>
        <v>0</v>
      </c>
      <c r="L777" s="615" t="s">
        <v>783</v>
      </c>
      <c r="M777" s="92"/>
      <c r="N777" s="92"/>
      <c r="O777" s="93">
        <f t="shared" si="795"/>
        <v>0</v>
      </c>
      <c r="P777" s="93">
        <f t="shared" si="790"/>
        <v>0</v>
      </c>
      <c r="Q777" s="94"/>
      <c r="R777" s="92">
        <f t="shared" si="791"/>
        <v>0</v>
      </c>
      <c r="S777" s="92">
        <f t="shared" si="792"/>
        <v>0</v>
      </c>
      <c r="T777" s="93">
        <f t="shared" si="793"/>
        <v>0</v>
      </c>
      <c r="U777" s="95">
        <f t="shared" si="794"/>
        <v>0</v>
      </c>
      <c r="V777" s="94"/>
      <c r="X777" s="580" t="str">
        <f t="shared" si="796"/>
        <v/>
      </c>
      <c r="Y777" s="580" t="str">
        <f t="shared" si="517"/>
        <v/>
      </c>
      <c r="Z777" s="580" t="str">
        <f t="shared" si="716"/>
        <v/>
      </c>
    </row>
    <row r="778" spans="1:26" ht="13.5" hidden="1" thickBot="1" x14ac:dyDescent="0.25">
      <c r="A778" s="602" t="s">
        <v>187</v>
      </c>
      <c r="B778" s="1017" t="s">
        <v>187</v>
      </c>
      <c r="C778" s="1018" t="s">
        <v>187</v>
      </c>
      <c r="D778" s="619"/>
      <c r="E778" s="620"/>
      <c r="F778" s="678"/>
      <c r="G778" s="621"/>
      <c r="H778" s="622"/>
      <c r="I778" s="623"/>
      <c r="J778" s="624"/>
      <c r="K778" s="625">
        <f t="shared" si="789"/>
        <v>0</v>
      </c>
      <c r="L778" s="626" t="s">
        <v>783</v>
      </c>
      <c r="M778" s="92"/>
      <c r="N778" s="92"/>
      <c r="O778" s="627">
        <f t="shared" si="795"/>
        <v>0</v>
      </c>
      <c r="P778" s="627">
        <f t="shared" si="790"/>
        <v>0</v>
      </c>
      <c r="Q778" s="94"/>
      <c r="R778" s="92">
        <f t="shared" si="791"/>
        <v>0</v>
      </c>
      <c r="S778" s="92">
        <f t="shared" si="792"/>
        <v>0</v>
      </c>
      <c r="T778" s="627">
        <f t="shared" si="793"/>
        <v>0</v>
      </c>
      <c r="U778" s="628">
        <f t="shared" si="794"/>
        <v>0</v>
      </c>
      <c r="V778" s="94"/>
      <c r="X778" s="580" t="str">
        <f t="shared" si="796"/>
        <v/>
      </c>
      <c r="Y778" s="580" t="str">
        <f t="shared" si="517"/>
        <v/>
      </c>
      <c r="Z778" s="580" t="str">
        <f t="shared" si="716"/>
        <v/>
      </c>
    </row>
    <row r="779" spans="1:26" ht="13.5" thickBot="1" x14ac:dyDescent="0.25">
      <c r="A779" s="97" t="s">
        <v>340</v>
      </c>
      <c r="B779" s="1124" t="s">
        <v>340</v>
      </c>
      <c r="C779" s="1125"/>
      <c r="D779" s="1126" t="s">
        <v>506</v>
      </c>
      <c r="E779" s="1102"/>
      <c r="F779" s="679"/>
      <c r="G779" s="574"/>
      <c r="H779" s="77"/>
      <c r="I779" s="576"/>
      <c r="J779" s="576"/>
      <c r="K779" s="576"/>
      <c r="L779" s="576" t="s">
        <v>783</v>
      </c>
      <c r="M779" s="575"/>
      <c r="N779" s="576"/>
      <c r="O779" s="576"/>
      <c r="P779" s="577"/>
      <c r="Q779" s="578">
        <f>SUM(P780:P1638)</f>
        <v>53857.54</v>
      </c>
      <c r="R779" s="1103"/>
      <c r="S779" s="1104"/>
      <c r="T779" s="1104"/>
      <c r="U779" s="1105"/>
      <c r="V779" s="1106">
        <f>SUM(U780:U1638)</f>
        <v>52935.519999999997</v>
      </c>
      <c r="W779" s="579" t="str">
        <f>IF(OR(Q779&gt;0,V779&gt;0),"X","")</f>
        <v>X</v>
      </c>
      <c r="X779" s="580" t="str">
        <f t="shared" si="796"/>
        <v>x</v>
      </c>
      <c r="Y779" s="580" t="str">
        <f t="shared" si="517"/>
        <v>x</v>
      </c>
      <c r="Z779" s="580" t="str">
        <f t="shared" si="716"/>
        <v>x</v>
      </c>
    </row>
    <row r="780" spans="1:26" hidden="1" x14ac:dyDescent="0.2">
      <c r="A780" s="97">
        <v>702</v>
      </c>
      <c r="B780" s="1031">
        <v>702</v>
      </c>
      <c r="C780" s="978" t="s">
        <v>494</v>
      </c>
      <c r="D780" s="595" t="s">
        <v>549</v>
      </c>
      <c r="E780" s="596"/>
      <c r="F780" s="671">
        <v>0</v>
      </c>
      <c r="G780" s="597"/>
      <c r="H780" s="682">
        <v>0</v>
      </c>
      <c r="I780" s="592">
        <v>456.36</v>
      </c>
      <c r="J780" s="592">
        <f t="shared" ref="J780:J785" si="803">IF(ISBLANK(I780),"",SUM(H780:I780))</f>
        <v>456.36</v>
      </c>
      <c r="K780" s="593">
        <f t="shared" ref="K780:K843" si="804">IF(ISBLANK(I780),0,ROUND(J780*(1+$F$10)*(1+$F$11*E780),2))</f>
        <v>555.44000000000005</v>
      </c>
      <c r="L780" s="594" t="s">
        <v>174</v>
      </c>
      <c r="M780" s="92"/>
      <c r="N780" s="92"/>
      <c r="O780" s="93">
        <f t="shared" ref="O780:O785" si="805">IF(ISBLANK(M780),0,ROUND(K780*M780,2))</f>
        <v>0</v>
      </c>
      <c r="P780" s="93">
        <f t="shared" ref="P780:P785" si="806">IF(ISBLANK(N780),0,ROUND(M780*N780,2))</f>
        <v>0</v>
      </c>
      <c r="Q780" s="94"/>
      <c r="R780" s="92">
        <f t="shared" ref="R780:R785" si="807">M780</f>
        <v>0</v>
      </c>
      <c r="S780" s="92">
        <f t="shared" ref="S780:S785" si="808">N780</f>
        <v>0</v>
      </c>
      <c r="T780" s="93">
        <f t="shared" ref="T780:T785" si="809">IF(ISBLANK(R780),0,ROUND(K780*R780,2))</f>
        <v>0</v>
      </c>
      <c r="U780" s="95">
        <f t="shared" ref="U780:U785" si="810">IF(ISBLANK(R780),0,ROUND(R780*S780,2))</f>
        <v>0</v>
      </c>
      <c r="V780" s="94"/>
      <c r="X780" s="580" t="str">
        <f t="shared" si="796"/>
        <v/>
      </c>
      <c r="Y780" s="580" t="str">
        <f t="shared" si="517"/>
        <v/>
      </c>
      <c r="Z780" s="580" t="str">
        <f t="shared" si="716"/>
        <v/>
      </c>
    </row>
    <row r="781" spans="1:26" hidden="1" x14ac:dyDescent="0.2">
      <c r="A781" s="97">
        <v>703</v>
      </c>
      <c r="B781" s="1031">
        <v>703</v>
      </c>
      <c r="C781" s="978" t="s">
        <v>494</v>
      </c>
      <c r="D781" s="595" t="s">
        <v>550</v>
      </c>
      <c r="E781" s="596"/>
      <c r="F781" s="671">
        <v>0</v>
      </c>
      <c r="G781" s="597"/>
      <c r="H781" s="682">
        <v>0</v>
      </c>
      <c r="I781" s="592">
        <v>57.9</v>
      </c>
      <c r="J781" s="592">
        <f t="shared" si="803"/>
        <v>57.9</v>
      </c>
      <c r="K781" s="593">
        <f t="shared" si="804"/>
        <v>70.47</v>
      </c>
      <c r="L781" s="594" t="s">
        <v>21</v>
      </c>
      <c r="M781" s="92"/>
      <c r="N781" s="92"/>
      <c r="O781" s="93">
        <f t="shared" si="805"/>
        <v>0</v>
      </c>
      <c r="P781" s="93">
        <f t="shared" si="806"/>
        <v>0</v>
      </c>
      <c r="Q781" s="94"/>
      <c r="R781" s="92">
        <f t="shared" si="807"/>
        <v>0</v>
      </c>
      <c r="S781" s="92">
        <f t="shared" si="808"/>
        <v>0</v>
      </c>
      <c r="T781" s="93">
        <f t="shared" si="809"/>
        <v>0</v>
      </c>
      <c r="U781" s="95">
        <f t="shared" si="810"/>
        <v>0</v>
      </c>
      <c r="V781" s="94"/>
      <c r="X781" s="580" t="str">
        <f t="shared" si="796"/>
        <v/>
      </c>
      <c r="Y781" s="580" t="str">
        <f t="shared" si="517"/>
        <v/>
      </c>
      <c r="Z781" s="580" t="str">
        <f t="shared" si="716"/>
        <v/>
      </c>
    </row>
    <row r="782" spans="1:26" hidden="1" x14ac:dyDescent="0.2">
      <c r="A782" s="97">
        <v>704</v>
      </c>
      <c r="B782" s="1031">
        <v>704</v>
      </c>
      <c r="C782" s="978" t="s">
        <v>494</v>
      </c>
      <c r="D782" s="595" t="s">
        <v>551</v>
      </c>
      <c r="E782" s="596"/>
      <c r="F782" s="671">
        <v>0</v>
      </c>
      <c r="G782" s="597"/>
      <c r="H782" s="682">
        <v>0</v>
      </c>
      <c r="I782" s="592">
        <v>44.54</v>
      </c>
      <c r="J782" s="592">
        <f t="shared" si="803"/>
        <v>44.54</v>
      </c>
      <c r="K782" s="593">
        <f t="shared" si="804"/>
        <v>54.21</v>
      </c>
      <c r="L782" s="594" t="s">
        <v>21</v>
      </c>
      <c r="M782" s="92"/>
      <c r="N782" s="92"/>
      <c r="O782" s="93">
        <f t="shared" si="805"/>
        <v>0</v>
      </c>
      <c r="P782" s="93">
        <f t="shared" si="806"/>
        <v>0</v>
      </c>
      <c r="Q782" s="94"/>
      <c r="R782" s="92">
        <f t="shared" si="807"/>
        <v>0</v>
      </c>
      <c r="S782" s="92">
        <f t="shared" si="808"/>
        <v>0</v>
      </c>
      <c r="T782" s="93">
        <f t="shared" si="809"/>
        <v>0</v>
      </c>
      <c r="U782" s="95">
        <f t="shared" si="810"/>
        <v>0</v>
      </c>
      <c r="V782" s="94"/>
      <c r="X782" s="580" t="str">
        <f t="shared" si="796"/>
        <v/>
      </c>
      <c r="Y782" s="580" t="str">
        <f t="shared" si="517"/>
        <v/>
      </c>
      <c r="Z782" s="580" t="str">
        <f t="shared" si="716"/>
        <v/>
      </c>
    </row>
    <row r="783" spans="1:26" hidden="1" x14ac:dyDescent="0.2">
      <c r="A783" s="97">
        <v>740</v>
      </c>
      <c r="B783" s="1031">
        <v>740</v>
      </c>
      <c r="C783" s="978" t="s">
        <v>494</v>
      </c>
      <c r="D783" s="595" t="s">
        <v>691</v>
      </c>
      <c r="E783" s="596"/>
      <c r="F783" s="671">
        <v>0</v>
      </c>
      <c r="G783" s="597"/>
      <c r="H783" s="682">
        <v>0</v>
      </c>
      <c r="I783" s="592">
        <v>54.82</v>
      </c>
      <c r="J783" s="592">
        <f t="shared" si="803"/>
        <v>54.82</v>
      </c>
      <c r="K783" s="593">
        <f t="shared" si="804"/>
        <v>66.72</v>
      </c>
      <c r="L783" s="594" t="s">
        <v>21</v>
      </c>
      <c r="M783" s="92"/>
      <c r="N783" s="92"/>
      <c r="O783" s="93">
        <f t="shared" si="805"/>
        <v>0</v>
      </c>
      <c r="P783" s="93">
        <f t="shared" si="806"/>
        <v>0</v>
      </c>
      <c r="Q783" s="94"/>
      <c r="R783" s="92">
        <f t="shared" si="807"/>
        <v>0</v>
      </c>
      <c r="S783" s="92">
        <f t="shared" si="808"/>
        <v>0</v>
      </c>
      <c r="T783" s="93">
        <f t="shared" si="809"/>
        <v>0</v>
      </c>
      <c r="U783" s="95">
        <f t="shared" si="810"/>
        <v>0</v>
      </c>
      <c r="V783" s="94"/>
      <c r="X783" s="580" t="str">
        <f t="shared" si="796"/>
        <v/>
      </c>
      <c r="Y783" s="580" t="str">
        <f t="shared" ref="Y783:Y1642" si="811">IF(W783="X","x",IF(W783="y","x",IF(W783="xx","x",IF(U783&gt;0,"x",""))))</f>
        <v/>
      </c>
      <c r="Z783" s="580" t="str">
        <f t="shared" si="716"/>
        <v/>
      </c>
    </row>
    <row r="784" spans="1:26" hidden="1" x14ac:dyDescent="0.2">
      <c r="A784" s="97">
        <v>741</v>
      </c>
      <c r="B784" s="1031">
        <v>741</v>
      </c>
      <c r="C784" s="978" t="s">
        <v>494</v>
      </c>
      <c r="D784" s="595" t="s">
        <v>692</v>
      </c>
      <c r="E784" s="596"/>
      <c r="F784" s="671"/>
      <c r="G784" s="597"/>
      <c r="H784" s="682"/>
      <c r="I784" s="592">
        <v>149.38</v>
      </c>
      <c r="J784" s="592">
        <f t="shared" si="803"/>
        <v>149.38</v>
      </c>
      <c r="K784" s="593">
        <f t="shared" si="804"/>
        <v>181.81</v>
      </c>
      <c r="L784" s="594" t="s">
        <v>21</v>
      </c>
      <c r="M784" s="92"/>
      <c r="N784" s="92"/>
      <c r="O784" s="93">
        <f t="shared" si="805"/>
        <v>0</v>
      </c>
      <c r="P784" s="93">
        <f t="shared" si="806"/>
        <v>0</v>
      </c>
      <c r="Q784" s="94"/>
      <c r="R784" s="92">
        <f t="shared" si="807"/>
        <v>0</v>
      </c>
      <c r="S784" s="92">
        <f t="shared" si="808"/>
        <v>0</v>
      </c>
      <c r="T784" s="93">
        <f t="shared" si="809"/>
        <v>0</v>
      </c>
      <c r="U784" s="95">
        <f t="shared" si="810"/>
        <v>0</v>
      </c>
      <c r="V784" s="94"/>
      <c r="X784" s="580" t="str">
        <f t="shared" si="796"/>
        <v/>
      </c>
      <c r="Y784" s="580" t="str">
        <f t="shared" si="811"/>
        <v/>
      </c>
      <c r="Z784" s="580" t="str">
        <f t="shared" si="716"/>
        <v/>
      </c>
    </row>
    <row r="785" spans="1:26" hidden="1" x14ac:dyDescent="0.2">
      <c r="A785" s="97">
        <v>742</v>
      </c>
      <c r="B785" s="1031">
        <v>742</v>
      </c>
      <c r="C785" s="978" t="s">
        <v>494</v>
      </c>
      <c r="D785" s="595" t="s">
        <v>643</v>
      </c>
      <c r="E785" s="596"/>
      <c r="F785" s="671"/>
      <c r="G785" s="597"/>
      <c r="H785" s="682"/>
      <c r="I785" s="592">
        <v>45.23</v>
      </c>
      <c r="J785" s="592">
        <f t="shared" si="803"/>
        <v>45.23</v>
      </c>
      <c r="K785" s="593">
        <f t="shared" si="804"/>
        <v>55.05</v>
      </c>
      <c r="L785" s="594" t="s">
        <v>21</v>
      </c>
      <c r="M785" s="92"/>
      <c r="N785" s="92"/>
      <c r="O785" s="93">
        <f t="shared" si="805"/>
        <v>0</v>
      </c>
      <c r="P785" s="93">
        <f t="shared" si="806"/>
        <v>0</v>
      </c>
      <c r="Q785" s="94"/>
      <c r="R785" s="92">
        <f t="shared" si="807"/>
        <v>0</v>
      </c>
      <c r="S785" s="92">
        <f t="shared" si="808"/>
        <v>0</v>
      </c>
      <c r="T785" s="93">
        <f t="shared" si="809"/>
        <v>0</v>
      </c>
      <c r="U785" s="95">
        <f t="shared" si="810"/>
        <v>0</v>
      </c>
      <c r="V785" s="94"/>
      <c r="X785" s="580" t="str">
        <f t="shared" si="796"/>
        <v/>
      </c>
      <c r="Y785" s="580" t="str">
        <f t="shared" si="811"/>
        <v/>
      </c>
      <c r="Z785" s="580" t="str">
        <f t="shared" si="716"/>
        <v/>
      </c>
    </row>
    <row r="786" spans="1:26" hidden="1" x14ac:dyDescent="0.2">
      <c r="A786" s="97" t="s">
        <v>552</v>
      </c>
      <c r="B786" s="1031" t="s">
        <v>552</v>
      </c>
      <c r="C786" s="978" t="s">
        <v>494</v>
      </c>
      <c r="D786" s="595" t="s">
        <v>644</v>
      </c>
      <c r="E786" s="596"/>
      <c r="F786" s="671"/>
      <c r="G786" s="597"/>
      <c r="H786" s="682"/>
      <c r="I786" s="592">
        <v>18.16</v>
      </c>
      <c r="J786" s="592">
        <f t="shared" ref="J786:J787" si="812">IF(ISBLANK(I786),"",SUM(H786:I786))</f>
        <v>18.16</v>
      </c>
      <c r="K786" s="593">
        <f t="shared" si="804"/>
        <v>22.1</v>
      </c>
      <c r="L786" s="594" t="s">
        <v>21</v>
      </c>
      <c r="M786" s="92"/>
      <c r="N786" s="92"/>
      <c r="O786" s="93">
        <f t="shared" ref="O786:O787" si="813">IF(ISBLANK(M786),0,ROUND(K786*M786,2))</f>
        <v>0</v>
      </c>
      <c r="P786" s="93">
        <f t="shared" ref="P786:P787" si="814">IF(ISBLANK(N786),0,ROUND(M786*N786,2))</f>
        <v>0</v>
      </c>
      <c r="Q786" s="94"/>
      <c r="R786" s="92">
        <f t="shared" ref="R786:R787" si="815">M786</f>
        <v>0</v>
      </c>
      <c r="S786" s="92">
        <f t="shared" ref="S786:S787" si="816">N786</f>
        <v>0</v>
      </c>
      <c r="T786" s="93">
        <f t="shared" ref="T786:T787" si="817">IF(ISBLANK(R786),0,ROUND(K786*R786,2))</f>
        <v>0</v>
      </c>
      <c r="U786" s="95">
        <f t="shared" ref="U786:U787" si="818">IF(ISBLANK(R786),0,ROUND(R786*S786,2))</f>
        <v>0</v>
      </c>
      <c r="V786" s="94"/>
      <c r="X786" s="580" t="str">
        <f t="shared" si="796"/>
        <v/>
      </c>
      <c r="Y786" s="580" t="str">
        <f t="shared" si="811"/>
        <v/>
      </c>
      <c r="Z786" s="580" t="str">
        <f t="shared" si="716"/>
        <v/>
      </c>
    </row>
    <row r="787" spans="1:26" hidden="1" x14ac:dyDescent="0.2">
      <c r="A787" s="97">
        <v>743</v>
      </c>
      <c r="B787" s="1031">
        <v>743</v>
      </c>
      <c r="C787" s="978" t="s">
        <v>494</v>
      </c>
      <c r="D787" s="595" t="s">
        <v>645</v>
      </c>
      <c r="E787" s="596"/>
      <c r="F787" s="671"/>
      <c r="G787" s="597"/>
      <c r="H787" s="682"/>
      <c r="I787" s="592">
        <v>222.01</v>
      </c>
      <c r="J787" s="592">
        <f t="shared" si="812"/>
        <v>222.01</v>
      </c>
      <c r="K787" s="593">
        <f t="shared" si="804"/>
        <v>270.20999999999998</v>
      </c>
      <c r="L787" s="594" t="s">
        <v>21</v>
      </c>
      <c r="M787" s="92"/>
      <c r="N787" s="92"/>
      <c r="O787" s="93">
        <f t="shared" si="813"/>
        <v>0</v>
      </c>
      <c r="P787" s="93">
        <f t="shared" si="814"/>
        <v>0</v>
      </c>
      <c r="Q787" s="94"/>
      <c r="R787" s="92">
        <f t="shared" si="815"/>
        <v>0</v>
      </c>
      <c r="S787" s="92">
        <f t="shared" si="816"/>
        <v>0</v>
      </c>
      <c r="T787" s="93">
        <f t="shared" si="817"/>
        <v>0</v>
      </c>
      <c r="U787" s="95">
        <f t="shared" si="818"/>
        <v>0</v>
      </c>
      <c r="V787" s="94"/>
      <c r="X787" s="580" t="str">
        <f t="shared" si="796"/>
        <v/>
      </c>
      <c r="Y787" s="580" t="str">
        <f t="shared" si="811"/>
        <v/>
      </c>
      <c r="Z787" s="580" t="str">
        <f t="shared" si="716"/>
        <v/>
      </c>
    </row>
    <row r="788" spans="1:26" hidden="1" x14ac:dyDescent="0.2">
      <c r="A788" s="97" t="s">
        <v>553</v>
      </c>
      <c r="B788" s="1031" t="s">
        <v>553</v>
      </c>
      <c r="C788" s="978" t="s">
        <v>494</v>
      </c>
      <c r="D788" s="595" t="s">
        <v>646</v>
      </c>
      <c r="E788" s="596"/>
      <c r="F788" s="671"/>
      <c r="G788" s="597"/>
      <c r="H788" s="682"/>
      <c r="I788" s="592">
        <v>88.74</v>
      </c>
      <c r="J788" s="592">
        <f t="shared" ref="J788:J789" si="819">IF(ISBLANK(I788),"",SUM(H788:I788))</f>
        <v>88.74</v>
      </c>
      <c r="K788" s="593">
        <f t="shared" si="804"/>
        <v>108.01</v>
      </c>
      <c r="L788" s="594" t="s">
        <v>21</v>
      </c>
      <c r="M788" s="92"/>
      <c r="N788" s="92"/>
      <c r="O788" s="93">
        <f t="shared" ref="O788:O789" si="820">IF(ISBLANK(M788),0,ROUND(K788*M788,2))</f>
        <v>0</v>
      </c>
      <c r="P788" s="93">
        <f t="shared" ref="P788:P789" si="821">IF(ISBLANK(N788),0,ROUND(M788*N788,2))</f>
        <v>0</v>
      </c>
      <c r="Q788" s="94"/>
      <c r="R788" s="92">
        <f t="shared" ref="R788:R789" si="822">M788</f>
        <v>0</v>
      </c>
      <c r="S788" s="92">
        <f t="shared" ref="S788:S789" si="823">N788</f>
        <v>0</v>
      </c>
      <c r="T788" s="93">
        <f t="shared" ref="T788:T789" si="824">IF(ISBLANK(R788),0,ROUND(K788*R788,2))</f>
        <v>0</v>
      </c>
      <c r="U788" s="95">
        <f t="shared" ref="U788:U789" si="825">IF(ISBLANK(R788),0,ROUND(R788*S788,2))</f>
        <v>0</v>
      </c>
      <c r="V788" s="94"/>
      <c r="X788" s="580" t="str">
        <f t="shared" si="796"/>
        <v/>
      </c>
      <c r="Y788" s="580" t="str">
        <f t="shared" si="811"/>
        <v/>
      </c>
      <c r="Z788" s="580" t="str">
        <f t="shared" si="716"/>
        <v/>
      </c>
    </row>
    <row r="789" spans="1:26" hidden="1" x14ac:dyDescent="0.2">
      <c r="A789" s="97">
        <v>744</v>
      </c>
      <c r="B789" s="1031">
        <v>744</v>
      </c>
      <c r="C789" s="978" t="s">
        <v>494</v>
      </c>
      <c r="D789" s="595" t="s">
        <v>647</v>
      </c>
      <c r="E789" s="596"/>
      <c r="F789" s="671"/>
      <c r="G789" s="597"/>
      <c r="H789" s="682"/>
      <c r="I789" s="592">
        <v>421.76</v>
      </c>
      <c r="J789" s="592">
        <f t="shared" si="819"/>
        <v>421.76</v>
      </c>
      <c r="K789" s="593">
        <f t="shared" si="804"/>
        <v>513.32000000000005</v>
      </c>
      <c r="L789" s="594" t="s">
        <v>21</v>
      </c>
      <c r="M789" s="92"/>
      <c r="N789" s="92"/>
      <c r="O789" s="93">
        <f t="shared" si="820"/>
        <v>0</v>
      </c>
      <c r="P789" s="93">
        <f t="shared" si="821"/>
        <v>0</v>
      </c>
      <c r="Q789" s="94"/>
      <c r="R789" s="92">
        <f t="shared" si="822"/>
        <v>0</v>
      </c>
      <c r="S789" s="92">
        <f t="shared" si="823"/>
        <v>0</v>
      </c>
      <c r="T789" s="93">
        <f t="shared" si="824"/>
        <v>0</v>
      </c>
      <c r="U789" s="95">
        <f t="shared" si="825"/>
        <v>0</v>
      </c>
      <c r="V789" s="94"/>
      <c r="X789" s="580" t="str">
        <f t="shared" si="796"/>
        <v/>
      </c>
      <c r="Y789" s="580" t="str">
        <f t="shared" si="811"/>
        <v/>
      </c>
      <c r="Z789" s="580" t="str">
        <f t="shared" si="716"/>
        <v/>
      </c>
    </row>
    <row r="790" spans="1:26" ht="25.5" hidden="1" x14ac:dyDescent="0.2">
      <c r="A790" s="97" t="s">
        <v>554</v>
      </c>
      <c r="B790" s="1031" t="s">
        <v>554</v>
      </c>
      <c r="C790" s="978" t="s">
        <v>494</v>
      </c>
      <c r="D790" s="595" t="s">
        <v>648</v>
      </c>
      <c r="E790" s="596"/>
      <c r="F790" s="671"/>
      <c r="G790" s="597"/>
      <c r="H790" s="682"/>
      <c r="I790" s="592">
        <v>168.57</v>
      </c>
      <c r="J790" s="592">
        <f t="shared" ref="J790:J791" si="826">IF(ISBLANK(I790),"",SUM(H790:I790))</f>
        <v>168.57</v>
      </c>
      <c r="K790" s="593">
        <f t="shared" si="804"/>
        <v>205.17</v>
      </c>
      <c r="L790" s="594" t="s">
        <v>21</v>
      </c>
      <c r="M790" s="92"/>
      <c r="N790" s="92"/>
      <c r="O790" s="93">
        <f t="shared" ref="O790:O791" si="827">IF(ISBLANK(M790),0,ROUND(K790*M790,2))</f>
        <v>0</v>
      </c>
      <c r="P790" s="93">
        <f t="shared" ref="P790:P791" si="828">IF(ISBLANK(N790),0,ROUND(M790*N790,2))</f>
        <v>0</v>
      </c>
      <c r="Q790" s="94"/>
      <c r="R790" s="92">
        <f t="shared" ref="R790:R791" si="829">M790</f>
        <v>0</v>
      </c>
      <c r="S790" s="92">
        <f t="shared" ref="S790:S791" si="830">N790</f>
        <v>0</v>
      </c>
      <c r="T790" s="93">
        <f t="shared" ref="T790:T791" si="831">IF(ISBLANK(R790),0,ROUND(K790*R790,2))</f>
        <v>0</v>
      </c>
      <c r="U790" s="95">
        <f t="shared" ref="U790:U791" si="832">IF(ISBLANK(R790),0,ROUND(R790*S790,2))</f>
        <v>0</v>
      </c>
      <c r="V790" s="94"/>
      <c r="X790" s="580" t="str">
        <f t="shared" si="796"/>
        <v/>
      </c>
      <c r="Y790" s="580" t="str">
        <f t="shared" si="811"/>
        <v/>
      </c>
      <c r="Z790" s="580" t="str">
        <f t="shared" si="716"/>
        <v/>
      </c>
    </row>
    <row r="791" spans="1:26" hidden="1" x14ac:dyDescent="0.2">
      <c r="A791" s="97">
        <v>745</v>
      </c>
      <c r="B791" s="1031">
        <v>745</v>
      </c>
      <c r="C791" s="978" t="s">
        <v>494</v>
      </c>
      <c r="D791" s="595" t="s">
        <v>649</v>
      </c>
      <c r="E791" s="596"/>
      <c r="F791" s="671"/>
      <c r="G791" s="597"/>
      <c r="H791" s="682"/>
      <c r="I791" s="592">
        <v>481.03</v>
      </c>
      <c r="J791" s="592">
        <f t="shared" si="826"/>
        <v>481.03</v>
      </c>
      <c r="K791" s="593">
        <f t="shared" si="804"/>
        <v>585.46</v>
      </c>
      <c r="L791" s="594" t="s">
        <v>21</v>
      </c>
      <c r="M791" s="92"/>
      <c r="N791" s="92"/>
      <c r="O791" s="93">
        <f t="shared" si="827"/>
        <v>0</v>
      </c>
      <c r="P791" s="93">
        <f t="shared" si="828"/>
        <v>0</v>
      </c>
      <c r="Q791" s="94"/>
      <c r="R791" s="92">
        <f t="shared" si="829"/>
        <v>0</v>
      </c>
      <c r="S791" s="92">
        <f t="shared" si="830"/>
        <v>0</v>
      </c>
      <c r="T791" s="93">
        <f t="shared" si="831"/>
        <v>0</v>
      </c>
      <c r="U791" s="95">
        <f t="shared" si="832"/>
        <v>0</v>
      </c>
      <c r="V791" s="94"/>
      <c r="X791" s="580" t="str">
        <f t="shared" si="796"/>
        <v/>
      </c>
      <c r="Y791" s="580" t="str">
        <f t="shared" si="811"/>
        <v/>
      </c>
      <c r="Z791" s="580" t="str">
        <f t="shared" si="716"/>
        <v/>
      </c>
    </row>
    <row r="792" spans="1:26" hidden="1" x14ac:dyDescent="0.2">
      <c r="A792" s="97" t="s">
        <v>555</v>
      </c>
      <c r="B792" s="1031" t="s">
        <v>555</v>
      </c>
      <c r="C792" s="978" t="s">
        <v>494</v>
      </c>
      <c r="D792" s="595" t="s">
        <v>650</v>
      </c>
      <c r="E792" s="596"/>
      <c r="F792" s="671"/>
      <c r="G792" s="597"/>
      <c r="H792" s="682"/>
      <c r="I792" s="592">
        <v>192.55</v>
      </c>
      <c r="J792" s="592">
        <f t="shared" ref="J792:J795" si="833">IF(ISBLANK(I792),"",SUM(H792:I792))</f>
        <v>192.55</v>
      </c>
      <c r="K792" s="593">
        <f t="shared" si="804"/>
        <v>234.35</v>
      </c>
      <c r="L792" s="594" t="s">
        <v>21</v>
      </c>
      <c r="M792" s="92"/>
      <c r="N792" s="92"/>
      <c r="O792" s="93">
        <f t="shared" ref="O792:O795" si="834">IF(ISBLANK(M792),0,ROUND(K792*M792,2))</f>
        <v>0</v>
      </c>
      <c r="P792" s="93">
        <f t="shared" ref="P792:P795" si="835">IF(ISBLANK(N792),0,ROUND(M792*N792,2))</f>
        <v>0</v>
      </c>
      <c r="Q792" s="94"/>
      <c r="R792" s="92">
        <f t="shared" ref="R792:R795" si="836">M792</f>
        <v>0</v>
      </c>
      <c r="S792" s="92">
        <f t="shared" ref="S792:S795" si="837">N792</f>
        <v>0</v>
      </c>
      <c r="T792" s="93">
        <f t="shared" ref="T792:T795" si="838">IF(ISBLANK(R792),0,ROUND(K792*R792,2))</f>
        <v>0</v>
      </c>
      <c r="U792" s="95">
        <f t="shared" ref="U792:U795" si="839">IF(ISBLANK(R792),0,ROUND(R792*S792,2))</f>
        <v>0</v>
      </c>
      <c r="V792" s="94"/>
      <c r="X792" s="580" t="str">
        <f t="shared" si="796"/>
        <v/>
      </c>
      <c r="Y792" s="580" t="str">
        <f t="shared" si="811"/>
        <v/>
      </c>
      <c r="Z792" s="580" t="str">
        <f t="shared" si="716"/>
        <v/>
      </c>
    </row>
    <row r="793" spans="1:26" hidden="1" x14ac:dyDescent="0.2">
      <c r="A793" s="97">
        <v>746</v>
      </c>
      <c r="B793" s="1031">
        <v>746</v>
      </c>
      <c r="C793" s="978" t="s">
        <v>494</v>
      </c>
      <c r="D793" s="595" t="s">
        <v>651</v>
      </c>
      <c r="E793" s="596"/>
      <c r="F793" s="671"/>
      <c r="G793" s="597"/>
      <c r="H793" s="682"/>
      <c r="I793" s="592">
        <v>577.30999999999995</v>
      </c>
      <c r="J793" s="592">
        <f t="shared" ref="J793:J794" si="840">IF(ISBLANK(I793),"",SUM(H793:I793))</f>
        <v>577.30999999999995</v>
      </c>
      <c r="K793" s="593">
        <f t="shared" si="804"/>
        <v>702.64</v>
      </c>
      <c r="L793" s="594" t="s">
        <v>21</v>
      </c>
      <c r="M793" s="92"/>
      <c r="N793" s="92"/>
      <c r="O793" s="93">
        <f t="shared" ref="O793:O794" si="841">IF(ISBLANK(M793),0,ROUND(K793*M793,2))</f>
        <v>0</v>
      </c>
      <c r="P793" s="93">
        <f t="shared" ref="P793:P794" si="842">IF(ISBLANK(N793),0,ROUND(M793*N793,2))</f>
        <v>0</v>
      </c>
      <c r="Q793" s="94"/>
      <c r="R793" s="92">
        <f t="shared" ref="R793:R794" si="843">M793</f>
        <v>0</v>
      </c>
      <c r="S793" s="92">
        <f t="shared" ref="S793:S794" si="844">N793</f>
        <v>0</v>
      </c>
      <c r="T793" s="93">
        <f t="shared" ref="T793:T794" si="845">IF(ISBLANK(R793),0,ROUND(K793*R793,2))</f>
        <v>0</v>
      </c>
      <c r="U793" s="95">
        <f t="shared" ref="U793:U794" si="846">IF(ISBLANK(R793),0,ROUND(R793*S793,2))</f>
        <v>0</v>
      </c>
      <c r="V793" s="94"/>
      <c r="X793" s="580" t="str">
        <f t="shared" si="796"/>
        <v/>
      </c>
      <c r="Y793" s="580" t="str">
        <f t="shared" si="811"/>
        <v/>
      </c>
      <c r="Z793" s="580" t="str">
        <f t="shared" si="716"/>
        <v/>
      </c>
    </row>
    <row r="794" spans="1:26" hidden="1" x14ac:dyDescent="0.2">
      <c r="A794" s="97" t="s">
        <v>556</v>
      </c>
      <c r="B794" s="1031" t="s">
        <v>556</v>
      </c>
      <c r="C794" s="978" t="s">
        <v>494</v>
      </c>
      <c r="D794" s="595" t="s">
        <v>652</v>
      </c>
      <c r="E794" s="596"/>
      <c r="F794" s="671"/>
      <c r="G794" s="597"/>
      <c r="H794" s="682"/>
      <c r="I794" s="592">
        <v>230.92</v>
      </c>
      <c r="J794" s="592">
        <f t="shared" si="840"/>
        <v>230.92</v>
      </c>
      <c r="K794" s="593">
        <f t="shared" si="804"/>
        <v>281.05</v>
      </c>
      <c r="L794" s="594" t="s">
        <v>21</v>
      </c>
      <c r="M794" s="92"/>
      <c r="N794" s="92"/>
      <c r="O794" s="93">
        <f t="shared" si="841"/>
        <v>0</v>
      </c>
      <c r="P794" s="93">
        <f t="shared" si="842"/>
        <v>0</v>
      </c>
      <c r="Q794" s="94"/>
      <c r="R794" s="92">
        <f t="shared" si="843"/>
        <v>0</v>
      </c>
      <c r="S794" s="92">
        <f t="shared" si="844"/>
        <v>0</v>
      </c>
      <c r="T794" s="93">
        <f t="shared" si="845"/>
        <v>0</v>
      </c>
      <c r="U794" s="95">
        <f t="shared" si="846"/>
        <v>0</v>
      </c>
      <c r="V794" s="94"/>
      <c r="X794" s="580" t="str">
        <f t="shared" si="796"/>
        <v/>
      </c>
      <c r="Y794" s="580" t="str">
        <f t="shared" si="811"/>
        <v/>
      </c>
      <c r="Z794" s="580" t="str">
        <f t="shared" si="716"/>
        <v/>
      </c>
    </row>
    <row r="795" spans="1:26" hidden="1" x14ac:dyDescent="0.2">
      <c r="A795" s="97">
        <v>747</v>
      </c>
      <c r="B795" s="1031">
        <v>747</v>
      </c>
      <c r="C795" s="978" t="s">
        <v>494</v>
      </c>
      <c r="D795" s="595" t="s">
        <v>653</v>
      </c>
      <c r="E795" s="596"/>
      <c r="F795" s="671"/>
      <c r="G795" s="597"/>
      <c r="H795" s="682"/>
      <c r="I795" s="592">
        <v>867.84</v>
      </c>
      <c r="J795" s="592">
        <f t="shared" si="833"/>
        <v>867.84</v>
      </c>
      <c r="K795" s="593">
        <f t="shared" si="804"/>
        <v>1056.25</v>
      </c>
      <c r="L795" s="594" t="s">
        <v>21</v>
      </c>
      <c r="M795" s="92"/>
      <c r="N795" s="92"/>
      <c r="O795" s="93">
        <f t="shared" si="834"/>
        <v>0</v>
      </c>
      <c r="P795" s="93">
        <f t="shared" si="835"/>
        <v>0</v>
      </c>
      <c r="Q795" s="94"/>
      <c r="R795" s="92">
        <f t="shared" si="836"/>
        <v>0</v>
      </c>
      <c r="S795" s="92">
        <f t="shared" si="837"/>
        <v>0</v>
      </c>
      <c r="T795" s="93">
        <f t="shared" si="838"/>
        <v>0</v>
      </c>
      <c r="U795" s="95">
        <f t="shared" si="839"/>
        <v>0</v>
      </c>
      <c r="V795" s="94"/>
      <c r="X795" s="580" t="str">
        <f t="shared" si="796"/>
        <v/>
      </c>
      <c r="Y795" s="580" t="str">
        <f t="shared" si="811"/>
        <v/>
      </c>
      <c r="Z795" s="580" t="str">
        <f t="shared" si="716"/>
        <v/>
      </c>
    </row>
    <row r="796" spans="1:26" hidden="1" x14ac:dyDescent="0.2">
      <c r="A796" s="97" t="s">
        <v>557</v>
      </c>
      <c r="B796" s="1031" t="s">
        <v>557</v>
      </c>
      <c r="C796" s="978" t="s">
        <v>494</v>
      </c>
      <c r="D796" s="595" t="s">
        <v>654</v>
      </c>
      <c r="E796" s="596"/>
      <c r="F796" s="671"/>
      <c r="G796" s="597"/>
      <c r="H796" s="682"/>
      <c r="I796" s="592">
        <v>347.07</v>
      </c>
      <c r="J796" s="592">
        <f t="shared" ref="J796:J800" si="847">IF(ISBLANK(I796),"",SUM(H796:I796))</f>
        <v>347.07</v>
      </c>
      <c r="K796" s="593">
        <f t="shared" si="804"/>
        <v>422.42</v>
      </c>
      <c r="L796" s="594" t="s">
        <v>21</v>
      </c>
      <c r="M796" s="92"/>
      <c r="N796" s="92"/>
      <c r="O796" s="93">
        <f t="shared" ref="O796:O800" si="848">IF(ISBLANK(M796),0,ROUND(K796*M796,2))</f>
        <v>0</v>
      </c>
      <c r="P796" s="93">
        <f t="shared" ref="P796:P800" si="849">IF(ISBLANK(N796),0,ROUND(M796*N796,2))</f>
        <v>0</v>
      </c>
      <c r="Q796" s="94"/>
      <c r="R796" s="92">
        <f t="shared" ref="R796:R800" si="850">M796</f>
        <v>0</v>
      </c>
      <c r="S796" s="92">
        <f t="shared" ref="S796:S800" si="851">N796</f>
        <v>0</v>
      </c>
      <c r="T796" s="93">
        <f t="shared" ref="T796:T800" si="852">IF(ISBLANK(R796),0,ROUND(K796*R796,2))</f>
        <v>0</v>
      </c>
      <c r="U796" s="95">
        <f t="shared" ref="U796:U800" si="853">IF(ISBLANK(R796),0,ROUND(R796*S796,2))</f>
        <v>0</v>
      </c>
      <c r="V796" s="94"/>
      <c r="X796" s="580" t="str">
        <f t="shared" si="796"/>
        <v/>
      </c>
      <c r="Y796" s="580" t="str">
        <f t="shared" si="811"/>
        <v/>
      </c>
      <c r="Z796" s="580" t="str">
        <f t="shared" si="716"/>
        <v/>
      </c>
    </row>
    <row r="797" spans="1:26" hidden="1" x14ac:dyDescent="0.2">
      <c r="A797" s="97">
        <v>748</v>
      </c>
      <c r="B797" s="1031">
        <v>748</v>
      </c>
      <c r="C797" s="978" t="s">
        <v>494</v>
      </c>
      <c r="D797" s="595" t="s">
        <v>655</v>
      </c>
      <c r="E797" s="596"/>
      <c r="F797" s="671"/>
      <c r="G797" s="597"/>
      <c r="H797" s="682"/>
      <c r="I797" s="592">
        <v>69.89</v>
      </c>
      <c r="J797" s="592">
        <f t="shared" si="847"/>
        <v>69.89</v>
      </c>
      <c r="K797" s="593">
        <f t="shared" si="804"/>
        <v>85.06</v>
      </c>
      <c r="L797" s="594" t="s">
        <v>21</v>
      </c>
      <c r="M797" s="92"/>
      <c r="N797" s="92"/>
      <c r="O797" s="93">
        <f t="shared" si="848"/>
        <v>0</v>
      </c>
      <c r="P797" s="93">
        <f t="shared" si="849"/>
        <v>0</v>
      </c>
      <c r="Q797" s="94"/>
      <c r="R797" s="92">
        <f t="shared" si="850"/>
        <v>0</v>
      </c>
      <c r="S797" s="92">
        <f t="shared" si="851"/>
        <v>0</v>
      </c>
      <c r="T797" s="93">
        <f t="shared" si="852"/>
        <v>0</v>
      </c>
      <c r="U797" s="95">
        <f t="shared" si="853"/>
        <v>0</v>
      </c>
      <c r="V797" s="94"/>
      <c r="X797" s="580" t="str">
        <f t="shared" si="796"/>
        <v/>
      </c>
      <c r="Y797" s="580" t="str">
        <f t="shared" si="811"/>
        <v/>
      </c>
      <c r="Z797" s="580" t="str">
        <f t="shared" si="716"/>
        <v/>
      </c>
    </row>
    <row r="798" spans="1:26" hidden="1" x14ac:dyDescent="0.2">
      <c r="A798" s="97" t="s">
        <v>558</v>
      </c>
      <c r="B798" s="1031" t="s">
        <v>558</v>
      </c>
      <c r="C798" s="978" t="s">
        <v>494</v>
      </c>
      <c r="D798" s="595" t="s">
        <v>656</v>
      </c>
      <c r="E798" s="596"/>
      <c r="F798" s="671"/>
      <c r="G798" s="597"/>
      <c r="H798" s="682"/>
      <c r="I798" s="592">
        <v>28.09</v>
      </c>
      <c r="J798" s="592">
        <f t="shared" si="847"/>
        <v>28.09</v>
      </c>
      <c r="K798" s="593">
        <f t="shared" si="804"/>
        <v>34.19</v>
      </c>
      <c r="L798" s="594" t="s">
        <v>21</v>
      </c>
      <c r="M798" s="92"/>
      <c r="N798" s="92"/>
      <c r="O798" s="93">
        <f t="shared" si="848"/>
        <v>0</v>
      </c>
      <c r="P798" s="93">
        <f t="shared" si="849"/>
        <v>0</v>
      </c>
      <c r="Q798" s="94"/>
      <c r="R798" s="92">
        <f t="shared" si="850"/>
        <v>0</v>
      </c>
      <c r="S798" s="92">
        <f t="shared" si="851"/>
        <v>0</v>
      </c>
      <c r="T798" s="93">
        <f t="shared" si="852"/>
        <v>0</v>
      </c>
      <c r="U798" s="95">
        <f t="shared" si="853"/>
        <v>0</v>
      </c>
      <c r="V798" s="94"/>
      <c r="X798" s="580" t="str">
        <f t="shared" si="796"/>
        <v/>
      </c>
      <c r="Y798" s="580" t="str">
        <f t="shared" si="811"/>
        <v/>
      </c>
      <c r="Z798" s="580" t="str">
        <f t="shared" si="716"/>
        <v/>
      </c>
    </row>
    <row r="799" spans="1:26" hidden="1" x14ac:dyDescent="0.2">
      <c r="A799" s="97">
        <v>759</v>
      </c>
      <c r="B799" s="1031">
        <v>759</v>
      </c>
      <c r="C799" s="978" t="s">
        <v>494</v>
      </c>
      <c r="D799" s="595" t="s">
        <v>693</v>
      </c>
      <c r="E799" s="596"/>
      <c r="F799" s="671"/>
      <c r="G799" s="597"/>
      <c r="H799" s="682"/>
      <c r="I799" s="592">
        <v>536.12</v>
      </c>
      <c r="J799" s="592">
        <f t="shared" si="847"/>
        <v>536.12</v>
      </c>
      <c r="K799" s="593">
        <f t="shared" si="804"/>
        <v>652.51</v>
      </c>
      <c r="L799" s="594" t="s">
        <v>21</v>
      </c>
      <c r="M799" s="92"/>
      <c r="N799" s="92"/>
      <c r="O799" s="93">
        <f t="shared" si="848"/>
        <v>0</v>
      </c>
      <c r="P799" s="93">
        <f t="shared" si="849"/>
        <v>0</v>
      </c>
      <c r="Q799" s="94"/>
      <c r="R799" s="92">
        <f t="shared" si="850"/>
        <v>0</v>
      </c>
      <c r="S799" s="92">
        <f t="shared" si="851"/>
        <v>0</v>
      </c>
      <c r="T799" s="93">
        <f t="shared" si="852"/>
        <v>0</v>
      </c>
      <c r="U799" s="95">
        <f t="shared" si="853"/>
        <v>0</v>
      </c>
      <c r="V799" s="94"/>
      <c r="X799" s="580" t="str">
        <f t="shared" si="796"/>
        <v/>
      </c>
      <c r="Y799" s="580" t="str">
        <f t="shared" si="811"/>
        <v/>
      </c>
      <c r="Z799" s="580" t="str">
        <f t="shared" si="716"/>
        <v/>
      </c>
    </row>
    <row r="800" spans="1:26" hidden="1" x14ac:dyDescent="0.2">
      <c r="A800" s="97" t="s">
        <v>559</v>
      </c>
      <c r="B800" s="1031" t="s">
        <v>559</v>
      </c>
      <c r="C800" s="978" t="s">
        <v>494</v>
      </c>
      <c r="D800" s="595" t="s">
        <v>657</v>
      </c>
      <c r="E800" s="596"/>
      <c r="F800" s="671"/>
      <c r="G800" s="597"/>
      <c r="H800" s="682"/>
      <c r="I800" s="592">
        <v>70.239999999999995</v>
      </c>
      <c r="J800" s="592">
        <f t="shared" si="847"/>
        <v>70.239999999999995</v>
      </c>
      <c r="K800" s="593">
        <f t="shared" si="804"/>
        <v>85.49</v>
      </c>
      <c r="L800" s="594" t="s">
        <v>21</v>
      </c>
      <c r="M800" s="92"/>
      <c r="N800" s="92"/>
      <c r="O800" s="93">
        <f t="shared" si="848"/>
        <v>0</v>
      </c>
      <c r="P800" s="93">
        <f t="shared" si="849"/>
        <v>0</v>
      </c>
      <c r="Q800" s="94"/>
      <c r="R800" s="92">
        <f t="shared" si="850"/>
        <v>0</v>
      </c>
      <c r="S800" s="92">
        <f t="shared" si="851"/>
        <v>0</v>
      </c>
      <c r="T800" s="93">
        <f t="shared" si="852"/>
        <v>0</v>
      </c>
      <c r="U800" s="95">
        <f t="shared" si="853"/>
        <v>0</v>
      </c>
      <c r="V800" s="94"/>
      <c r="X800" s="580" t="str">
        <f t="shared" si="796"/>
        <v/>
      </c>
      <c r="Y800" s="580" t="str">
        <f t="shared" si="811"/>
        <v/>
      </c>
      <c r="Z800" s="580" t="str">
        <f t="shared" si="716"/>
        <v/>
      </c>
    </row>
    <row r="801" spans="1:26" hidden="1" x14ac:dyDescent="0.2">
      <c r="A801" s="97">
        <v>751</v>
      </c>
      <c r="B801" s="1031">
        <v>751</v>
      </c>
      <c r="C801" s="978" t="s">
        <v>494</v>
      </c>
      <c r="D801" s="595" t="s">
        <v>581</v>
      </c>
      <c r="E801" s="596"/>
      <c r="F801" s="671"/>
      <c r="G801" s="597"/>
      <c r="H801" s="682"/>
      <c r="I801" s="592">
        <v>11.31</v>
      </c>
      <c r="J801" s="592">
        <f t="shared" ref="J801:J827" si="854">IF(ISBLANK(I801),"",SUM(H801:I801))</f>
        <v>11.31</v>
      </c>
      <c r="K801" s="593">
        <f t="shared" si="804"/>
        <v>13.77</v>
      </c>
      <c r="L801" s="594" t="s">
        <v>21</v>
      </c>
      <c r="M801" s="92"/>
      <c r="N801" s="92"/>
      <c r="O801" s="93">
        <f t="shared" ref="O801:O827" si="855">IF(ISBLANK(M801),0,ROUND(K801*M801,2))</f>
        <v>0</v>
      </c>
      <c r="P801" s="93">
        <f t="shared" ref="P801:P827" si="856">IF(ISBLANK(N801),0,ROUND(M801*N801,2))</f>
        <v>0</v>
      </c>
      <c r="Q801" s="94"/>
      <c r="R801" s="92">
        <f t="shared" ref="R801:R827" si="857">M801</f>
        <v>0</v>
      </c>
      <c r="S801" s="92">
        <f t="shared" ref="S801:S827" si="858">N801</f>
        <v>0</v>
      </c>
      <c r="T801" s="93">
        <f t="shared" ref="T801:T827" si="859">IF(ISBLANK(R801),0,ROUND(K801*R801,2))</f>
        <v>0</v>
      </c>
      <c r="U801" s="95">
        <f t="shared" ref="U801:U827" si="860">IF(ISBLANK(R801),0,ROUND(R801*S801,2))</f>
        <v>0</v>
      </c>
      <c r="V801" s="94"/>
      <c r="X801" s="580" t="str">
        <f t="shared" si="796"/>
        <v/>
      </c>
      <c r="Y801" s="580" t="str">
        <f t="shared" si="811"/>
        <v/>
      </c>
      <c r="Z801" s="580" t="str">
        <f t="shared" si="716"/>
        <v/>
      </c>
    </row>
    <row r="802" spans="1:26" hidden="1" x14ac:dyDescent="0.2">
      <c r="A802" s="97" t="s">
        <v>560</v>
      </c>
      <c r="B802" s="1031" t="s">
        <v>560</v>
      </c>
      <c r="C802" s="978" t="s">
        <v>494</v>
      </c>
      <c r="D802" s="595" t="s">
        <v>566</v>
      </c>
      <c r="E802" s="596"/>
      <c r="F802" s="671"/>
      <c r="G802" s="597"/>
      <c r="H802" s="682"/>
      <c r="I802" s="592">
        <v>4.45</v>
      </c>
      <c r="J802" s="592">
        <f t="shared" si="854"/>
        <v>4.45</v>
      </c>
      <c r="K802" s="593">
        <f t="shared" si="804"/>
        <v>5.42</v>
      </c>
      <c r="L802" s="594" t="s">
        <v>21</v>
      </c>
      <c r="M802" s="92"/>
      <c r="N802" s="92"/>
      <c r="O802" s="93">
        <f t="shared" si="855"/>
        <v>0</v>
      </c>
      <c r="P802" s="93">
        <f t="shared" si="856"/>
        <v>0</v>
      </c>
      <c r="Q802" s="94"/>
      <c r="R802" s="92">
        <f t="shared" si="857"/>
        <v>0</v>
      </c>
      <c r="S802" s="92">
        <f t="shared" si="858"/>
        <v>0</v>
      </c>
      <c r="T802" s="93">
        <f t="shared" si="859"/>
        <v>0</v>
      </c>
      <c r="U802" s="95">
        <f t="shared" si="860"/>
        <v>0</v>
      </c>
      <c r="V802" s="94"/>
      <c r="X802" s="580" t="str">
        <f t="shared" si="796"/>
        <v/>
      </c>
      <c r="Y802" s="580" t="str">
        <f t="shared" si="811"/>
        <v/>
      </c>
      <c r="Z802" s="580" t="str">
        <f t="shared" si="716"/>
        <v/>
      </c>
    </row>
    <row r="803" spans="1:26" hidden="1" x14ac:dyDescent="0.2">
      <c r="A803" s="97">
        <v>752</v>
      </c>
      <c r="B803" s="1031">
        <v>752</v>
      </c>
      <c r="C803" s="978" t="s">
        <v>494</v>
      </c>
      <c r="D803" s="595" t="s">
        <v>582</v>
      </c>
      <c r="E803" s="596"/>
      <c r="F803" s="671"/>
      <c r="G803" s="597"/>
      <c r="H803" s="682"/>
      <c r="I803" s="592">
        <v>28.78</v>
      </c>
      <c r="J803" s="592">
        <f t="shared" si="854"/>
        <v>28.78</v>
      </c>
      <c r="K803" s="593">
        <f t="shared" si="804"/>
        <v>35.03</v>
      </c>
      <c r="L803" s="594" t="s">
        <v>21</v>
      </c>
      <c r="M803" s="92"/>
      <c r="N803" s="92"/>
      <c r="O803" s="93">
        <f t="shared" si="855"/>
        <v>0</v>
      </c>
      <c r="P803" s="93">
        <f t="shared" si="856"/>
        <v>0</v>
      </c>
      <c r="Q803" s="94"/>
      <c r="R803" s="92">
        <f t="shared" si="857"/>
        <v>0</v>
      </c>
      <c r="S803" s="92">
        <f t="shared" si="858"/>
        <v>0</v>
      </c>
      <c r="T803" s="93">
        <f t="shared" si="859"/>
        <v>0</v>
      </c>
      <c r="U803" s="95">
        <f t="shared" si="860"/>
        <v>0</v>
      </c>
      <c r="V803" s="94"/>
      <c r="X803" s="580" t="str">
        <f t="shared" si="796"/>
        <v/>
      </c>
      <c r="Y803" s="580" t="str">
        <f t="shared" si="811"/>
        <v/>
      </c>
      <c r="Z803" s="580" t="str">
        <f t="shared" si="716"/>
        <v/>
      </c>
    </row>
    <row r="804" spans="1:26" hidden="1" x14ac:dyDescent="0.2">
      <c r="A804" s="97" t="s">
        <v>561</v>
      </c>
      <c r="B804" s="1031" t="s">
        <v>561</v>
      </c>
      <c r="C804" s="978" t="s">
        <v>494</v>
      </c>
      <c r="D804" s="595" t="s">
        <v>567</v>
      </c>
      <c r="E804" s="596"/>
      <c r="F804" s="671"/>
      <c r="G804" s="597"/>
      <c r="H804" s="682"/>
      <c r="I804" s="592">
        <v>28.78</v>
      </c>
      <c r="J804" s="592">
        <f t="shared" si="854"/>
        <v>28.78</v>
      </c>
      <c r="K804" s="593">
        <f t="shared" si="804"/>
        <v>35.03</v>
      </c>
      <c r="L804" s="594" t="s">
        <v>21</v>
      </c>
      <c r="M804" s="92"/>
      <c r="N804" s="92"/>
      <c r="O804" s="93">
        <f t="shared" si="855"/>
        <v>0</v>
      </c>
      <c r="P804" s="93">
        <f t="shared" si="856"/>
        <v>0</v>
      </c>
      <c r="Q804" s="94"/>
      <c r="R804" s="92">
        <f t="shared" si="857"/>
        <v>0</v>
      </c>
      <c r="S804" s="92">
        <f t="shared" si="858"/>
        <v>0</v>
      </c>
      <c r="T804" s="93">
        <f t="shared" si="859"/>
        <v>0</v>
      </c>
      <c r="U804" s="95">
        <f t="shared" si="860"/>
        <v>0</v>
      </c>
      <c r="V804" s="94"/>
      <c r="X804" s="580" t="str">
        <f t="shared" si="796"/>
        <v/>
      </c>
      <c r="Y804" s="580" t="str">
        <f t="shared" si="811"/>
        <v/>
      </c>
      <c r="Z804" s="580" t="str">
        <f t="shared" si="716"/>
        <v/>
      </c>
    </row>
    <row r="805" spans="1:26" hidden="1" x14ac:dyDescent="0.2">
      <c r="A805" s="97">
        <v>753</v>
      </c>
      <c r="B805" s="1031">
        <v>753</v>
      </c>
      <c r="C805" s="978" t="s">
        <v>494</v>
      </c>
      <c r="D805" s="595" t="s">
        <v>584</v>
      </c>
      <c r="E805" s="596"/>
      <c r="F805" s="671"/>
      <c r="G805" s="597"/>
      <c r="H805" s="682"/>
      <c r="I805" s="592">
        <v>62.7</v>
      </c>
      <c r="J805" s="592">
        <f t="shared" si="854"/>
        <v>62.7</v>
      </c>
      <c r="K805" s="593">
        <f t="shared" si="804"/>
        <v>76.31</v>
      </c>
      <c r="L805" s="594" t="s">
        <v>21</v>
      </c>
      <c r="M805" s="92"/>
      <c r="N805" s="92"/>
      <c r="O805" s="93">
        <f t="shared" si="855"/>
        <v>0</v>
      </c>
      <c r="P805" s="93">
        <f t="shared" si="856"/>
        <v>0</v>
      </c>
      <c r="Q805" s="94"/>
      <c r="R805" s="92">
        <f t="shared" si="857"/>
        <v>0</v>
      </c>
      <c r="S805" s="92">
        <f t="shared" si="858"/>
        <v>0</v>
      </c>
      <c r="T805" s="93">
        <f t="shared" si="859"/>
        <v>0</v>
      </c>
      <c r="U805" s="95">
        <f t="shared" si="860"/>
        <v>0</v>
      </c>
      <c r="V805" s="94"/>
      <c r="X805" s="580" t="str">
        <f t="shared" si="796"/>
        <v/>
      </c>
      <c r="Y805" s="580" t="str">
        <f t="shared" si="811"/>
        <v/>
      </c>
      <c r="Z805" s="580" t="str">
        <f t="shared" si="716"/>
        <v/>
      </c>
    </row>
    <row r="806" spans="1:26" hidden="1" x14ac:dyDescent="0.2">
      <c r="A806" s="97" t="s">
        <v>562</v>
      </c>
      <c r="B806" s="1031" t="s">
        <v>562</v>
      </c>
      <c r="C806" s="978" t="s">
        <v>494</v>
      </c>
      <c r="D806" s="595" t="s">
        <v>568</v>
      </c>
      <c r="E806" s="596"/>
      <c r="F806" s="671"/>
      <c r="G806" s="597"/>
      <c r="H806" s="682"/>
      <c r="I806" s="592">
        <v>62.7</v>
      </c>
      <c r="J806" s="592">
        <f t="shared" si="854"/>
        <v>62.7</v>
      </c>
      <c r="K806" s="593">
        <f t="shared" si="804"/>
        <v>76.31</v>
      </c>
      <c r="L806" s="594" t="s">
        <v>21</v>
      </c>
      <c r="M806" s="92"/>
      <c r="N806" s="92"/>
      <c r="O806" s="93">
        <f t="shared" si="855"/>
        <v>0</v>
      </c>
      <c r="P806" s="93">
        <f t="shared" si="856"/>
        <v>0</v>
      </c>
      <c r="Q806" s="94"/>
      <c r="R806" s="92">
        <f t="shared" si="857"/>
        <v>0</v>
      </c>
      <c r="S806" s="92">
        <f t="shared" si="858"/>
        <v>0</v>
      </c>
      <c r="T806" s="93">
        <f t="shared" si="859"/>
        <v>0</v>
      </c>
      <c r="U806" s="95">
        <f t="shared" si="860"/>
        <v>0</v>
      </c>
      <c r="V806" s="94"/>
      <c r="X806" s="580" t="str">
        <f t="shared" si="796"/>
        <v/>
      </c>
      <c r="Y806" s="580" t="str">
        <f t="shared" si="811"/>
        <v/>
      </c>
      <c r="Z806" s="580" t="str">
        <f t="shared" si="716"/>
        <v/>
      </c>
    </row>
    <row r="807" spans="1:26" hidden="1" x14ac:dyDescent="0.2">
      <c r="A807" s="97">
        <v>754</v>
      </c>
      <c r="B807" s="1031">
        <v>754</v>
      </c>
      <c r="C807" s="978" t="s">
        <v>494</v>
      </c>
      <c r="D807" s="595" t="s">
        <v>694</v>
      </c>
      <c r="E807" s="596"/>
      <c r="F807" s="671"/>
      <c r="G807" s="597"/>
      <c r="H807" s="682"/>
      <c r="I807" s="592">
        <v>71.95</v>
      </c>
      <c r="J807" s="592">
        <f t="shared" si="854"/>
        <v>71.95</v>
      </c>
      <c r="K807" s="593">
        <f t="shared" si="804"/>
        <v>87.57</v>
      </c>
      <c r="L807" s="594" t="s">
        <v>21</v>
      </c>
      <c r="M807" s="92"/>
      <c r="N807" s="92"/>
      <c r="O807" s="93">
        <f t="shared" si="855"/>
        <v>0</v>
      </c>
      <c r="P807" s="93">
        <f t="shared" si="856"/>
        <v>0</v>
      </c>
      <c r="Q807" s="94"/>
      <c r="R807" s="92">
        <f t="shared" si="857"/>
        <v>0</v>
      </c>
      <c r="S807" s="92">
        <f t="shared" si="858"/>
        <v>0</v>
      </c>
      <c r="T807" s="93">
        <f t="shared" si="859"/>
        <v>0</v>
      </c>
      <c r="U807" s="95">
        <f t="shared" si="860"/>
        <v>0</v>
      </c>
      <c r="V807" s="94"/>
      <c r="X807" s="580" t="str">
        <f t="shared" si="796"/>
        <v/>
      </c>
      <c r="Y807" s="580" t="str">
        <f t="shared" si="811"/>
        <v/>
      </c>
      <c r="Z807" s="580" t="str">
        <f t="shared" si="716"/>
        <v/>
      </c>
    </row>
    <row r="808" spans="1:26" hidden="1" x14ac:dyDescent="0.2">
      <c r="A808" s="97">
        <v>755</v>
      </c>
      <c r="B808" s="1031">
        <v>755</v>
      </c>
      <c r="C808" s="978" t="s">
        <v>494</v>
      </c>
      <c r="D808" s="595" t="s">
        <v>695</v>
      </c>
      <c r="E808" s="596"/>
      <c r="F808" s="671"/>
      <c r="G808" s="597"/>
      <c r="H808" s="682"/>
      <c r="I808" s="592">
        <v>15.08</v>
      </c>
      <c r="J808" s="592">
        <f t="shared" si="854"/>
        <v>15.08</v>
      </c>
      <c r="K808" s="593">
        <f t="shared" si="804"/>
        <v>18.350000000000001</v>
      </c>
      <c r="L808" s="594" t="s">
        <v>21</v>
      </c>
      <c r="M808" s="92"/>
      <c r="N808" s="92"/>
      <c r="O808" s="93">
        <f t="shared" si="855"/>
        <v>0</v>
      </c>
      <c r="P808" s="93">
        <f t="shared" si="856"/>
        <v>0</v>
      </c>
      <c r="Q808" s="94"/>
      <c r="R808" s="92">
        <f t="shared" si="857"/>
        <v>0</v>
      </c>
      <c r="S808" s="92">
        <f t="shared" si="858"/>
        <v>0</v>
      </c>
      <c r="T808" s="93">
        <f t="shared" si="859"/>
        <v>0</v>
      </c>
      <c r="U808" s="95">
        <f t="shared" si="860"/>
        <v>0</v>
      </c>
      <c r="V808" s="94"/>
      <c r="X808" s="580" t="str">
        <f t="shared" si="796"/>
        <v/>
      </c>
      <c r="Y808" s="580" t="str">
        <f t="shared" si="811"/>
        <v/>
      </c>
      <c r="Z808" s="580" t="str">
        <f t="shared" si="716"/>
        <v/>
      </c>
    </row>
    <row r="809" spans="1:26" hidden="1" x14ac:dyDescent="0.2">
      <c r="A809" s="97" t="s">
        <v>563</v>
      </c>
      <c r="B809" s="1031" t="s">
        <v>563</v>
      </c>
      <c r="C809" s="978" t="s">
        <v>494</v>
      </c>
      <c r="D809" s="595" t="s">
        <v>569</v>
      </c>
      <c r="E809" s="596"/>
      <c r="F809" s="671"/>
      <c r="G809" s="597"/>
      <c r="H809" s="682"/>
      <c r="I809" s="592">
        <v>6.17</v>
      </c>
      <c r="J809" s="592">
        <f t="shared" si="854"/>
        <v>6.17</v>
      </c>
      <c r="K809" s="593">
        <f t="shared" si="804"/>
        <v>7.51</v>
      </c>
      <c r="L809" s="594" t="s">
        <v>21</v>
      </c>
      <c r="M809" s="92"/>
      <c r="N809" s="92"/>
      <c r="O809" s="93">
        <f t="shared" si="855"/>
        <v>0</v>
      </c>
      <c r="P809" s="93">
        <f t="shared" si="856"/>
        <v>0</v>
      </c>
      <c r="Q809" s="94"/>
      <c r="R809" s="92">
        <f t="shared" si="857"/>
        <v>0</v>
      </c>
      <c r="S809" s="92">
        <f t="shared" si="858"/>
        <v>0</v>
      </c>
      <c r="T809" s="93">
        <f t="shared" si="859"/>
        <v>0</v>
      </c>
      <c r="U809" s="95">
        <f t="shared" si="860"/>
        <v>0</v>
      </c>
      <c r="V809" s="94"/>
      <c r="X809" s="580" t="str">
        <f t="shared" si="796"/>
        <v/>
      </c>
      <c r="Y809" s="580" t="str">
        <f t="shared" si="811"/>
        <v/>
      </c>
      <c r="Z809" s="580" t="str">
        <f t="shared" si="716"/>
        <v/>
      </c>
    </row>
    <row r="810" spans="1:26" hidden="1" x14ac:dyDescent="0.2">
      <c r="A810" s="97">
        <v>756</v>
      </c>
      <c r="B810" s="1031">
        <v>756</v>
      </c>
      <c r="C810" s="978" t="s">
        <v>494</v>
      </c>
      <c r="D810" s="595" t="s">
        <v>696</v>
      </c>
      <c r="E810" s="596"/>
      <c r="F810" s="671"/>
      <c r="G810" s="597"/>
      <c r="H810" s="682"/>
      <c r="I810" s="592">
        <v>24.67</v>
      </c>
      <c r="J810" s="592">
        <f t="shared" si="854"/>
        <v>24.67</v>
      </c>
      <c r="K810" s="593">
        <f t="shared" si="804"/>
        <v>30.03</v>
      </c>
      <c r="L810" s="594" t="s">
        <v>21</v>
      </c>
      <c r="M810" s="92"/>
      <c r="N810" s="92"/>
      <c r="O810" s="93">
        <f t="shared" si="855"/>
        <v>0</v>
      </c>
      <c r="P810" s="93">
        <f t="shared" si="856"/>
        <v>0</v>
      </c>
      <c r="Q810" s="94"/>
      <c r="R810" s="92">
        <f t="shared" si="857"/>
        <v>0</v>
      </c>
      <c r="S810" s="92">
        <f t="shared" si="858"/>
        <v>0</v>
      </c>
      <c r="T810" s="93">
        <f t="shared" si="859"/>
        <v>0</v>
      </c>
      <c r="U810" s="95">
        <f t="shared" si="860"/>
        <v>0</v>
      </c>
      <c r="V810" s="94"/>
      <c r="X810" s="580" t="str">
        <f t="shared" si="796"/>
        <v/>
      </c>
      <c r="Y810" s="580" t="str">
        <f t="shared" si="811"/>
        <v/>
      </c>
      <c r="Z810" s="580" t="str">
        <f t="shared" si="716"/>
        <v/>
      </c>
    </row>
    <row r="811" spans="1:26" hidden="1" x14ac:dyDescent="0.2">
      <c r="A811" s="97" t="s">
        <v>564</v>
      </c>
      <c r="B811" s="1031" t="s">
        <v>564</v>
      </c>
      <c r="C811" s="978" t="s">
        <v>494</v>
      </c>
      <c r="D811" s="595" t="s">
        <v>570</v>
      </c>
      <c r="E811" s="596"/>
      <c r="F811" s="671"/>
      <c r="G811" s="597"/>
      <c r="H811" s="682"/>
      <c r="I811" s="592">
        <v>9.94</v>
      </c>
      <c r="J811" s="592">
        <f t="shared" si="854"/>
        <v>9.94</v>
      </c>
      <c r="K811" s="593">
        <f t="shared" si="804"/>
        <v>12.1</v>
      </c>
      <c r="L811" s="594" t="s">
        <v>21</v>
      </c>
      <c r="M811" s="92"/>
      <c r="N811" s="92"/>
      <c r="O811" s="93">
        <f t="shared" si="855"/>
        <v>0</v>
      </c>
      <c r="P811" s="93">
        <f t="shared" si="856"/>
        <v>0</v>
      </c>
      <c r="Q811" s="94"/>
      <c r="R811" s="92">
        <f t="shared" si="857"/>
        <v>0</v>
      </c>
      <c r="S811" s="92">
        <f t="shared" si="858"/>
        <v>0</v>
      </c>
      <c r="T811" s="93">
        <f t="shared" si="859"/>
        <v>0</v>
      </c>
      <c r="U811" s="95">
        <f t="shared" si="860"/>
        <v>0</v>
      </c>
      <c r="V811" s="94"/>
      <c r="X811" s="580" t="str">
        <f t="shared" si="796"/>
        <v/>
      </c>
      <c r="Y811" s="580" t="str">
        <f t="shared" si="811"/>
        <v/>
      </c>
      <c r="Z811" s="580" t="str">
        <f t="shared" si="716"/>
        <v/>
      </c>
    </row>
    <row r="812" spans="1:26" hidden="1" x14ac:dyDescent="0.2">
      <c r="A812" s="97">
        <v>757</v>
      </c>
      <c r="B812" s="1031">
        <v>757</v>
      </c>
      <c r="C812" s="978" t="s">
        <v>494</v>
      </c>
      <c r="D812" s="595" t="s">
        <v>697</v>
      </c>
      <c r="E812" s="596"/>
      <c r="F812" s="671"/>
      <c r="G812" s="597"/>
      <c r="H812" s="682"/>
      <c r="I812" s="592">
        <v>15.42</v>
      </c>
      <c r="J812" s="592">
        <f t="shared" si="854"/>
        <v>15.42</v>
      </c>
      <c r="K812" s="593">
        <f t="shared" si="804"/>
        <v>18.77</v>
      </c>
      <c r="L812" s="594" t="s">
        <v>21</v>
      </c>
      <c r="M812" s="92"/>
      <c r="N812" s="92"/>
      <c r="O812" s="93">
        <f t="shared" si="855"/>
        <v>0</v>
      </c>
      <c r="P812" s="93">
        <f t="shared" si="856"/>
        <v>0</v>
      </c>
      <c r="Q812" s="94"/>
      <c r="R812" s="92">
        <f t="shared" si="857"/>
        <v>0</v>
      </c>
      <c r="S812" s="92">
        <f t="shared" si="858"/>
        <v>0</v>
      </c>
      <c r="T812" s="93">
        <f t="shared" si="859"/>
        <v>0</v>
      </c>
      <c r="U812" s="95">
        <f t="shared" si="860"/>
        <v>0</v>
      </c>
      <c r="V812" s="94"/>
      <c r="X812" s="580" t="str">
        <f t="shared" si="796"/>
        <v/>
      </c>
      <c r="Y812" s="580" t="str">
        <f t="shared" si="811"/>
        <v/>
      </c>
      <c r="Z812" s="580" t="str">
        <f t="shared" si="716"/>
        <v/>
      </c>
    </row>
    <row r="813" spans="1:26" hidden="1" x14ac:dyDescent="0.2">
      <c r="A813" s="97" t="s">
        <v>565</v>
      </c>
      <c r="B813" s="1031" t="s">
        <v>565</v>
      </c>
      <c r="C813" s="978" t="s">
        <v>494</v>
      </c>
      <c r="D813" s="595" t="s">
        <v>571</v>
      </c>
      <c r="E813" s="596"/>
      <c r="F813" s="671"/>
      <c r="G813" s="597"/>
      <c r="H813" s="682"/>
      <c r="I813" s="592">
        <v>6.17</v>
      </c>
      <c r="J813" s="592">
        <f t="shared" si="854"/>
        <v>6.17</v>
      </c>
      <c r="K813" s="593">
        <f t="shared" si="804"/>
        <v>7.51</v>
      </c>
      <c r="L813" s="594" t="s">
        <v>21</v>
      </c>
      <c r="M813" s="92"/>
      <c r="N813" s="92"/>
      <c r="O813" s="93">
        <f t="shared" si="855"/>
        <v>0</v>
      </c>
      <c r="P813" s="93">
        <f t="shared" si="856"/>
        <v>0</v>
      </c>
      <c r="Q813" s="94"/>
      <c r="R813" s="92">
        <f t="shared" si="857"/>
        <v>0</v>
      </c>
      <c r="S813" s="92">
        <f t="shared" si="858"/>
        <v>0</v>
      </c>
      <c r="T813" s="93">
        <f t="shared" si="859"/>
        <v>0</v>
      </c>
      <c r="U813" s="95">
        <f t="shared" si="860"/>
        <v>0</v>
      </c>
      <c r="V813" s="94"/>
      <c r="X813" s="580" t="str">
        <f t="shared" si="796"/>
        <v/>
      </c>
      <c r="Y813" s="580" t="str">
        <f t="shared" si="811"/>
        <v/>
      </c>
      <c r="Z813" s="580" t="str">
        <f t="shared" si="716"/>
        <v/>
      </c>
    </row>
    <row r="814" spans="1:26" hidden="1" x14ac:dyDescent="0.2">
      <c r="A814" s="97">
        <v>947</v>
      </c>
      <c r="B814" s="1031">
        <v>947</v>
      </c>
      <c r="C814" s="978" t="s">
        <v>494</v>
      </c>
      <c r="D814" s="595" t="s">
        <v>698</v>
      </c>
      <c r="E814" s="596"/>
      <c r="F814" s="671"/>
      <c r="G814" s="597"/>
      <c r="H814" s="682"/>
      <c r="I814" s="592">
        <v>34.26</v>
      </c>
      <c r="J814" s="592">
        <f t="shared" si="854"/>
        <v>34.26</v>
      </c>
      <c r="K814" s="593">
        <f t="shared" si="804"/>
        <v>41.7</v>
      </c>
      <c r="L814" s="594" t="s">
        <v>21</v>
      </c>
      <c r="M814" s="92"/>
      <c r="N814" s="92"/>
      <c r="O814" s="93">
        <f t="shared" si="855"/>
        <v>0</v>
      </c>
      <c r="P814" s="93">
        <f t="shared" si="856"/>
        <v>0</v>
      </c>
      <c r="Q814" s="94"/>
      <c r="R814" s="92">
        <f t="shared" si="857"/>
        <v>0</v>
      </c>
      <c r="S814" s="92">
        <f t="shared" si="858"/>
        <v>0</v>
      </c>
      <c r="T814" s="93">
        <f t="shared" si="859"/>
        <v>0</v>
      </c>
      <c r="U814" s="95">
        <f t="shared" si="860"/>
        <v>0</v>
      </c>
      <c r="V814" s="94"/>
      <c r="X814" s="580" t="str">
        <f t="shared" si="796"/>
        <v/>
      </c>
      <c r="Y814" s="580" t="str">
        <f t="shared" si="811"/>
        <v/>
      </c>
      <c r="Z814" s="580" t="str">
        <f t="shared" si="716"/>
        <v/>
      </c>
    </row>
    <row r="815" spans="1:26" hidden="1" x14ac:dyDescent="0.2">
      <c r="A815" s="97" t="s">
        <v>596</v>
      </c>
      <c r="B815" s="1031" t="s">
        <v>596</v>
      </c>
      <c r="C815" s="978" t="s">
        <v>494</v>
      </c>
      <c r="D815" s="595" t="s">
        <v>597</v>
      </c>
      <c r="E815" s="596"/>
      <c r="F815" s="671"/>
      <c r="G815" s="597"/>
      <c r="H815" s="682"/>
      <c r="I815" s="592">
        <v>34.26</v>
      </c>
      <c r="J815" s="592">
        <f t="shared" si="854"/>
        <v>34.26</v>
      </c>
      <c r="K815" s="593">
        <f t="shared" si="804"/>
        <v>41.7</v>
      </c>
      <c r="L815" s="594" t="s">
        <v>21</v>
      </c>
      <c r="M815" s="92"/>
      <c r="N815" s="92"/>
      <c r="O815" s="93">
        <f t="shared" si="855"/>
        <v>0</v>
      </c>
      <c r="P815" s="93">
        <f t="shared" si="856"/>
        <v>0</v>
      </c>
      <c r="Q815" s="94"/>
      <c r="R815" s="92">
        <f t="shared" si="857"/>
        <v>0</v>
      </c>
      <c r="S815" s="92">
        <f t="shared" si="858"/>
        <v>0</v>
      </c>
      <c r="T815" s="93">
        <f t="shared" si="859"/>
        <v>0</v>
      </c>
      <c r="U815" s="95">
        <f t="shared" si="860"/>
        <v>0</v>
      </c>
      <c r="V815" s="94"/>
      <c r="X815" s="580" t="str">
        <f t="shared" si="796"/>
        <v/>
      </c>
      <c r="Y815" s="580" t="str">
        <f t="shared" si="811"/>
        <v/>
      </c>
      <c r="Z815" s="580" t="str">
        <f t="shared" si="716"/>
        <v/>
      </c>
    </row>
    <row r="816" spans="1:26" hidden="1" x14ac:dyDescent="0.2">
      <c r="A816" s="97">
        <v>760</v>
      </c>
      <c r="B816" s="1031">
        <v>760</v>
      </c>
      <c r="C816" s="978" t="s">
        <v>494</v>
      </c>
      <c r="D816" s="595" t="s">
        <v>599</v>
      </c>
      <c r="E816" s="596"/>
      <c r="F816" s="671"/>
      <c r="G816" s="597"/>
      <c r="H816" s="682"/>
      <c r="I816" s="592">
        <v>17.47</v>
      </c>
      <c r="J816" s="592">
        <f t="shared" si="854"/>
        <v>17.47</v>
      </c>
      <c r="K816" s="593">
        <f t="shared" si="804"/>
        <v>21.26</v>
      </c>
      <c r="L816" s="594" t="s">
        <v>21</v>
      </c>
      <c r="M816" s="92"/>
      <c r="N816" s="92"/>
      <c r="O816" s="93">
        <f t="shared" si="855"/>
        <v>0</v>
      </c>
      <c r="P816" s="93">
        <f t="shared" si="856"/>
        <v>0</v>
      </c>
      <c r="Q816" s="94"/>
      <c r="R816" s="92">
        <f t="shared" si="857"/>
        <v>0</v>
      </c>
      <c r="S816" s="92">
        <f t="shared" si="858"/>
        <v>0</v>
      </c>
      <c r="T816" s="93">
        <f t="shared" si="859"/>
        <v>0</v>
      </c>
      <c r="U816" s="95">
        <f t="shared" si="860"/>
        <v>0</v>
      </c>
      <c r="V816" s="94"/>
      <c r="X816" s="580" t="str">
        <f t="shared" si="796"/>
        <v/>
      </c>
      <c r="Y816" s="580" t="str">
        <f t="shared" si="811"/>
        <v/>
      </c>
      <c r="Z816" s="580" t="str">
        <f t="shared" si="716"/>
        <v/>
      </c>
    </row>
    <row r="817" spans="1:26" hidden="1" x14ac:dyDescent="0.2">
      <c r="A817" s="97" t="s">
        <v>598</v>
      </c>
      <c r="B817" s="1031" t="s">
        <v>598</v>
      </c>
      <c r="C817" s="978" t="s">
        <v>494</v>
      </c>
      <c r="D817" s="595" t="s">
        <v>600</v>
      </c>
      <c r="E817" s="596"/>
      <c r="F817" s="671"/>
      <c r="G817" s="597"/>
      <c r="H817" s="682"/>
      <c r="I817" s="592">
        <v>6.85</v>
      </c>
      <c r="J817" s="592">
        <f t="shared" si="854"/>
        <v>6.85</v>
      </c>
      <c r="K817" s="593">
        <f t="shared" si="804"/>
        <v>8.34</v>
      </c>
      <c r="L817" s="594" t="s">
        <v>21</v>
      </c>
      <c r="M817" s="92"/>
      <c r="N817" s="92"/>
      <c r="O817" s="93">
        <f t="shared" si="855"/>
        <v>0</v>
      </c>
      <c r="P817" s="93">
        <f t="shared" si="856"/>
        <v>0</v>
      </c>
      <c r="Q817" s="94"/>
      <c r="R817" s="92">
        <f t="shared" si="857"/>
        <v>0</v>
      </c>
      <c r="S817" s="92">
        <f t="shared" si="858"/>
        <v>0</v>
      </c>
      <c r="T817" s="93">
        <f t="shared" si="859"/>
        <v>0</v>
      </c>
      <c r="U817" s="95">
        <f t="shared" si="860"/>
        <v>0</v>
      </c>
      <c r="V817" s="94"/>
      <c r="X817" s="580" t="str">
        <f t="shared" ref="X817:X880" si="861">IF(W817="X","x",IF(W817="xx","x",IF(W817="xy","x",IF(W817="y","x",IF(OR(P817&gt;0,U817&gt;0),"x","")))))</f>
        <v/>
      </c>
      <c r="Y817" s="580" t="str">
        <f t="shared" si="811"/>
        <v/>
      </c>
      <c r="Z817" s="580" t="str">
        <f t="shared" si="716"/>
        <v/>
      </c>
    </row>
    <row r="818" spans="1:26" hidden="1" x14ac:dyDescent="0.2">
      <c r="A818" s="97">
        <v>761</v>
      </c>
      <c r="B818" s="1031">
        <v>761</v>
      </c>
      <c r="C818" s="978" t="s">
        <v>494</v>
      </c>
      <c r="D818" s="595" t="s">
        <v>602</v>
      </c>
      <c r="E818" s="596"/>
      <c r="F818" s="671"/>
      <c r="G818" s="597"/>
      <c r="H818" s="682"/>
      <c r="I818" s="592">
        <v>13.36</v>
      </c>
      <c r="J818" s="592">
        <f t="shared" si="854"/>
        <v>13.36</v>
      </c>
      <c r="K818" s="593">
        <f t="shared" si="804"/>
        <v>16.260000000000002</v>
      </c>
      <c r="L818" s="594" t="s">
        <v>21</v>
      </c>
      <c r="M818" s="92"/>
      <c r="N818" s="92"/>
      <c r="O818" s="93">
        <f t="shared" si="855"/>
        <v>0</v>
      </c>
      <c r="P818" s="93">
        <f t="shared" si="856"/>
        <v>0</v>
      </c>
      <c r="Q818" s="94"/>
      <c r="R818" s="92">
        <f t="shared" si="857"/>
        <v>0</v>
      </c>
      <c r="S818" s="92">
        <f t="shared" si="858"/>
        <v>0</v>
      </c>
      <c r="T818" s="93">
        <f t="shared" si="859"/>
        <v>0</v>
      </c>
      <c r="U818" s="95">
        <f t="shared" si="860"/>
        <v>0</v>
      </c>
      <c r="V818" s="94"/>
      <c r="X818" s="580" t="str">
        <f t="shared" si="861"/>
        <v/>
      </c>
      <c r="Y818" s="580" t="str">
        <f t="shared" si="811"/>
        <v/>
      </c>
      <c r="Z818" s="580" t="str">
        <f t="shared" si="716"/>
        <v/>
      </c>
    </row>
    <row r="819" spans="1:26" hidden="1" x14ac:dyDescent="0.2">
      <c r="A819" s="97" t="s">
        <v>601</v>
      </c>
      <c r="B819" s="1031" t="s">
        <v>601</v>
      </c>
      <c r="C819" s="978" t="s">
        <v>494</v>
      </c>
      <c r="D819" s="595" t="s">
        <v>658</v>
      </c>
      <c r="E819" s="596"/>
      <c r="F819" s="671"/>
      <c r="G819" s="597"/>
      <c r="H819" s="682"/>
      <c r="I819" s="592">
        <v>5.48</v>
      </c>
      <c r="J819" s="592">
        <f t="shared" si="854"/>
        <v>5.48</v>
      </c>
      <c r="K819" s="593">
        <f t="shared" si="804"/>
        <v>6.67</v>
      </c>
      <c r="L819" s="594" t="s">
        <v>21</v>
      </c>
      <c r="M819" s="92"/>
      <c r="N819" s="92"/>
      <c r="O819" s="93">
        <f t="shared" si="855"/>
        <v>0</v>
      </c>
      <c r="P819" s="93">
        <f t="shared" si="856"/>
        <v>0</v>
      </c>
      <c r="Q819" s="94"/>
      <c r="R819" s="92">
        <f t="shared" si="857"/>
        <v>0</v>
      </c>
      <c r="S819" s="92">
        <f t="shared" si="858"/>
        <v>0</v>
      </c>
      <c r="T819" s="93">
        <f t="shared" si="859"/>
        <v>0</v>
      </c>
      <c r="U819" s="95">
        <f t="shared" si="860"/>
        <v>0</v>
      </c>
      <c r="V819" s="94"/>
      <c r="X819" s="580" t="str">
        <f t="shared" si="861"/>
        <v/>
      </c>
      <c r="Y819" s="580" t="str">
        <f t="shared" si="811"/>
        <v/>
      </c>
      <c r="Z819" s="580" t="str">
        <f t="shared" si="716"/>
        <v/>
      </c>
    </row>
    <row r="820" spans="1:26" hidden="1" x14ac:dyDescent="0.2">
      <c r="A820" s="97">
        <v>762</v>
      </c>
      <c r="B820" s="1031">
        <v>762</v>
      </c>
      <c r="C820" s="978" t="s">
        <v>494</v>
      </c>
      <c r="D820" s="595" t="s">
        <v>604</v>
      </c>
      <c r="E820" s="596"/>
      <c r="F820" s="671"/>
      <c r="G820" s="597"/>
      <c r="H820" s="682"/>
      <c r="I820" s="592">
        <v>21.58</v>
      </c>
      <c r="J820" s="592">
        <f t="shared" si="854"/>
        <v>21.58</v>
      </c>
      <c r="K820" s="593">
        <f t="shared" si="804"/>
        <v>26.27</v>
      </c>
      <c r="L820" s="594" t="s">
        <v>21</v>
      </c>
      <c r="M820" s="92"/>
      <c r="N820" s="92"/>
      <c r="O820" s="93">
        <f t="shared" si="855"/>
        <v>0</v>
      </c>
      <c r="P820" s="93">
        <f t="shared" si="856"/>
        <v>0</v>
      </c>
      <c r="Q820" s="94"/>
      <c r="R820" s="92">
        <f t="shared" si="857"/>
        <v>0</v>
      </c>
      <c r="S820" s="92">
        <f t="shared" si="858"/>
        <v>0</v>
      </c>
      <c r="T820" s="93">
        <f t="shared" si="859"/>
        <v>0</v>
      </c>
      <c r="U820" s="95">
        <f t="shared" si="860"/>
        <v>0</v>
      </c>
      <c r="V820" s="94"/>
      <c r="X820" s="580" t="str">
        <f t="shared" si="861"/>
        <v/>
      </c>
      <c r="Y820" s="580" t="str">
        <f t="shared" si="811"/>
        <v/>
      </c>
      <c r="Z820" s="580" t="str">
        <f t="shared" ref="Z820:Z1688" si="862">IF(W820="X","x",IF(U820&gt;0,"x",""))</f>
        <v/>
      </c>
    </row>
    <row r="821" spans="1:26" hidden="1" x14ac:dyDescent="0.2">
      <c r="A821" s="97" t="s">
        <v>603</v>
      </c>
      <c r="B821" s="1031" t="s">
        <v>603</v>
      </c>
      <c r="C821" s="978" t="s">
        <v>494</v>
      </c>
      <c r="D821" s="595" t="s">
        <v>605</v>
      </c>
      <c r="E821" s="596"/>
      <c r="F821" s="671"/>
      <c r="G821" s="597"/>
      <c r="H821" s="682"/>
      <c r="I821" s="592">
        <v>8.57</v>
      </c>
      <c r="J821" s="592">
        <f t="shared" si="854"/>
        <v>8.57</v>
      </c>
      <c r="K821" s="593">
        <f t="shared" si="804"/>
        <v>10.43</v>
      </c>
      <c r="L821" s="594" t="s">
        <v>21</v>
      </c>
      <c r="M821" s="92"/>
      <c r="N821" s="92"/>
      <c r="O821" s="93">
        <f t="shared" si="855"/>
        <v>0</v>
      </c>
      <c r="P821" s="93">
        <f t="shared" si="856"/>
        <v>0</v>
      </c>
      <c r="Q821" s="94"/>
      <c r="R821" s="92">
        <f t="shared" si="857"/>
        <v>0</v>
      </c>
      <c r="S821" s="92">
        <f t="shared" si="858"/>
        <v>0</v>
      </c>
      <c r="T821" s="93">
        <f t="shared" si="859"/>
        <v>0</v>
      </c>
      <c r="U821" s="95">
        <f t="shared" si="860"/>
        <v>0</v>
      </c>
      <c r="V821" s="94"/>
      <c r="X821" s="580" t="str">
        <f t="shared" si="861"/>
        <v/>
      </c>
      <c r="Y821" s="580" t="str">
        <f t="shared" si="811"/>
        <v/>
      </c>
      <c r="Z821" s="580" t="str">
        <f t="shared" si="862"/>
        <v/>
      </c>
    </row>
    <row r="822" spans="1:26" ht="25.5" hidden="1" x14ac:dyDescent="0.2">
      <c r="A822" s="97">
        <v>763</v>
      </c>
      <c r="B822" s="1031">
        <v>763</v>
      </c>
      <c r="C822" s="978" t="s">
        <v>494</v>
      </c>
      <c r="D822" s="595" t="s">
        <v>606</v>
      </c>
      <c r="E822" s="596"/>
      <c r="F822" s="671"/>
      <c r="G822" s="597"/>
      <c r="H822" s="682"/>
      <c r="I822" s="592">
        <v>23.3</v>
      </c>
      <c r="J822" s="592">
        <f t="shared" si="854"/>
        <v>23.3</v>
      </c>
      <c r="K822" s="593">
        <f t="shared" si="804"/>
        <v>28.36</v>
      </c>
      <c r="L822" s="594" t="s">
        <v>21</v>
      </c>
      <c r="M822" s="92"/>
      <c r="N822" s="92"/>
      <c r="O822" s="93">
        <f t="shared" si="855"/>
        <v>0</v>
      </c>
      <c r="P822" s="93">
        <f t="shared" si="856"/>
        <v>0</v>
      </c>
      <c r="Q822" s="94"/>
      <c r="R822" s="92">
        <f t="shared" si="857"/>
        <v>0</v>
      </c>
      <c r="S822" s="92">
        <f t="shared" si="858"/>
        <v>0</v>
      </c>
      <c r="T822" s="93">
        <f t="shared" si="859"/>
        <v>0</v>
      </c>
      <c r="U822" s="95">
        <f t="shared" si="860"/>
        <v>0</v>
      </c>
      <c r="V822" s="94"/>
      <c r="X822" s="580" t="str">
        <f t="shared" si="861"/>
        <v/>
      </c>
      <c r="Y822" s="580" t="str">
        <f t="shared" si="811"/>
        <v/>
      </c>
      <c r="Z822" s="580" t="str">
        <f t="shared" si="862"/>
        <v/>
      </c>
    </row>
    <row r="823" spans="1:26" hidden="1" x14ac:dyDescent="0.2">
      <c r="A823" s="97">
        <v>767</v>
      </c>
      <c r="B823" s="1031">
        <v>767</v>
      </c>
      <c r="C823" s="978" t="s">
        <v>494</v>
      </c>
      <c r="D823" s="595" t="s">
        <v>699</v>
      </c>
      <c r="E823" s="596"/>
      <c r="F823" s="671">
        <v>0</v>
      </c>
      <c r="G823" s="597"/>
      <c r="H823" s="682">
        <v>0</v>
      </c>
      <c r="I823" s="592">
        <v>19.53</v>
      </c>
      <c r="J823" s="592">
        <f t="shared" si="854"/>
        <v>19.53</v>
      </c>
      <c r="K823" s="593">
        <f t="shared" si="804"/>
        <v>23.77</v>
      </c>
      <c r="L823" s="594" t="s">
        <v>21</v>
      </c>
      <c r="M823" s="92"/>
      <c r="N823" s="92"/>
      <c r="O823" s="93">
        <f t="shared" si="855"/>
        <v>0</v>
      </c>
      <c r="P823" s="93">
        <f t="shared" si="856"/>
        <v>0</v>
      </c>
      <c r="Q823" s="94"/>
      <c r="R823" s="92">
        <f t="shared" si="857"/>
        <v>0</v>
      </c>
      <c r="S823" s="92">
        <f t="shared" si="858"/>
        <v>0</v>
      </c>
      <c r="T823" s="93">
        <f t="shared" si="859"/>
        <v>0</v>
      </c>
      <c r="U823" s="95">
        <f t="shared" si="860"/>
        <v>0</v>
      </c>
      <c r="V823" s="94"/>
      <c r="X823" s="580" t="str">
        <f t="shared" si="861"/>
        <v/>
      </c>
      <c r="Y823" s="580" t="str">
        <f t="shared" si="811"/>
        <v/>
      </c>
      <c r="Z823" s="580" t="str">
        <f t="shared" si="862"/>
        <v/>
      </c>
    </row>
    <row r="824" spans="1:26" hidden="1" x14ac:dyDescent="0.2">
      <c r="A824" s="97">
        <v>768</v>
      </c>
      <c r="B824" s="1031">
        <v>768</v>
      </c>
      <c r="C824" s="978" t="s">
        <v>494</v>
      </c>
      <c r="D824" s="595" t="s">
        <v>700</v>
      </c>
      <c r="E824" s="596"/>
      <c r="F824" s="671">
        <v>0</v>
      </c>
      <c r="G824" s="597"/>
      <c r="H824" s="682">
        <v>0</v>
      </c>
      <c r="I824" s="592">
        <v>44.54</v>
      </c>
      <c r="J824" s="592">
        <f t="shared" si="854"/>
        <v>44.54</v>
      </c>
      <c r="K824" s="593">
        <f t="shared" si="804"/>
        <v>54.21</v>
      </c>
      <c r="L824" s="594" t="s">
        <v>21</v>
      </c>
      <c r="M824" s="92"/>
      <c r="N824" s="92"/>
      <c r="O824" s="93">
        <f t="shared" si="855"/>
        <v>0</v>
      </c>
      <c r="P824" s="93">
        <f t="shared" si="856"/>
        <v>0</v>
      </c>
      <c r="Q824" s="94"/>
      <c r="R824" s="92">
        <f t="shared" si="857"/>
        <v>0</v>
      </c>
      <c r="S824" s="92">
        <f t="shared" si="858"/>
        <v>0</v>
      </c>
      <c r="T824" s="93">
        <f t="shared" si="859"/>
        <v>0</v>
      </c>
      <c r="U824" s="95">
        <f t="shared" si="860"/>
        <v>0</v>
      </c>
      <c r="V824" s="94"/>
      <c r="X824" s="580" t="str">
        <f t="shared" si="861"/>
        <v/>
      </c>
      <c r="Y824" s="580" t="str">
        <f t="shared" si="811"/>
        <v/>
      </c>
      <c r="Z824" s="580" t="str">
        <f t="shared" si="862"/>
        <v/>
      </c>
    </row>
    <row r="825" spans="1:26" hidden="1" x14ac:dyDescent="0.2">
      <c r="A825" s="97">
        <v>769</v>
      </c>
      <c r="B825" s="1031">
        <v>769</v>
      </c>
      <c r="C825" s="978" t="s">
        <v>494</v>
      </c>
      <c r="D825" s="595" t="s">
        <v>701</v>
      </c>
      <c r="E825" s="596"/>
      <c r="F825" s="671">
        <v>0</v>
      </c>
      <c r="G825" s="597"/>
      <c r="H825" s="682">
        <v>0</v>
      </c>
      <c r="I825" s="592">
        <v>163.77000000000001</v>
      </c>
      <c r="J825" s="592">
        <f t="shared" si="854"/>
        <v>163.77000000000001</v>
      </c>
      <c r="K825" s="593">
        <f t="shared" si="804"/>
        <v>199.32</v>
      </c>
      <c r="L825" s="594" t="s">
        <v>21</v>
      </c>
      <c r="M825" s="92"/>
      <c r="N825" s="92"/>
      <c r="O825" s="93">
        <f t="shared" si="855"/>
        <v>0</v>
      </c>
      <c r="P825" s="93">
        <f t="shared" si="856"/>
        <v>0</v>
      </c>
      <c r="Q825" s="94"/>
      <c r="R825" s="92">
        <f t="shared" si="857"/>
        <v>0</v>
      </c>
      <c r="S825" s="92">
        <f t="shared" si="858"/>
        <v>0</v>
      </c>
      <c r="T825" s="93">
        <f t="shared" si="859"/>
        <v>0</v>
      </c>
      <c r="U825" s="95">
        <f t="shared" si="860"/>
        <v>0</v>
      </c>
      <c r="V825" s="94"/>
      <c r="X825" s="580" t="str">
        <f t="shared" si="861"/>
        <v/>
      </c>
      <c r="Y825" s="580" t="str">
        <f t="shared" si="811"/>
        <v/>
      </c>
      <c r="Z825" s="580" t="str">
        <f t="shared" si="862"/>
        <v/>
      </c>
    </row>
    <row r="826" spans="1:26" hidden="1" x14ac:dyDescent="0.2">
      <c r="A826" s="97">
        <v>770</v>
      </c>
      <c r="B826" s="1031">
        <v>770</v>
      </c>
      <c r="C826" s="978" t="s">
        <v>494</v>
      </c>
      <c r="D826" s="595" t="s">
        <v>575</v>
      </c>
      <c r="E826" s="596"/>
      <c r="F826" s="671"/>
      <c r="G826" s="597"/>
      <c r="H826" s="682"/>
      <c r="I826" s="592">
        <v>56.53</v>
      </c>
      <c r="J826" s="592">
        <f t="shared" si="854"/>
        <v>56.53</v>
      </c>
      <c r="K826" s="593">
        <f t="shared" si="804"/>
        <v>68.8</v>
      </c>
      <c r="L826" s="594" t="s">
        <v>21</v>
      </c>
      <c r="M826" s="92"/>
      <c r="N826" s="92"/>
      <c r="O826" s="93">
        <f t="shared" si="855"/>
        <v>0</v>
      </c>
      <c r="P826" s="93">
        <f t="shared" si="856"/>
        <v>0</v>
      </c>
      <c r="Q826" s="94"/>
      <c r="R826" s="92">
        <f t="shared" si="857"/>
        <v>0</v>
      </c>
      <c r="S826" s="92">
        <f t="shared" si="858"/>
        <v>0</v>
      </c>
      <c r="T826" s="93">
        <f t="shared" si="859"/>
        <v>0</v>
      </c>
      <c r="U826" s="95">
        <f t="shared" si="860"/>
        <v>0</v>
      </c>
      <c r="V826" s="94"/>
      <c r="X826" s="580" t="str">
        <f t="shared" si="861"/>
        <v/>
      </c>
      <c r="Y826" s="580" t="str">
        <f t="shared" si="811"/>
        <v/>
      </c>
      <c r="Z826" s="580" t="str">
        <f t="shared" si="862"/>
        <v/>
      </c>
    </row>
    <row r="827" spans="1:26" hidden="1" x14ac:dyDescent="0.2">
      <c r="A827" s="97" t="s">
        <v>572</v>
      </c>
      <c r="B827" s="1031" t="s">
        <v>572</v>
      </c>
      <c r="C827" s="978" t="s">
        <v>494</v>
      </c>
      <c r="D827" s="595" t="s">
        <v>576</v>
      </c>
      <c r="E827" s="596"/>
      <c r="F827" s="671"/>
      <c r="G827" s="597"/>
      <c r="H827" s="682"/>
      <c r="I827" s="592">
        <v>22.61</v>
      </c>
      <c r="J827" s="592">
        <f t="shared" si="854"/>
        <v>22.61</v>
      </c>
      <c r="K827" s="593">
        <f t="shared" si="804"/>
        <v>27.52</v>
      </c>
      <c r="L827" s="594" t="s">
        <v>21</v>
      </c>
      <c r="M827" s="92"/>
      <c r="N827" s="92"/>
      <c r="O827" s="93">
        <f t="shared" si="855"/>
        <v>0</v>
      </c>
      <c r="P827" s="93">
        <f t="shared" si="856"/>
        <v>0</v>
      </c>
      <c r="Q827" s="94"/>
      <c r="R827" s="92">
        <f t="shared" si="857"/>
        <v>0</v>
      </c>
      <c r="S827" s="92">
        <f t="shared" si="858"/>
        <v>0</v>
      </c>
      <c r="T827" s="93">
        <f t="shared" si="859"/>
        <v>0</v>
      </c>
      <c r="U827" s="95">
        <f t="shared" si="860"/>
        <v>0</v>
      </c>
      <c r="V827" s="94"/>
      <c r="X827" s="580" t="str">
        <f t="shared" si="861"/>
        <v/>
      </c>
      <c r="Y827" s="580" t="str">
        <f t="shared" si="811"/>
        <v/>
      </c>
      <c r="Z827" s="580" t="str">
        <f t="shared" si="862"/>
        <v/>
      </c>
    </row>
    <row r="828" spans="1:26" hidden="1" x14ac:dyDescent="0.2">
      <c r="A828" s="97">
        <v>771</v>
      </c>
      <c r="B828" s="1031">
        <v>771</v>
      </c>
      <c r="C828" s="978" t="s">
        <v>494</v>
      </c>
      <c r="D828" s="595" t="s">
        <v>577</v>
      </c>
      <c r="E828" s="596"/>
      <c r="F828" s="671"/>
      <c r="G828" s="597"/>
      <c r="H828" s="682"/>
      <c r="I828" s="592">
        <v>81.2</v>
      </c>
      <c r="J828" s="592">
        <f t="shared" ref="J828:J831" si="863">IF(ISBLANK(I828),"",SUM(H828:I828))</f>
        <v>81.2</v>
      </c>
      <c r="K828" s="593">
        <f t="shared" si="804"/>
        <v>98.83</v>
      </c>
      <c r="L828" s="594" t="s">
        <v>21</v>
      </c>
      <c r="M828" s="92"/>
      <c r="N828" s="92"/>
      <c r="O828" s="93">
        <f t="shared" ref="O828:O831" si="864">IF(ISBLANK(M828),0,ROUND(K828*M828,2))</f>
        <v>0</v>
      </c>
      <c r="P828" s="93">
        <f t="shared" ref="P828:P831" si="865">IF(ISBLANK(N828),0,ROUND(M828*N828,2))</f>
        <v>0</v>
      </c>
      <c r="Q828" s="94"/>
      <c r="R828" s="92">
        <f t="shared" ref="R828:R831" si="866">M828</f>
        <v>0</v>
      </c>
      <c r="S828" s="92">
        <f t="shared" ref="S828:S831" si="867">N828</f>
        <v>0</v>
      </c>
      <c r="T828" s="93">
        <f t="shared" ref="T828:T831" si="868">IF(ISBLANK(R828),0,ROUND(K828*R828,2))</f>
        <v>0</v>
      </c>
      <c r="U828" s="95">
        <f t="shared" ref="U828:U831" si="869">IF(ISBLANK(R828),0,ROUND(R828*S828,2))</f>
        <v>0</v>
      </c>
      <c r="V828" s="94"/>
      <c r="X828" s="580" t="str">
        <f t="shared" si="861"/>
        <v/>
      </c>
      <c r="Y828" s="580" t="str">
        <f t="shared" si="811"/>
        <v/>
      </c>
      <c r="Z828" s="580" t="str">
        <f t="shared" si="862"/>
        <v/>
      </c>
    </row>
    <row r="829" spans="1:26" hidden="1" x14ac:dyDescent="0.2">
      <c r="A829" s="97" t="s">
        <v>573</v>
      </c>
      <c r="B829" s="1031" t="s">
        <v>573</v>
      </c>
      <c r="C829" s="978" t="s">
        <v>494</v>
      </c>
      <c r="D829" s="595" t="s">
        <v>578</v>
      </c>
      <c r="E829" s="596"/>
      <c r="F829" s="671"/>
      <c r="G829" s="597"/>
      <c r="H829" s="682"/>
      <c r="I829" s="592">
        <v>32.549999999999997</v>
      </c>
      <c r="J829" s="592">
        <f t="shared" si="863"/>
        <v>32.549999999999997</v>
      </c>
      <c r="K829" s="593">
        <f t="shared" si="804"/>
        <v>39.619999999999997</v>
      </c>
      <c r="L829" s="594" t="s">
        <v>21</v>
      </c>
      <c r="M829" s="92"/>
      <c r="N829" s="92"/>
      <c r="O829" s="93">
        <f t="shared" si="864"/>
        <v>0</v>
      </c>
      <c r="P829" s="93">
        <f t="shared" si="865"/>
        <v>0</v>
      </c>
      <c r="Q829" s="94"/>
      <c r="R829" s="92">
        <f t="shared" si="866"/>
        <v>0</v>
      </c>
      <c r="S829" s="92">
        <f t="shared" si="867"/>
        <v>0</v>
      </c>
      <c r="T829" s="93">
        <f t="shared" si="868"/>
        <v>0</v>
      </c>
      <c r="U829" s="95">
        <f t="shared" si="869"/>
        <v>0</v>
      </c>
      <c r="V829" s="94"/>
      <c r="X829" s="580" t="str">
        <f t="shared" si="861"/>
        <v/>
      </c>
      <c r="Y829" s="580" t="str">
        <f t="shared" si="811"/>
        <v/>
      </c>
      <c r="Z829" s="580" t="str">
        <f t="shared" si="862"/>
        <v/>
      </c>
    </row>
    <row r="830" spans="1:26" hidden="1" x14ac:dyDescent="0.2">
      <c r="A830" s="97">
        <v>772</v>
      </c>
      <c r="B830" s="1031">
        <v>772</v>
      </c>
      <c r="C830" s="978" t="s">
        <v>494</v>
      </c>
      <c r="D830" s="595" t="s">
        <v>579</v>
      </c>
      <c r="E830" s="596"/>
      <c r="F830" s="671"/>
      <c r="G830" s="597"/>
      <c r="H830" s="682"/>
      <c r="I830" s="592">
        <v>26.72</v>
      </c>
      <c r="J830" s="592">
        <f t="shared" si="863"/>
        <v>26.72</v>
      </c>
      <c r="K830" s="593">
        <f t="shared" si="804"/>
        <v>32.520000000000003</v>
      </c>
      <c r="L830" s="594" t="s">
        <v>21</v>
      </c>
      <c r="M830" s="92"/>
      <c r="N830" s="92"/>
      <c r="O830" s="93">
        <f t="shared" si="864"/>
        <v>0</v>
      </c>
      <c r="P830" s="93">
        <f t="shared" si="865"/>
        <v>0</v>
      </c>
      <c r="Q830" s="94"/>
      <c r="R830" s="92">
        <f t="shared" si="866"/>
        <v>0</v>
      </c>
      <c r="S830" s="92">
        <f t="shared" si="867"/>
        <v>0</v>
      </c>
      <c r="T830" s="93">
        <f t="shared" si="868"/>
        <v>0</v>
      </c>
      <c r="U830" s="95">
        <f t="shared" si="869"/>
        <v>0</v>
      </c>
      <c r="V830" s="94"/>
      <c r="X830" s="580" t="str">
        <f t="shared" si="861"/>
        <v/>
      </c>
      <c r="Y830" s="580" t="str">
        <f t="shared" si="811"/>
        <v/>
      </c>
      <c r="Z830" s="580" t="str">
        <f t="shared" si="862"/>
        <v/>
      </c>
    </row>
    <row r="831" spans="1:26" hidden="1" x14ac:dyDescent="0.2">
      <c r="A831" s="97" t="s">
        <v>574</v>
      </c>
      <c r="B831" s="1031" t="s">
        <v>574</v>
      </c>
      <c r="C831" s="978" t="s">
        <v>494</v>
      </c>
      <c r="D831" s="595" t="s">
        <v>580</v>
      </c>
      <c r="E831" s="596"/>
      <c r="F831" s="671"/>
      <c r="G831" s="597"/>
      <c r="H831" s="682"/>
      <c r="I831" s="592">
        <v>10.62</v>
      </c>
      <c r="J831" s="592">
        <f t="shared" si="863"/>
        <v>10.62</v>
      </c>
      <c r="K831" s="593">
        <f t="shared" si="804"/>
        <v>12.93</v>
      </c>
      <c r="L831" s="594" t="s">
        <v>21</v>
      </c>
      <c r="M831" s="92"/>
      <c r="N831" s="92"/>
      <c r="O831" s="93">
        <f t="shared" si="864"/>
        <v>0</v>
      </c>
      <c r="P831" s="93">
        <f t="shared" si="865"/>
        <v>0</v>
      </c>
      <c r="Q831" s="94"/>
      <c r="R831" s="92">
        <f t="shared" si="866"/>
        <v>0</v>
      </c>
      <c r="S831" s="92">
        <f t="shared" si="867"/>
        <v>0</v>
      </c>
      <c r="T831" s="93">
        <f t="shared" si="868"/>
        <v>0</v>
      </c>
      <c r="U831" s="95">
        <f t="shared" si="869"/>
        <v>0</v>
      </c>
      <c r="V831" s="94"/>
      <c r="X831" s="580" t="str">
        <f t="shared" si="861"/>
        <v/>
      </c>
      <c r="Y831" s="580" t="str">
        <f t="shared" si="811"/>
        <v/>
      </c>
      <c r="Z831" s="580" t="str">
        <f t="shared" si="862"/>
        <v/>
      </c>
    </row>
    <row r="832" spans="1:26" hidden="1" x14ac:dyDescent="0.2">
      <c r="A832" s="97">
        <v>773</v>
      </c>
      <c r="B832" s="1031">
        <v>773</v>
      </c>
      <c r="C832" s="978" t="s">
        <v>494</v>
      </c>
      <c r="D832" s="595" t="s">
        <v>583</v>
      </c>
      <c r="E832" s="596"/>
      <c r="F832" s="671"/>
      <c r="G832" s="597"/>
      <c r="H832" s="682"/>
      <c r="I832" s="592">
        <v>88.39</v>
      </c>
      <c r="J832" s="592">
        <f t="shared" ref="J832:J834" si="870">IF(ISBLANK(I832),"",SUM(H832:I832))</f>
        <v>88.39</v>
      </c>
      <c r="K832" s="593">
        <f t="shared" si="804"/>
        <v>107.58</v>
      </c>
      <c r="L832" s="594" t="s">
        <v>21</v>
      </c>
      <c r="M832" s="92"/>
      <c r="N832" s="92"/>
      <c r="O832" s="93">
        <f t="shared" ref="O832:O834" si="871">IF(ISBLANK(M832),0,ROUND(K832*M832,2))</f>
        <v>0</v>
      </c>
      <c r="P832" s="93">
        <f t="shared" ref="P832:P834" si="872">IF(ISBLANK(N832),0,ROUND(M832*N832,2))</f>
        <v>0</v>
      </c>
      <c r="Q832" s="94"/>
      <c r="R832" s="92">
        <f t="shared" ref="R832:R834" si="873">M832</f>
        <v>0</v>
      </c>
      <c r="S832" s="92">
        <f t="shared" ref="S832:S834" si="874">N832</f>
        <v>0</v>
      </c>
      <c r="T832" s="93">
        <f t="shared" ref="T832:T834" si="875">IF(ISBLANK(R832),0,ROUND(K832*R832,2))</f>
        <v>0</v>
      </c>
      <c r="U832" s="95">
        <f t="shared" ref="U832:U834" si="876">IF(ISBLANK(R832),0,ROUND(R832*S832,2))</f>
        <v>0</v>
      </c>
      <c r="V832" s="94"/>
      <c r="X832" s="580" t="str">
        <f t="shared" si="861"/>
        <v/>
      </c>
      <c r="Y832" s="580" t="str">
        <f t="shared" si="811"/>
        <v/>
      </c>
      <c r="Z832" s="580" t="str">
        <f t="shared" si="862"/>
        <v/>
      </c>
    </row>
    <row r="833" spans="1:26" hidden="1" x14ac:dyDescent="0.2">
      <c r="A833" s="97">
        <v>774</v>
      </c>
      <c r="B833" s="1031">
        <v>774</v>
      </c>
      <c r="C833" s="978" t="s">
        <v>494</v>
      </c>
      <c r="D833" s="595" t="s">
        <v>586</v>
      </c>
      <c r="E833" s="596"/>
      <c r="F833" s="671"/>
      <c r="G833" s="597"/>
      <c r="H833" s="682"/>
      <c r="I833" s="592">
        <v>119.92</v>
      </c>
      <c r="J833" s="592">
        <f t="shared" si="870"/>
        <v>119.92</v>
      </c>
      <c r="K833" s="593">
        <f t="shared" si="804"/>
        <v>145.94999999999999</v>
      </c>
      <c r="L833" s="594" t="s">
        <v>21</v>
      </c>
      <c r="M833" s="92"/>
      <c r="N833" s="92"/>
      <c r="O833" s="93">
        <f t="shared" si="871"/>
        <v>0</v>
      </c>
      <c r="P833" s="93">
        <f t="shared" si="872"/>
        <v>0</v>
      </c>
      <c r="Q833" s="94"/>
      <c r="R833" s="92">
        <f t="shared" si="873"/>
        <v>0</v>
      </c>
      <c r="S833" s="92">
        <f t="shared" si="874"/>
        <v>0</v>
      </c>
      <c r="T833" s="93">
        <f t="shared" si="875"/>
        <v>0</v>
      </c>
      <c r="U833" s="95">
        <f t="shared" si="876"/>
        <v>0</v>
      </c>
      <c r="V833" s="94"/>
      <c r="X833" s="580" t="str">
        <f t="shared" si="861"/>
        <v/>
      </c>
      <c r="Y833" s="580" t="str">
        <f t="shared" si="811"/>
        <v/>
      </c>
      <c r="Z833" s="580" t="str">
        <f t="shared" si="862"/>
        <v/>
      </c>
    </row>
    <row r="834" spans="1:26" hidden="1" x14ac:dyDescent="0.2">
      <c r="A834" s="97" t="s">
        <v>585</v>
      </c>
      <c r="B834" s="1031" t="s">
        <v>585</v>
      </c>
      <c r="C834" s="978" t="s">
        <v>494</v>
      </c>
      <c r="D834" s="595" t="s">
        <v>587</v>
      </c>
      <c r="E834" s="596"/>
      <c r="F834" s="671"/>
      <c r="G834" s="597"/>
      <c r="H834" s="682"/>
      <c r="I834" s="592">
        <v>17.13</v>
      </c>
      <c r="J834" s="592">
        <f t="shared" si="870"/>
        <v>17.13</v>
      </c>
      <c r="K834" s="593">
        <f t="shared" si="804"/>
        <v>20.85</v>
      </c>
      <c r="L834" s="594" t="s">
        <v>21</v>
      </c>
      <c r="M834" s="92"/>
      <c r="N834" s="92"/>
      <c r="O834" s="93">
        <f t="shared" si="871"/>
        <v>0</v>
      </c>
      <c r="P834" s="93">
        <f t="shared" si="872"/>
        <v>0</v>
      </c>
      <c r="Q834" s="94"/>
      <c r="R834" s="92">
        <f t="shared" si="873"/>
        <v>0</v>
      </c>
      <c r="S834" s="92">
        <f t="shared" si="874"/>
        <v>0</v>
      </c>
      <c r="T834" s="93">
        <f t="shared" si="875"/>
        <v>0</v>
      </c>
      <c r="U834" s="95">
        <f t="shared" si="876"/>
        <v>0</v>
      </c>
      <c r="V834" s="94"/>
      <c r="X834" s="580" t="str">
        <f t="shared" si="861"/>
        <v/>
      </c>
      <c r="Y834" s="580" t="str">
        <f t="shared" si="811"/>
        <v/>
      </c>
      <c r="Z834" s="580" t="str">
        <f t="shared" si="862"/>
        <v/>
      </c>
    </row>
    <row r="835" spans="1:26" ht="25.5" hidden="1" x14ac:dyDescent="0.2">
      <c r="A835" s="97">
        <v>775</v>
      </c>
      <c r="B835" s="1031">
        <v>775</v>
      </c>
      <c r="C835" s="978" t="s">
        <v>494</v>
      </c>
      <c r="D835" s="595" t="s">
        <v>702</v>
      </c>
      <c r="E835" s="596"/>
      <c r="F835" s="671"/>
      <c r="G835" s="597"/>
      <c r="H835" s="682"/>
      <c r="I835" s="592">
        <v>14.05</v>
      </c>
      <c r="J835" s="592">
        <f t="shared" ref="J835:J841" si="877">IF(ISBLANK(I835),"",SUM(H835:I835))</f>
        <v>14.05</v>
      </c>
      <c r="K835" s="593">
        <f t="shared" si="804"/>
        <v>17.100000000000001</v>
      </c>
      <c r="L835" s="594" t="s">
        <v>21</v>
      </c>
      <c r="M835" s="92"/>
      <c r="N835" s="92"/>
      <c r="O835" s="93">
        <f t="shared" ref="O835:O841" si="878">IF(ISBLANK(M835),0,ROUND(K835*M835,2))</f>
        <v>0</v>
      </c>
      <c r="P835" s="93">
        <f t="shared" ref="P835:P841" si="879">IF(ISBLANK(N835),0,ROUND(M835*N835,2))</f>
        <v>0</v>
      </c>
      <c r="Q835" s="94"/>
      <c r="R835" s="92">
        <f t="shared" ref="R835:R841" si="880">M835</f>
        <v>0</v>
      </c>
      <c r="S835" s="92">
        <f t="shared" ref="S835:S841" si="881">N835</f>
        <v>0</v>
      </c>
      <c r="T835" s="93">
        <f t="shared" ref="T835:T841" si="882">IF(ISBLANK(R835),0,ROUND(K835*R835,2))</f>
        <v>0</v>
      </c>
      <c r="U835" s="95">
        <f t="shared" ref="U835:U841" si="883">IF(ISBLANK(R835),0,ROUND(R835*S835,2))</f>
        <v>0</v>
      </c>
      <c r="V835" s="94"/>
      <c r="X835" s="580" t="str">
        <f t="shared" si="861"/>
        <v/>
      </c>
      <c r="Y835" s="580" t="str">
        <f t="shared" si="811"/>
        <v/>
      </c>
      <c r="Z835" s="580" t="str">
        <f t="shared" si="862"/>
        <v/>
      </c>
    </row>
    <row r="836" spans="1:26" hidden="1" x14ac:dyDescent="0.2">
      <c r="A836" s="97">
        <v>776</v>
      </c>
      <c r="B836" s="1031">
        <v>776</v>
      </c>
      <c r="C836" s="978" t="s">
        <v>494</v>
      </c>
      <c r="D836" s="595" t="s">
        <v>591</v>
      </c>
      <c r="E836" s="596"/>
      <c r="F836" s="671"/>
      <c r="G836" s="597"/>
      <c r="H836" s="682"/>
      <c r="I836" s="592">
        <v>17.47</v>
      </c>
      <c r="J836" s="592">
        <f t="shared" si="877"/>
        <v>17.47</v>
      </c>
      <c r="K836" s="593">
        <f t="shared" si="804"/>
        <v>21.26</v>
      </c>
      <c r="L836" s="594" t="s">
        <v>21</v>
      </c>
      <c r="M836" s="92"/>
      <c r="N836" s="92"/>
      <c r="O836" s="93">
        <f t="shared" si="878"/>
        <v>0</v>
      </c>
      <c r="P836" s="93">
        <f t="shared" si="879"/>
        <v>0</v>
      </c>
      <c r="Q836" s="94"/>
      <c r="R836" s="92">
        <f t="shared" si="880"/>
        <v>0</v>
      </c>
      <c r="S836" s="92">
        <f t="shared" si="881"/>
        <v>0</v>
      </c>
      <c r="T836" s="93">
        <f t="shared" si="882"/>
        <v>0</v>
      </c>
      <c r="U836" s="95">
        <f t="shared" si="883"/>
        <v>0</v>
      </c>
      <c r="V836" s="94"/>
      <c r="X836" s="580" t="str">
        <f t="shared" si="861"/>
        <v/>
      </c>
      <c r="Y836" s="580" t="str">
        <f t="shared" si="811"/>
        <v/>
      </c>
      <c r="Z836" s="580" t="str">
        <f t="shared" si="862"/>
        <v/>
      </c>
    </row>
    <row r="837" spans="1:26" hidden="1" x14ac:dyDescent="0.2">
      <c r="A837" s="97" t="s">
        <v>588</v>
      </c>
      <c r="B837" s="1031" t="s">
        <v>588</v>
      </c>
      <c r="C837" s="978" t="s">
        <v>494</v>
      </c>
      <c r="D837" s="595" t="s">
        <v>592</v>
      </c>
      <c r="E837" s="596"/>
      <c r="F837" s="671"/>
      <c r="G837" s="597"/>
      <c r="H837" s="682"/>
      <c r="I837" s="592">
        <v>6.85</v>
      </c>
      <c r="J837" s="592">
        <f t="shared" si="877"/>
        <v>6.85</v>
      </c>
      <c r="K837" s="593">
        <f t="shared" si="804"/>
        <v>8.34</v>
      </c>
      <c r="L837" s="594" t="s">
        <v>21</v>
      </c>
      <c r="M837" s="92"/>
      <c r="N837" s="92"/>
      <c r="O837" s="93">
        <f t="shared" si="878"/>
        <v>0</v>
      </c>
      <c r="P837" s="93">
        <f t="shared" si="879"/>
        <v>0</v>
      </c>
      <c r="Q837" s="94"/>
      <c r="R837" s="92">
        <f t="shared" si="880"/>
        <v>0</v>
      </c>
      <c r="S837" s="92">
        <f t="shared" si="881"/>
        <v>0</v>
      </c>
      <c r="T837" s="93">
        <f t="shared" si="882"/>
        <v>0</v>
      </c>
      <c r="U837" s="95">
        <f t="shared" si="883"/>
        <v>0</v>
      </c>
      <c r="V837" s="94"/>
      <c r="X837" s="580" t="str">
        <f t="shared" si="861"/>
        <v/>
      </c>
      <c r="Y837" s="580" t="str">
        <f t="shared" si="811"/>
        <v/>
      </c>
      <c r="Z837" s="580" t="str">
        <f t="shared" si="862"/>
        <v/>
      </c>
    </row>
    <row r="838" spans="1:26" hidden="1" x14ac:dyDescent="0.2">
      <c r="A838" s="97">
        <v>862</v>
      </c>
      <c r="B838" s="1031">
        <v>862</v>
      </c>
      <c r="C838" s="978" t="s">
        <v>494</v>
      </c>
      <c r="D838" s="603" t="s">
        <v>703</v>
      </c>
      <c r="E838" s="596"/>
      <c r="F838" s="671"/>
      <c r="G838" s="597"/>
      <c r="H838" s="682"/>
      <c r="I838" s="592">
        <v>425.19</v>
      </c>
      <c r="J838" s="592">
        <f t="shared" si="877"/>
        <v>425.19</v>
      </c>
      <c r="K838" s="593">
        <f t="shared" si="804"/>
        <v>517.5</v>
      </c>
      <c r="L838" s="594" t="s">
        <v>16</v>
      </c>
      <c r="M838" s="92"/>
      <c r="N838" s="92"/>
      <c r="O838" s="93">
        <f t="shared" si="878"/>
        <v>0</v>
      </c>
      <c r="P838" s="93">
        <f t="shared" si="879"/>
        <v>0</v>
      </c>
      <c r="Q838" s="94"/>
      <c r="R838" s="92">
        <f t="shared" si="880"/>
        <v>0</v>
      </c>
      <c r="S838" s="92">
        <f t="shared" si="881"/>
        <v>0</v>
      </c>
      <c r="T838" s="93">
        <f t="shared" si="882"/>
        <v>0</v>
      </c>
      <c r="U838" s="95">
        <f t="shared" si="883"/>
        <v>0</v>
      </c>
      <c r="V838" s="94"/>
      <c r="X838" s="580" t="str">
        <f t="shared" si="861"/>
        <v/>
      </c>
      <c r="Y838" s="580" t="str">
        <f t="shared" si="811"/>
        <v/>
      </c>
      <c r="Z838" s="580" t="str">
        <f t="shared" si="862"/>
        <v/>
      </c>
    </row>
    <row r="839" spans="1:26" hidden="1" x14ac:dyDescent="0.2">
      <c r="A839" s="97" t="s">
        <v>589</v>
      </c>
      <c r="B839" s="1031" t="s">
        <v>589</v>
      </c>
      <c r="C839" s="978" t="s">
        <v>494</v>
      </c>
      <c r="D839" s="595" t="s">
        <v>593</v>
      </c>
      <c r="E839" s="596"/>
      <c r="F839" s="671"/>
      <c r="G839" s="597"/>
      <c r="H839" s="682"/>
      <c r="I839" s="592">
        <v>297.73</v>
      </c>
      <c r="J839" s="592">
        <f t="shared" si="877"/>
        <v>297.73</v>
      </c>
      <c r="K839" s="593">
        <f t="shared" si="804"/>
        <v>362.37</v>
      </c>
      <c r="L839" s="594" t="s">
        <v>16</v>
      </c>
      <c r="M839" s="92"/>
      <c r="N839" s="92"/>
      <c r="O839" s="93">
        <f t="shared" si="878"/>
        <v>0</v>
      </c>
      <c r="P839" s="93">
        <f t="shared" si="879"/>
        <v>0</v>
      </c>
      <c r="Q839" s="94"/>
      <c r="R839" s="92">
        <f t="shared" si="880"/>
        <v>0</v>
      </c>
      <c r="S839" s="92">
        <f t="shared" si="881"/>
        <v>0</v>
      </c>
      <c r="T839" s="93">
        <f t="shared" si="882"/>
        <v>0</v>
      </c>
      <c r="U839" s="95">
        <f t="shared" si="883"/>
        <v>0</v>
      </c>
      <c r="V839" s="94"/>
      <c r="X839" s="580" t="str">
        <f t="shared" si="861"/>
        <v/>
      </c>
      <c r="Y839" s="580" t="str">
        <f t="shared" si="811"/>
        <v/>
      </c>
      <c r="Z839" s="580" t="str">
        <f t="shared" si="862"/>
        <v/>
      </c>
    </row>
    <row r="840" spans="1:26" hidden="1" x14ac:dyDescent="0.2">
      <c r="A840" s="97">
        <v>875</v>
      </c>
      <c r="B840" s="1031">
        <v>875</v>
      </c>
      <c r="C840" s="978" t="s">
        <v>494</v>
      </c>
      <c r="D840" s="603" t="s">
        <v>594</v>
      </c>
      <c r="E840" s="596"/>
      <c r="F840" s="671"/>
      <c r="G840" s="597"/>
      <c r="H840" s="682"/>
      <c r="I840" s="592">
        <v>7.19</v>
      </c>
      <c r="J840" s="592">
        <f t="shared" si="877"/>
        <v>7.19</v>
      </c>
      <c r="K840" s="593">
        <f t="shared" si="804"/>
        <v>8.75</v>
      </c>
      <c r="L840" s="594" t="s">
        <v>21</v>
      </c>
      <c r="M840" s="92"/>
      <c r="N840" s="92"/>
      <c r="O840" s="93">
        <f t="shared" si="878"/>
        <v>0</v>
      </c>
      <c r="P840" s="93">
        <f t="shared" si="879"/>
        <v>0</v>
      </c>
      <c r="Q840" s="94"/>
      <c r="R840" s="92">
        <f t="shared" si="880"/>
        <v>0</v>
      </c>
      <c r="S840" s="92">
        <f t="shared" si="881"/>
        <v>0</v>
      </c>
      <c r="T840" s="93">
        <f t="shared" si="882"/>
        <v>0</v>
      </c>
      <c r="U840" s="95">
        <f t="shared" si="883"/>
        <v>0</v>
      </c>
      <c r="V840" s="94"/>
      <c r="X840" s="580" t="str">
        <f t="shared" si="861"/>
        <v/>
      </c>
      <c r="Y840" s="580" t="str">
        <f t="shared" si="811"/>
        <v/>
      </c>
      <c r="Z840" s="580" t="str">
        <f t="shared" si="862"/>
        <v/>
      </c>
    </row>
    <row r="841" spans="1:26" hidden="1" x14ac:dyDescent="0.2">
      <c r="A841" s="97" t="s">
        <v>590</v>
      </c>
      <c r="B841" s="1031" t="s">
        <v>590</v>
      </c>
      <c r="C841" s="978" t="s">
        <v>494</v>
      </c>
      <c r="D841" s="603" t="s">
        <v>595</v>
      </c>
      <c r="E841" s="596"/>
      <c r="F841" s="671"/>
      <c r="G841" s="597"/>
      <c r="H841" s="682"/>
      <c r="I841" s="592">
        <v>2.74</v>
      </c>
      <c r="J841" s="592">
        <f t="shared" si="877"/>
        <v>2.74</v>
      </c>
      <c r="K841" s="593">
        <f t="shared" si="804"/>
        <v>3.33</v>
      </c>
      <c r="L841" s="594" t="s">
        <v>21</v>
      </c>
      <c r="M841" s="92"/>
      <c r="N841" s="92"/>
      <c r="O841" s="93">
        <f t="shared" si="878"/>
        <v>0</v>
      </c>
      <c r="P841" s="93">
        <f t="shared" si="879"/>
        <v>0</v>
      </c>
      <c r="Q841" s="94"/>
      <c r="R841" s="92">
        <f t="shared" si="880"/>
        <v>0</v>
      </c>
      <c r="S841" s="92">
        <f t="shared" si="881"/>
        <v>0</v>
      </c>
      <c r="T841" s="93">
        <f t="shared" si="882"/>
        <v>0</v>
      </c>
      <c r="U841" s="95">
        <f t="shared" si="883"/>
        <v>0</v>
      </c>
      <c r="V841" s="94"/>
      <c r="X841" s="580" t="str">
        <f t="shared" si="861"/>
        <v/>
      </c>
      <c r="Y841" s="580" t="str">
        <f t="shared" si="811"/>
        <v/>
      </c>
      <c r="Z841" s="580" t="str">
        <f t="shared" si="862"/>
        <v/>
      </c>
    </row>
    <row r="842" spans="1:26" hidden="1" x14ac:dyDescent="0.2">
      <c r="A842" s="97">
        <v>780</v>
      </c>
      <c r="B842" s="1031">
        <v>780</v>
      </c>
      <c r="C842" s="978" t="s">
        <v>494</v>
      </c>
      <c r="D842" s="595" t="s">
        <v>665</v>
      </c>
      <c r="E842" s="596"/>
      <c r="F842" s="671"/>
      <c r="G842" s="597"/>
      <c r="H842" s="682"/>
      <c r="I842" s="592">
        <v>528.30999999999995</v>
      </c>
      <c r="J842" s="592">
        <f t="shared" ref="J842:J859" si="884">IF(ISBLANK(I842),"",SUM(H842:I842))</f>
        <v>528.30999999999995</v>
      </c>
      <c r="K842" s="593">
        <f t="shared" si="804"/>
        <v>643.01</v>
      </c>
      <c r="L842" s="594" t="s">
        <v>174</v>
      </c>
      <c r="M842" s="92"/>
      <c r="N842" s="92"/>
      <c r="O842" s="93">
        <f t="shared" ref="O842:O859" si="885">IF(ISBLANK(M842),0,ROUND(K842*M842,2))</f>
        <v>0</v>
      </c>
      <c r="P842" s="93">
        <f t="shared" ref="P842:P859" si="886">IF(ISBLANK(N842),0,ROUND(M842*N842,2))</f>
        <v>0</v>
      </c>
      <c r="Q842" s="94"/>
      <c r="R842" s="92">
        <f t="shared" ref="R842:R859" si="887">M842</f>
        <v>0</v>
      </c>
      <c r="S842" s="92">
        <f t="shared" ref="S842:S859" si="888">N842</f>
        <v>0</v>
      </c>
      <c r="T842" s="93">
        <f t="shared" ref="T842:T859" si="889">IF(ISBLANK(R842),0,ROUND(K842*R842,2))</f>
        <v>0</v>
      </c>
      <c r="U842" s="95">
        <f t="shared" ref="U842:U859" si="890">IF(ISBLANK(R842),0,ROUND(R842*S842,2))</f>
        <v>0</v>
      </c>
      <c r="V842" s="94"/>
      <c r="X842" s="580" t="str">
        <f t="shared" si="861"/>
        <v/>
      </c>
      <c r="Y842" s="580" t="str">
        <f t="shared" si="811"/>
        <v/>
      </c>
      <c r="Z842" s="580" t="str">
        <f t="shared" si="862"/>
        <v/>
      </c>
    </row>
    <row r="843" spans="1:26" hidden="1" x14ac:dyDescent="0.2">
      <c r="A843" s="97" t="s">
        <v>607</v>
      </c>
      <c r="B843" s="1031" t="s">
        <v>607</v>
      </c>
      <c r="C843" s="978" t="s">
        <v>494</v>
      </c>
      <c r="D843" s="595" t="s">
        <v>666</v>
      </c>
      <c r="E843" s="596"/>
      <c r="F843" s="671"/>
      <c r="G843" s="597"/>
      <c r="H843" s="682"/>
      <c r="I843" s="592">
        <v>211.39</v>
      </c>
      <c r="J843" s="592">
        <f t="shared" si="884"/>
        <v>211.39</v>
      </c>
      <c r="K843" s="593">
        <f t="shared" si="804"/>
        <v>257.27999999999997</v>
      </c>
      <c r="L843" s="594" t="s">
        <v>174</v>
      </c>
      <c r="M843" s="92"/>
      <c r="N843" s="92"/>
      <c r="O843" s="93">
        <f t="shared" si="885"/>
        <v>0</v>
      </c>
      <c r="P843" s="93">
        <f t="shared" si="886"/>
        <v>0</v>
      </c>
      <c r="Q843" s="94"/>
      <c r="R843" s="92">
        <f t="shared" si="887"/>
        <v>0</v>
      </c>
      <c r="S843" s="92">
        <f t="shared" si="888"/>
        <v>0</v>
      </c>
      <c r="T843" s="93">
        <f t="shared" si="889"/>
        <v>0</v>
      </c>
      <c r="U843" s="95">
        <f t="shared" si="890"/>
        <v>0</v>
      </c>
      <c r="V843" s="94"/>
      <c r="X843" s="580" t="str">
        <f t="shared" si="861"/>
        <v/>
      </c>
      <c r="Y843" s="580" t="str">
        <f t="shared" si="811"/>
        <v/>
      </c>
      <c r="Z843" s="580" t="str">
        <f t="shared" si="862"/>
        <v/>
      </c>
    </row>
    <row r="844" spans="1:26" ht="25.5" hidden="1" x14ac:dyDescent="0.2">
      <c r="A844" s="97">
        <v>781</v>
      </c>
      <c r="B844" s="1031">
        <v>781</v>
      </c>
      <c r="C844" s="978" t="s">
        <v>494</v>
      </c>
      <c r="D844" s="595" t="s">
        <v>616</v>
      </c>
      <c r="E844" s="596"/>
      <c r="F844" s="671"/>
      <c r="G844" s="597"/>
      <c r="H844" s="682"/>
      <c r="I844" s="592">
        <v>879.15</v>
      </c>
      <c r="J844" s="592">
        <f t="shared" si="884"/>
        <v>879.15</v>
      </c>
      <c r="K844" s="593">
        <f t="shared" ref="K844:K907" si="891">IF(ISBLANK(I844),0,ROUND(J844*(1+$F$10)*(1+$F$11*E844),2))</f>
        <v>1070.01</v>
      </c>
      <c r="L844" s="594" t="s">
        <v>174</v>
      </c>
      <c r="M844" s="92"/>
      <c r="N844" s="92"/>
      <c r="O844" s="93">
        <f t="shared" si="885"/>
        <v>0</v>
      </c>
      <c r="P844" s="93">
        <f t="shared" si="886"/>
        <v>0</v>
      </c>
      <c r="Q844" s="94"/>
      <c r="R844" s="92">
        <f t="shared" si="887"/>
        <v>0</v>
      </c>
      <c r="S844" s="92">
        <f t="shared" si="888"/>
        <v>0</v>
      </c>
      <c r="T844" s="93">
        <f t="shared" si="889"/>
        <v>0</v>
      </c>
      <c r="U844" s="95">
        <f t="shared" si="890"/>
        <v>0</v>
      </c>
      <c r="V844" s="94"/>
      <c r="X844" s="580" t="str">
        <f t="shared" si="861"/>
        <v/>
      </c>
      <c r="Y844" s="580" t="str">
        <f t="shared" si="811"/>
        <v/>
      </c>
      <c r="Z844" s="580" t="str">
        <f t="shared" si="862"/>
        <v/>
      </c>
    </row>
    <row r="845" spans="1:26" ht="25.5" hidden="1" x14ac:dyDescent="0.2">
      <c r="A845" s="97" t="s">
        <v>608</v>
      </c>
      <c r="B845" s="1031" t="s">
        <v>608</v>
      </c>
      <c r="C845" s="978" t="s">
        <v>494</v>
      </c>
      <c r="D845" s="595" t="s">
        <v>617</v>
      </c>
      <c r="E845" s="596"/>
      <c r="F845" s="671"/>
      <c r="G845" s="597"/>
      <c r="H845" s="682"/>
      <c r="I845" s="592">
        <v>351.52</v>
      </c>
      <c r="J845" s="592">
        <f t="shared" si="884"/>
        <v>351.52</v>
      </c>
      <c r="K845" s="593">
        <f t="shared" si="891"/>
        <v>427.83</v>
      </c>
      <c r="L845" s="594" t="s">
        <v>174</v>
      </c>
      <c r="M845" s="92"/>
      <c r="N845" s="92"/>
      <c r="O845" s="93">
        <f t="shared" si="885"/>
        <v>0</v>
      </c>
      <c r="P845" s="93">
        <f t="shared" si="886"/>
        <v>0</v>
      </c>
      <c r="Q845" s="94"/>
      <c r="R845" s="92">
        <f t="shared" si="887"/>
        <v>0</v>
      </c>
      <c r="S845" s="92">
        <f t="shared" si="888"/>
        <v>0</v>
      </c>
      <c r="T845" s="93">
        <f t="shared" si="889"/>
        <v>0</v>
      </c>
      <c r="U845" s="95">
        <f t="shared" si="890"/>
        <v>0</v>
      </c>
      <c r="V845" s="94"/>
      <c r="X845" s="580" t="str">
        <f t="shared" si="861"/>
        <v/>
      </c>
      <c r="Y845" s="580" t="str">
        <f t="shared" si="811"/>
        <v/>
      </c>
      <c r="Z845" s="580" t="str">
        <f t="shared" si="862"/>
        <v/>
      </c>
    </row>
    <row r="846" spans="1:26" ht="25.5" hidden="1" x14ac:dyDescent="0.2">
      <c r="A846" s="97">
        <v>782</v>
      </c>
      <c r="B846" s="1031">
        <v>782</v>
      </c>
      <c r="C846" s="978" t="s">
        <v>494</v>
      </c>
      <c r="D846" s="595" t="s">
        <v>618</v>
      </c>
      <c r="E846" s="596"/>
      <c r="F846" s="671"/>
      <c r="G846" s="597"/>
      <c r="H846" s="682"/>
      <c r="I846" s="592">
        <v>1465.37</v>
      </c>
      <c r="J846" s="592">
        <f t="shared" si="884"/>
        <v>1465.37</v>
      </c>
      <c r="K846" s="593">
        <f t="shared" si="891"/>
        <v>1783.5</v>
      </c>
      <c r="L846" s="594" t="s">
        <v>174</v>
      </c>
      <c r="M846" s="92"/>
      <c r="N846" s="92"/>
      <c r="O846" s="93">
        <f t="shared" si="885"/>
        <v>0</v>
      </c>
      <c r="P846" s="93">
        <f t="shared" si="886"/>
        <v>0</v>
      </c>
      <c r="Q846" s="94"/>
      <c r="R846" s="92">
        <f t="shared" si="887"/>
        <v>0</v>
      </c>
      <c r="S846" s="92">
        <f t="shared" si="888"/>
        <v>0</v>
      </c>
      <c r="T846" s="93">
        <f t="shared" si="889"/>
        <v>0</v>
      </c>
      <c r="U846" s="95">
        <f t="shared" si="890"/>
        <v>0</v>
      </c>
      <c r="V846" s="94"/>
      <c r="X846" s="580" t="str">
        <f t="shared" si="861"/>
        <v/>
      </c>
      <c r="Y846" s="580" t="str">
        <f t="shared" si="811"/>
        <v/>
      </c>
      <c r="Z846" s="580" t="str">
        <f t="shared" si="862"/>
        <v/>
      </c>
    </row>
    <row r="847" spans="1:26" ht="25.5" hidden="1" x14ac:dyDescent="0.2">
      <c r="A847" s="97" t="s">
        <v>609</v>
      </c>
      <c r="B847" s="1031" t="s">
        <v>609</v>
      </c>
      <c r="C847" s="978" t="s">
        <v>494</v>
      </c>
      <c r="D847" s="595" t="s">
        <v>619</v>
      </c>
      <c r="E847" s="596"/>
      <c r="F847" s="671"/>
      <c r="G847" s="597"/>
      <c r="H847" s="682"/>
      <c r="I847" s="592">
        <v>586.21</v>
      </c>
      <c r="J847" s="592">
        <f t="shared" si="884"/>
        <v>586.21</v>
      </c>
      <c r="K847" s="593">
        <f t="shared" si="891"/>
        <v>713.48</v>
      </c>
      <c r="L847" s="594" t="s">
        <v>174</v>
      </c>
      <c r="M847" s="92"/>
      <c r="N847" s="92"/>
      <c r="O847" s="93">
        <f t="shared" si="885"/>
        <v>0</v>
      </c>
      <c r="P847" s="93">
        <f t="shared" si="886"/>
        <v>0</v>
      </c>
      <c r="Q847" s="94"/>
      <c r="R847" s="92">
        <f t="shared" si="887"/>
        <v>0</v>
      </c>
      <c r="S847" s="92">
        <f t="shared" si="888"/>
        <v>0</v>
      </c>
      <c r="T847" s="93">
        <f t="shared" si="889"/>
        <v>0</v>
      </c>
      <c r="U847" s="95">
        <f t="shared" si="890"/>
        <v>0</v>
      </c>
      <c r="V847" s="94"/>
      <c r="X847" s="580" t="str">
        <f t="shared" si="861"/>
        <v/>
      </c>
      <c r="Y847" s="580" t="str">
        <f t="shared" si="811"/>
        <v/>
      </c>
      <c r="Z847" s="580" t="str">
        <f t="shared" si="862"/>
        <v/>
      </c>
    </row>
    <row r="848" spans="1:26" hidden="1" x14ac:dyDescent="0.2">
      <c r="A848" s="97">
        <v>783</v>
      </c>
      <c r="B848" s="1031">
        <v>783</v>
      </c>
      <c r="C848" s="978" t="s">
        <v>494</v>
      </c>
      <c r="D848" s="595" t="s">
        <v>620</v>
      </c>
      <c r="E848" s="596"/>
      <c r="F848" s="671"/>
      <c r="G848" s="597"/>
      <c r="H848" s="682"/>
      <c r="I848" s="592">
        <v>1721.98</v>
      </c>
      <c r="J848" s="592">
        <f t="shared" si="884"/>
        <v>1721.98</v>
      </c>
      <c r="K848" s="593">
        <f t="shared" si="891"/>
        <v>2095.8200000000002</v>
      </c>
      <c r="L848" s="594" t="s">
        <v>174</v>
      </c>
      <c r="M848" s="92"/>
      <c r="N848" s="92"/>
      <c r="O848" s="93">
        <f t="shared" si="885"/>
        <v>0</v>
      </c>
      <c r="P848" s="93">
        <f t="shared" si="886"/>
        <v>0</v>
      </c>
      <c r="Q848" s="94"/>
      <c r="R848" s="92">
        <f t="shared" si="887"/>
        <v>0</v>
      </c>
      <c r="S848" s="92">
        <f t="shared" si="888"/>
        <v>0</v>
      </c>
      <c r="T848" s="93">
        <f t="shared" si="889"/>
        <v>0</v>
      </c>
      <c r="U848" s="95">
        <f t="shared" si="890"/>
        <v>0</v>
      </c>
      <c r="V848" s="94"/>
      <c r="X848" s="580" t="str">
        <f t="shared" si="861"/>
        <v/>
      </c>
      <c r="Y848" s="580" t="str">
        <f t="shared" si="811"/>
        <v/>
      </c>
      <c r="Z848" s="580" t="str">
        <f t="shared" si="862"/>
        <v/>
      </c>
    </row>
    <row r="849" spans="1:26" hidden="1" x14ac:dyDescent="0.2">
      <c r="A849" s="97" t="s">
        <v>610</v>
      </c>
      <c r="B849" s="1031" t="s">
        <v>610</v>
      </c>
      <c r="C849" s="978" t="s">
        <v>494</v>
      </c>
      <c r="D849" s="595" t="s">
        <v>621</v>
      </c>
      <c r="E849" s="596"/>
      <c r="F849" s="671"/>
      <c r="G849" s="597"/>
      <c r="H849" s="682"/>
      <c r="I849" s="592">
        <v>688.66</v>
      </c>
      <c r="J849" s="592">
        <f t="shared" si="884"/>
        <v>688.66</v>
      </c>
      <c r="K849" s="593">
        <f t="shared" si="891"/>
        <v>838.17</v>
      </c>
      <c r="L849" s="594" t="s">
        <v>174</v>
      </c>
      <c r="M849" s="92"/>
      <c r="N849" s="92"/>
      <c r="O849" s="93">
        <f t="shared" si="885"/>
        <v>0</v>
      </c>
      <c r="P849" s="93">
        <f t="shared" si="886"/>
        <v>0</v>
      </c>
      <c r="Q849" s="94"/>
      <c r="R849" s="92">
        <f t="shared" si="887"/>
        <v>0</v>
      </c>
      <c r="S849" s="92">
        <f t="shared" si="888"/>
        <v>0</v>
      </c>
      <c r="T849" s="93">
        <f t="shared" si="889"/>
        <v>0</v>
      </c>
      <c r="U849" s="95">
        <f t="shared" si="890"/>
        <v>0</v>
      </c>
      <c r="V849" s="94"/>
      <c r="X849" s="580" t="str">
        <f t="shared" si="861"/>
        <v/>
      </c>
      <c r="Y849" s="580" t="str">
        <f t="shared" si="811"/>
        <v/>
      </c>
      <c r="Z849" s="580" t="str">
        <f t="shared" si="862"/>
        <v/>
      </c>
    </row>
    <row r="850" spans="1:26" hidden="1" x14ac:dyDescent="0.2">
      <c r="A850" s="97">
        <v>784</v>
      </c>
      <c r="B850" s="1031">
        <v>784</v>
      </c>
      <c r="C850" s="978" t="s">
        <v>494</v>
      </c>
      <c r="D850" s="595" t="s">
        <v>622</v>
      </c>
      <c r="E850" s="596"/>
      <c r="F850" s="671"/>
      <c r="G850" s="597"/>
      <c r="H850" s="682"/>
      <c r="I850" s="592">
        <v>642.75</v>
      </c>
      <c r="J850" s="592">
        <f t="shared" si="884"/>
        <v>642.75</v>
      </c>
      <c r="K850" s="593">
        <f t="shared" si="891"/>
        <v>782.29</v>
      </c>
      <c r="L850" s="594" t="s">
        <v>174</v>
      </c>
      <c r="M850" s="92"/>
      <c r="N850" s="92"/>
      <c r="O850" s="93">
        <f t="shared" si="885"/>
        <v>0</v>
      </c>
      <c r="P850" s="93">
        <f t="shared" si="886"/>
        <v>0</v>
      </c>
      <c r="Q850" s="94"/>
      <c r="R850" s="92">
        <f t="shared" si="887"/>
        <v>0</v>
      </c>
      <c r="S850" s="92">
        <f t="shared" si="888"/>
        <v>0</v>
      </c>
      <c r="T850" s="93">
        <f t="shared" si="889"/>
        <v>0</v>
      </c>
      <c r="U850" s="95">
        <f t="shared" si="890"/>
        <v>0</v>
      </c>
      <c r="V850" s="94"/>
      <c r="X850" s="580" t="str">
        <f t="shared" si="861"/>
        <v/>
      </c>
      <c r="Y850" s="580" t="str">
        <f t="shared" si="811"/>
        <v/>
      </c>
      <c r="Z850" s="580" t="str">
        <f t="shared" si="862"/>
        <v/>
      </c>
    </row>
    <row r="851" spans="1:26" hidden="1" x14ac:dyDescent="0.2">
      <c r="A851" s="97" t="s">
        <v>611</v>
      </c>
      <c r="B851" s="1031" t="s">
        <v>611</v>
      </c>
      <c r="C851" s="978" t="s">
        <v>494</v>
      </c>
      <c r="D851" s="595" t="s">
        <v>642</v>
      </c>
      <c r="E851" s="596"/>
      <c r="F851" s="671"/>
      <c r="G851" s="597"/>
      <c r="H851" s="682"/>
      <c r="I851" s="592">
        <v>256.95999999999998</v>
      </c>
      <c r="J851" s="592">
        <f t="shared" si="884"/>
        <v>256.95999999999998</v>
      </c>
      <c r="K851" s="593">
        <f t="shared" si="891"/>
        <v>312.75</v>
      </c>
      <c r="L851" s="594" t="s">
        <v>174</v>
      </c>
      <c r="M851" s="92"/>
      <c r="N851" s="92"/>
      <c r="O851" s="93">
        <f t="shared" si="885"/>
        <v>0</v>
      </c>
      <c r="P851" s="93">
        <f t="shared" si="886"/>
        <v>0</v>
      </c>
      <c r="Q851" s="94"/>
      <c r="R851" s="92">
        <f t="shared" si="887"/>
        <v>0</v>
      </c>
      <c r="S851" s="92">
        <f t="shared" si="888"/>
        <v>0</v>
      </c>
      <c r="T851" s="93">
        <f t="shared" si="889"/>
        <v>0</v>
      </c>
      <c r="U851" s="95">
        <f t="shared" si="890"/>
        <v>0</v>
      </c>
      <c r="V851" s="94"/>
      <c r="X851" s="580" t="str">
        <f t="shared" si="861"/>
        <v/>
      </c>
      <c r="Y851" s="580" t="str">
        <f t="shared" si="811"/>
        <v/>
      </c>
      <c r="Z851" s="580" t="str">
        <f t="shared" si="862"/>
        <v/>
      </c>
    </row>
    <row r="852" spans="1:26" hidden="1" x14ac:dyDescent="0.2">
      <c r="A852" s="97">
        <v>785</v>
      </c>
      <c r="B852" s="1031">
        <v>785</v>
      </c>
      <c r="C852" s="978" t="s">
        <v>494</v>
      </c>
      <c r="D852" s="595" t="s">
        <v>623</v>
      </c>
      <c r="E852" s="596"/>
      <c r="F852" s="671"/>
      <c r="G852" s="597"/>
      <c r="H852" s="682"/>
      <c r="I852" s="592">
        <v>1706.57</v>
      </c>
      <c r="J852" s="592">
        <f t="shared" si="884"/>
        <v>1706.57</v>
      </c>
      <c r="K852" s="593">
        <f t="shared" si="891"/>
        <v>2077.0700000000002</v>
      </c>
      <c r="L852" s="594" t="s">
        <v>174</v>
      </c>
      <c r="M852" s="92"/>
      <c r="N852" s="92"/>
      <c r="O852" s="93">
        <f t="shared" si="885"/>
        <v>0</v>
      </c>
      <c r="P852" s="93">
        <f t="shared" si="886"/>
        <v>0</v>
      </c>
      <c r="Q852" s="94"/>
      <c r="R852" s="92">
        <f t="shared" si="887"/>
        <v>0</v>
      </c>
      <c r="S852" s="92">
        <f t="shared" si="888"/>
        <v>0</v>
      </c>
      <c r="T852" s="93">
        <f t="shared" si="889"/>
        <v>0</v>
      </c>
      <c r="U852" s="95">
        <f t="shared" si="890"/>
        <v>0</v>
      </c>
      <c r="V852" s="94"/>
      <c r="X852" s="580" t="str">
        <f t="shared" si="861"/>
        <v/>
      </c>
      <c r="Y852" s="580" t="str">
        <f t="shared" si="811"/>
        <v/>
      </c>
      <c r="Z852" s="580" t="str">
        <f t="shared" si="862"/>
        <v/>
      </c>
    </row>
    <row r="853" spans="1:26" hidden="1" x14ac:dyDescent="0.2">
      <c r="A853" s="97" t="s">
        <v>612</v>
      </c>
      <c r="B853" s="1031" t="s">
        <v>612</v>
      </c>
      <c r="C853" s="978" t="s">
        <v>494</v>
      </c>
      <c r="D853" s="595" t="s">
        <v>624</v>
      </c>
      <c r="E853" s="596"/>
      <c r="F853" s="671"/>
      <c r="G853" s="597"/>
      <c r="H853" s="682"/>
      <c r="I853" s="592">
        <v>659.19</v>
      </c>
      <c r="J853" s="592">
        <f t="shared" si="884"/>
        <v>659.19</v>
      </c>
      <c r="K853" s="593">
        <f t="shared" si="891"/>
        <v>802.3</v>
      </c>
      <c r="L853" s="594" t="s">
        <v>174</v>
      </c>
      <c r="M853" s="92"/>
      <c r="N853" s="92"/>
      <c r="O853" s="93">
        <f t="shared" si="885"/>
        <v>0</v>
      </c>
      <c r="P853" s="93">
        <f t="shared" si="886"/>
        <v>0</v>
      </c>
      <c r="Q853" s="94"/>
      <c r="R853" s="92">
        <f t="shared" si="887"/>
        <v>0</v>
      </c>
      <c r="S853" s="92">
        <f t="shared" si="888"/>
        <v>0</v>
      </c>
      <c r="T853" s="93">
        <f t="shared" si="889"/>
        <v>0</v>
      </c>
      <c r="U853" s="95">
        <f t="shared" si="890"/>
        <v>0</v>
      </c>
      <c r="V853" s="94"/>
      <c r="X853" s="580" t="str">
        <f t="shared" si="861"/>
        <v/>
      </c>
      <c r="Y853" s="580" t="str">
        <f t="shared" si="811"/>
        <v/>
      </c>
      <c r="Z853" s="580" t="str">
        <f t="shared" si="862"/>
        <v/>
      </c>
    </row>
    <row r="854" spans="1:26" hidden="1" x14ac:dyDescent="0.2">
      <c r="A854" s="97">
        <v>786</v>
      </c>
      <c r="B854" s="1031">
        <v>786</v>
      </c>
      <c r="C854" s="978" t="s">
        <v>494</v>
      </c>
      <c r="D854" s="595" t="s">
        <v>625</v>
      </c>
      <c r="E854" s="596"/>
      <c r="F854" s="671"/>
      <c r="G854" s="597"/>
      <c r="H854" s="682"/>
      <c r="I854" s="592">
        <v>535.51</v>
      </c>
      <c r="J854" s="592">
        <f t="shared" si="884"/>
        <v>535.51</v>
      </c>
      <c r="K854" s="593">
        <f t="shared" si="891"/>
        <v>651.77</v>
      </c>
      <c r="L854" s="594" t="s">
        <v>174</v>
      </c>
      <c r="M854" s="92"/>
      <c r="N854" s="92"/>
      <c r="O854" s="93">
        <f t="shared" si="885"/>
        <v>0</v>
      </c>
      <c r="P854" s="93">
        <f t="shared" si="886"/>
        <v>0</v>
      </c>
      <c r="Q854" s="94"/>
      <c r="R854" s="92">
        <f t="shared" si="887"/>
        <v>0</v>
      </c>
      <c r="S854" s="92">
        <f t="shared" si="888"/>
        <v>0</v>
      </c>
      <c r="T854" s="93">
        <f t="shared" si="889"/>
        <v>0</v>
      </c>
      <c r="U854" s="95">
        <f t="shared" si="890"/>
        <v>0</v>
      </c>
      <c r="V854" s="94"/>
      <c r="X854" s="580" t="str">
        <f t="shared" si="861"/>
        <v/>
      </c>
      <c r="Y854" s="580" t="str">
        <f t="shared" si="811"/>
        <v/>
      </c>
      <c r="Z854" s="580" t="str">
        <f t="shared" si="862"/>
        <v/>
      </c>
    </row>
    <row r="855" spans="1:26" hidden="1" x14ac:dyDescent="0.2">
      <c r="A855" s="97" t="s">
        <v>613</v>
      </c>
      <c r="B855" s="1031" t="s">
        <v>613</v>
      </c>
      <c r="C855" s="978" t="s">
        <v>494</v>
      </c>
      <c r="D855" s="595" t="s">
        <v>626</v>
      </c>
      <c r="E855" s="596"/>
      <c r="F855" s="671"/>
      <c r="G855" s="597"/>
      <c r="H855" s="682"/>
      <c r="I855" s="592">
        <v>214.13</v>
      </c>
      <c r="J855" s="592">
        <f t="shared" si="884"/>
        <v>214.13</v>
      </c>
      <c r="K855" s="593">
        <f t="shared" si="891"/>
        <v>260.62</v>
      </c>
      <c r="L855" s="594" t="s">
        <v>174</v>
      </c>
      <c r="M855" s="92"/>
      <c r="N855" s="92"/>
      <c r="O855" s="93">
        <f t="shared" si="885"/>
        <v>0</v>
      </c>
      <c r="P855" s="93">
        <f t="shared" si="886"/>
        <v>0</v>
      </c>
      <c r="Q855" s="94"/>
      <c r="R855" s="92">
        <f t="shared" si="887"/>
        <v>0</v>
      </c>
      <c r="S855" s="92">
        <f t="shared" si="888"/>
        <v>0</v>
      </c>
      <c r="T855" s="93">
        <f t="shared" si="889"/>
        <v>0</v>
      </c>
      <c r="U855" s="95">
        <f t="shared" si="890"/>
        <v>0</v>
      </c>
      <c r="V855" s="94"/>
      <c r="X855" s="580" t="str">
        <f t="shared" si="861"/>
        <v/>
      </c>
      <c r="Y855" s="580" t="str">
        <f t="shared" si="811"/>
        <v/>
      </c>
      <c r="Z855" s="580" t="str">
        <f t="shared" si="862"/>
        <v/>
      </c>
    </row>
    <row r="856" spans="1:26" hidden="1" x14ac:dyDescent="0.2">
      <c r="A856" s="97">
        <v>787</v>
      </c>
      <c r="B856" s="1031">
        <v>787</v>
      </c>
      <c r="C856" s="978" t="s">
        <v>494</v>
      </c>
      <c r="D856" s="595" t="s">
        <v>627</v>
      </c>
      <c r="E856" s="596"/>
      <c r="F856" s="671"/>
      <c r="G856" s="597"/>
      <c r="H856" s="682"/>
      <c r="I856" s="592">
        <v>484.12</v>
      </c>
      <c r="J856" s="592">
        <f t="shared" si="884"/>
        <v>484.12</v>
      </c>
      <c r="K856" s="593">
        <f t="shared" si="891"/>
        <v>589.22</v>
      </c>
      <c r="L856" s="594" t="s">
        <v>174</v>
      </c>
      <c r="M856" s="92"/>
      <c r="N856" s="92"/>
      <c r="O856" s="93">
        <f t="shared" si="885"/>
        <v>0</v>
      </c>
      <c r="P856" s="93">
        <f t="shared" si="886"/>
        <v>0</v>
      </c>
      <c r="Q856" s="94"/>
      <c r="R856" s="92">
        <f t="shared" si="887"/>
        <v>0</v>
      </c>
      <c r="S856" s="92">
        <f t="shared" si="888"/>
        <v>0</v>
      </c>
      <c r="T856" s="93">
        <f t="shared" si="889"/>
        <v>0</v>
      </c>
      <c r="U856" s="95">
        <f t="shared" si="890"/>
        <v>0</v>
      </c>
      <c r="V856" s="94"/>
      <c r="X856" s="580" t="str">
        <f t="shared" si="861"/>
        <v/>
      </c>
      <c r="Y856" s="580" t="str">
        <f t="shared" si="811"/>
        <v/>
      </c>
      <c r="Z856" s="580" t="str">
        <f t="shared" si="862"/>
        <v/>
      </c>
    </row>
    <row r="857" spans="1:26" hidden="1" x14ac:dyDescent="0.2">
      <c r="A857" s="97" t="s">
        <v>614</v>
      </c>
      <c r="B857" s="1031" t="s">
        <v>614</v>
      </c>
      <c r="C857" s="978" t="s">
        <v>494</v>
      </c>
      <c r="D857" s="595" t="s">
        <v>628</v>
      </c>
      <c r="E857" s="596"/>
      <c r="F857" s="671"/>
      <c r="G857" s="597"/>
      <c r="H857" s="682"/>
      <c r="I857" s="592">
        <v>193.58</v>
      </c>
      <c r="J857" s="592">
        <f t="shared" si="884"/>
        <v>193.58</v>
      </c>
      <c r="K857" s="593">
        <f t="shared" si="891"/>
        <v>235.61</v>
      </c>
      <c r="L857" s="594" t="s">
        <v>174</v>
      </c>
      <c r="M857" s="92"/>
      <c r="N857" s="92"/>
      <c r="O857" s="93">
        <f t="shared" si="885"/>
        <v>0</v>
      </c>
      <c r="P857" s="93">
        <f t="shared" si="886"/>
        <v>0</v>
      </c>
      <c r="Q857" s="94"/>
      <c r="R857" s="92">
        <f t="shared" si="887"/>
        <v>0</v>
      </c>
      <c r="S857" s="92">
        <f t="shared" si="888"/>
        <v>0</v>
      </c>
      <c r="T857" s="93">
        <f t="shared" si="889"/>
        <v>0</v>
      </c>
      <c r="U857" s="95">
        <f t="shared" si="890"/>
        <v>0</v>
      </c>
      <c r="V857" s="94"/>
      <c r="X857" s="580" t="str">
        <f t="shared" si="861"/>
        <v/>
      </c>
      <c r="Y857" s="580" t="str">
        <f t="shared" si="811"/>
        <v/>
      </c>
      <c r="Z857" s="580" t="str">
        <f t="shared" si="862"/>
        <v/>
      </c>
    </row>
    <row r="858" spans="1:26" hidden="1" x14ac:dyDescent="0.2">
      <c r="A858" s="97">
        <v>790</v>
      </c>
      <c r="B858" s="1031">
        <v>790</v>
      </c>
      <c r="C858" s="978" t="s">
        <v>494</v>
      </c>
      <c r="D858" s="595" t="s">
        <v>629</v>
      </c>
      <c r="E858" s="596"/>
      <c r="F858" s="671"/>
      <c r="G858" s="597"/>
      <c r="H858" s="682"/>
      <c r="I858" s="592">
        <v>12.68</v>
      </c>
      <c r="J858" s="592">
        <f t="shared" si="884"/>
        <v>12.68</v>
      </c>
      <c r="K858" s="593">
        <f t="shared" si="891"/>
        <v>15.43</v>
      </c>
      <c r="L858" s="594" t="s">
        <v>19</v>
      </c>
      <c r="M858" s="92"/>
      <c r="N858" s="92"/>
      <c r="O858" s="93">
        <f t="shared" si="885"/>
        <v>0</v>
      </c>
      <c r="P858" s="93">
        <f t="shared" si="886"/>
        <v>0</v>
      </c>
      <c r="Q858" s="94"/>
      <c r="R858" s="92">
        <f t="shared" si="887"/>
        <v>0</v>
      </c>
      <c r="S858" s="92">
        <f t="shared" si="888"/>
        <v>0</v>
      </c>
      <c r="T858" s="93">
        <f t="shared" si="889"/>
        <v>0</v>
      </c>
      <c r="U858" s="95">
        <f t="shared" si="890"/>
        <v>0</v>
      </c>
      <c r="V858" s="94"/>
      <c r="X858" s="580" t="str">
        <f t="shared" si="861"/>
        <v/>
      </c>
      <c r="Y858" s="580" t="str">
        <f t="shared" si="811"/>
        <v/>
      </c>
      <c r="Z858" s="580" t="str">
        <f t="shared" si="862"/>
        <v/>
      </c>
    </row>
    <row r="859" spans="1:26" hidden="1" x14ac:dyDescent="0.2">
      <c r="A859" s="97" t="s">
        <v>615</v>
      </c>
      <c r="B859" s="1031" t="s">
        <v>615</v>
      </c>
      <c r="C859" s="978" t="s">
        <v>494</v>
      </c>
      <c r="D859" s="595" t="s">
        <v>630</v>
      </c>
      <c r="E859" s="596"/>
      <c r="F859" s="671"/>
      <c r="G859" s="597"/>
      <c r="H859" s="682"/>
      <c r="I859" s="592">
        <v>5.14</v>
      </c>
      <c r="J859" s="592">
        <f t="shared" si="884"/>
        <v>5.14</v>
      </c>
      <c r="K859" s="593">
        <f t="shared" si="891"/>
        <v>6.26</v>
      </c>
      <c r="L859" s="594" t="s">
        <v>19</v>
      </c>
      <c r="M859" s="92"/>
      <c r="N859" s="92"/>
      <c r="O859" s="93">
        <f t="shared" si="885"/>
        <v>0</v>
      </c>
      <c r="P859" s="93">
        <f t="shared" si="886"/>
        <v>0</v>
      </c>
      <c r="Q859" s="94"/>
      <c r="R859" s="92">
        <f t="shared" si="887"/>
        <v>0</v>
      </c>
      <c r="S859" s="92">
        <f t="shared" si="888"/>
        <v>0</v>
      </c>
      <c r="T859" s="93">
        <f t="shared" si="889"/>
        <v>0</v>
      </c>
      <c r="U859" s="95">
        <f t="shared" si="890"/>
        <v>0</v>
      </c>
      <c r="V859" s="94"/>
      <c r="X859" s="580" t="str">
        <f t="shared" si="861"/>
        <v/>
      </c>
      <c r="Y859" s="580" t="str">
        <f t="shared" si="811"/>
        <v/>
      </c>
      <c r="Z859" s="580" t="str">
        <f t="shared" si="862"/>
        <v/>
      </c>
    </row>
    <row r="860" spans="1:26" hidden="1" x14ac:dyDescent="0.2">
      <c r="A860" s="97">
        <v>800</v>
      </c>
      <c r="B860" s="1031">
        <v>800</v>
      </c>
      <c r="C860" s="978" t="s">
        <v>494</v>
      </c>
      <c r="D860" s="595" t="s">
        <v>631</v>
      </c>
      <c r="E860" s="596"/>
      <c r="F860" s="671"/>
      <c r="G860" s="597"/>
      <c r="H860" s="682"/>
      <c r="I860" s="592">
        <v>15.08</v>
      </c>
      <c r="J860" s="592">
        <f t="shared" ref="J860" si="892">IF(ISBLANK(I860),"",SUM(H860:I860))</f>
        <v>15.08</v>
      </c>
      <c r="K860" s="593">
        <f t="shared" si="891"/>
        <v>18.350000000000001</v>
      </c>
      <c r="L860" s="594" t="s">
        <v>21</v>
      </c>
      <c r="M860" s="92"/>
      <c r="N860" s="92"/>
      <c r="O860" s="93">
        <f t="shared" ref="O860" si="893">IF(ISBLANK(M860),0,ROUND(K860*M860,2))</f>
        <v>0</v>
      </c>
      <c r="P860" s="93">
        <f t="shared" ref="P860" si="894">IF(ISBLANK(N860),0,ROUND(M860*N860,2))</f>
        <v>0</v>
      </c>
      <c r="Q860" s="94"/>
      <c r="R860" s="92">
        <f t="shared" ref="R860" si="895">M860</f>
        <v>0</v>
      </c>
      <c r="S860" s="92">
        <f t="shared" ref="S860" si="896">N860</f>
        <v>0</v>
      </c>
      <c r="T860" s="93">
        <f t="shared" ref="T860" si="897">IF(ISBLANK(R860),0,ROUND(K860*R860,2))</f>
        <v>0</v>
      </c>
      <c r="U860" s="95">
        <f t="shared" ref="U860" si="898">IF(ISBLANK(R860),0,ROUND(R860*S860,2))</f>
        <v>0</v>
      </c>
      <c r="V860" s="94"/>
      <c r="X860" s="580" t="str">
        <f t="shared" si="861"/>
        <v/>
      </c>
      <c r="Y860" s="580" t="str">
        <f t="shared" si="811"/>
        <v/>
      </c>
      <c r="Z860" s="580" t="str">
        <f t="shared" si="862"/>
        <v/>
      </c>
    </row>
    <row r="861" spans="1:26" hidden="1" x14ac:dyDescent="0.2">
      <c r="A861" s="97">
        <v>860</v>
      </c>
      <c r="B861" s="1031">
        <v>860</v>
      </c>
      <c r="C861" s="978" t="s">
        <v>494</v>
      </c>
      <c r="D861" s="595" t="s">
        <v>636</v>
      </c>
      <c r="E861" s="596"/>
      <c r="F861" s="671"/>
      <c r="G861" s="597"/>
      <c r="H861" s="682"/>
      <c r="I861" s="592">
        <v>560.17999999999995</v>
      </c>
      <c r="J861" s="592">
        <f t="shared" ref="J861:J879" si="899">IF(ISBLANK(I861),"",SUM(H861:I861))</f>
        <v>560.17999999999995</v>
      </c>
      <c r="K861" s="593">
        <f t="shared" si="891"/>
        <v>681.8</v>
      </c>
      <c r="L861" s="594" t="s">
        <v>174</v>
      </c>
      <c r="M861" s="92"/>
      <c r="N861" s="92"/>
      <c r="O861" s="93">
        <f t="shared" ref="O861:O879" si="900">IF(ISBLANK(M861),0,ROUND(K861*M861,2))</f>
        <v>0</v>
      </c>
      <c r="P861" s="93">
        <f t="shared" ref="P861:P879" si="901">IF(ISBLANK(N861),0,ROUND(M861*N861,2))</f>
        <v>0</v>
      </c>
      <c r="Q861" s="94"/>
      <c r="R861" s="92">
        <f t="shared" ref="R861:R879" si="902">M861</f>
        <v>0</v>
      </c>
      <c r="S861" s="92">
        <f t="shared" ref="S861:S879" si="903">N861</f>
        <v>0</v>
      </c>
      <c r="T861" s="93">
        <f t="shared" ref="T861:T879" si="904">IF(ISBLANK(R861),0,ROUND(K861*R861,2))</f>
        <v>0</v>
      </c>
      <c r="U861" s="95">
        <f t="shared" ref="U861:U879" si="905">IF(ISBLANK(R861),0,ROUND(R861*S861,2))</f>
        <v>0</v>
      </c>
      <c r="V861" s="94"/>
      <c r="X861" s="580" t="str">
        <f t="shared" si="861"/>
        <v/>
      </c>
      <c r="Y861" s="580" t="str">
        <f t="shared" si="811"/>
        <v/>
      </c>
      <c r="Z861" s="580" t="str">
        <f t="shared" si="862"/>
        <v/>
      </c>
    </row>
    <row r="862" spans="1:26" hidden="1" x14ac:dyDescent="0.2">
      <c r="A862" s="97" t="s">
        <v>633</v>
      </c>
      <c r="B862" s="1031" t="s">
        <v>633</v>
      </c>
      <c r="C862" s="978" t="s">
        <v>494</v>
      </c>
      <c r="D862" s="595" t="s">
        <v>637</v>
      </c>
      <c r="E862" s="596"/>
      <c r="F862" s="671"/>
      <c r="G862" s="597"/>
      <c r="H862" s="682"/>
      <c r="I862" s="592">
        <v>224.07</v>
      </c>
      <c r="J862" s="592">
        <f t="shared" si="899"/>
        <v>224.07</v>
      </c>
      <c r="K862" s="593">
        <f t="shared" si="891"/>
        <v>272.72000000000003</v>
      </c>
      <c r="L862" s="594" t="s">
        <v>174</v>
      </c>
      <c r="M862" s="92"/>
      <c r="N862" s="92"/>
      <c r="O862" s="93">
        <f t="shared" si="900"/>
        <v>0</v>
      </c>
      <c r="P862" s="93">
        <f t="shared" si="901"/>
        <v>0</v>
      </c>
      <c r="Q862" s="94"/>
      <c r="R862" s="92">
        <f t="shared" si="902"/>
        <v>0</v>
      </c>
      <c r="S862" s="92">
        <f t="shared" si="903"/>
        <v>0</v>
      </c>
      <c r="T862" s="93">
        <f t="shared" si="904"/>
        <v>0</v>
      </c>
      <c r="U862" s="95">
        <f t="shared" si="905"/>
        <v>0</v>
      </c>
      <c r="V862" s="94"/>
      <c r="X862" s="580" t="str">
        <f t="shared" si="861"/>
        <v/>
      </c>
      <c r="Y862" s="580" t="str">
        <f t="shared" si="811"/>
        <v/>
      </c>
      <c r="Z862" s="580" t="str">
        <f t="shared" si="862"/>
        <v/>
      </c>
    </row>
    <row r="863" spans="1:26" hidden="1" x14ac:dyDescent="0.2">
      <c r="A863" s="97">
        <v>864</v>
      </c>
      <c r="B863" s="1031">
        <v>864</v>
      </c>
      <c r="C863" s="978" t="s">
        <v>494</v>
      </c>
      <c r="D863" s="595" t="s">
        <v>639</v>
      </c>
      <c r="E863" s="596"/>
      <c r="F863" s="671"/>
      <c r="G863" s="597"/>
      <c r="H863" s="682"/>
      <c r="I863" s="592">
        <v>6.85</v>
      </c>
      <c r="J863" s="592">
        <f t="shared" si="899"/>
        <v>6.85</v>
      </c>
      <c r="K863" s="593">
        <f t="shared" si="891"/>
        <v>8.34</v>
      </c>
      <c r="L863" s="594" t="s">
        <v>19</v>
      </c>
      <c r="M863" s="92"/>
      <c r="N863" s="92"/>
      <c r="O863" s="93">
        <f t="shared" si="900"/>
        <v>0</v>
      </c>
      <c r="P863" s="93">
        <f t="shared" si="901"/>
        <v>0</v>
      </c>
      <c r="Q863" s="94"/>
      <c r="R863" s="92">
        <f t="shared" si="902"/>
        <v>0</v>
      </c>
      <c r="S863" s="92">
        <f t="shared" si="903"/>
        <v>0</v>
      </c>
      <c r="T863" s="93">
        <f t="shared" si="904"/>
        <v>0</v>
      </c>
      <c r="U863" s="95">
        <f t="shared" si="905"/>
        <v>0</v>
      </c>
      <c r="V863" s="94"/>
      <c r="X863" s="580" t="str">
        <f t="shared" si="861"/>
        <v/>
      </c>
      <c r="Y863" s="580" t="str">
        <f t="shared" si="811"/>
        <v/>
      </c>
      <c r="Z863" s="580" t="str">
        <f t="shared" si="862"/>
        <v/>
      </c>
    </row>
    <row r="864" spans="1:26" hidden="1" x14ac:dyDescent="0.2">
      <c r="A864" s="97" t="s">
        <v>634</v>
      </c>
      <c r="B864" s="1031" t="s">
        <v>634</v>
      </c>
      <c r="C864" s="978" t="s">
        <v>494</v>
      </c>
      <c r="D864" s="595" t="s">
        <v>640</v>
      </c>
      <c r="E864" s="596"/>
      <c r="F864" s="671"/>
      <c r="G864" s="597"/>
      <c r="H864" s="682"/>
      <c r="I864" s="592">
        <v>5.14</v>
      </c>
      <c r="J864" s="592">
        <f t="shared" si="899"/>
        <v>5.14</v>
      </c>
      <c r="K864" s="593">
        <f t="shared" si="891"/>
        <v>6.26</v>
      </c>
      <c r="L864" s="594" t="s">
        <v>19</v>
      </c>
      <c r="M864" s="92"/>
      <c r="N864" s="92"/>
      <c r="O864" s="93">
        <f t="shared" si="900"/>
        <v>0</v>
      </c>
      <c r="P864" s="93">
        <f t="shared" si="901"/>
        <v>0</v>
      </c>
      <c r="Q864" s="94"/>
      <c r="R864" s="92">
        <f t="shared" si="902"/>
        <v>0</v>
      </c>
      <c r="S864" s="92">
        <f t="shared" si="903"/>
        <v>0</v>
      </c>
      <c r="T864" s="93">
        <f t="shared" si="904"/>
        <v>0</v>
      </c>
      <c r="U864" s="95">
        <f t="shared" si="905"/>
        <v>0</v>
      </c>
      <c r="V864" s="94"/>
      <c r="X864" s="580" t="str">
        <f t="shared" si="861"/>
        <v/>
      </c>
      <c r="Y864" s="580" t="str">
        <f t="shared" si="811"/>
        <v/>
      </c>
      <c r="Z864" s="580" t="str">
        <f t="shared" si="862"/>
        <v/>
      </c>
    </row>
    <row r="865" spans="1:26" hidden="1" x14ac:dyDescent="0.2">
      <c r="A865" s="97">
        <v>866</v>
      </c>
      <c r="B865" s="1031">
        <v>866</v>
      </c>
      <c r="C865" s="978" t="s">
        <v>494</v>
      </c>
      <c r="D865" s="595" t="s">
        <v>638</v>
      </c>
      <c r="E865" s="596"/>
      <c r="F865" s="671"/>
      <c r="G865" s="597"/>
      <c r="H865" s="682"/>
      <c r="I865" s="592">
        <v>33.92</v>
      </c>
      <c r="J865" s="592">
        <f t="shared" si="899"/>
        <v>33.92</v>
      </c>
      <c r="K865" s="593">
        <f t="shared" si="891"/>
        <v>41.28</v>
      </c>
      <c r="L865" s="594" t="s">
        <v>21</v>
      </c>
      <c r="M865" s="92"/>
      <c r="N865" s="92"/>
      <c r="O865" s="93">
        <f t="shared" si="900"/>
        <v>0</v>
      </c>
      <c r="P865" s="93">
        <f t="shared" si="901"/>
        <v>0</v>
      </c>
      <c r="Q865" s="94"/>
      <c r="R865" s="92">
        <f t="shared" si="902"/>
        <v>0</v>
      </c>
      <c r="S865" s="92">
        <f t="shared" si="903"/>
        <v>0</v>
      </c>
      <c r="T865" s="93">
        <f t="shared" si="904"/>
        <v>0</v>
      </c>
      <c r="U865" s="95">
        <f t="shared" si="905"/>
        <v>0</v>
      </c>
      <c r="V865" s="94"/>
      <c r="X865" s="580" t="str">
        <f t="shared" si="861"/>
        <v/>
      </c>
      <c r="Y865" s="580" t="str">
        <f t="shared" si="811"/>
        <v/>
      </c>
      <c r="Z865" s="580" t="str">
        <f t="shared" si="862"/>
        <v/>
      </c>
    </row>
    <row r="866" spans="1:26" hidden="1" x14ac:dyDescent="0.2">
      <c r="A866" s="97" t="s">
        <v>635</v>
      </c>
      <c r="B866" s="1031" t="s">
        <v>635</v>
      </c>
      <c r="C866" s="978" t="s">
        <v>494</v>
      </c>
      <c r="D866" s="595" t="s">
        <v>641</v>
      </c>
      <c r="E866" s="596"/>
      <c r="F866" s="671"/>
      <c r="G866" s="597"/>
      <c r="H866" s="682"/>
      <c r="I866" s="592">
        <v>13.7</v>
      </c>
      <c r="J866" s="592">
        <f t="shared" si="899"/>
        <v>13.7</v>
      </c>
      <c r="K866" s="593">
        <f t="shared" si="891"/>
        <v>16.670000000000002</v>
      </c>
      <c r="L866" s="594" t="s">
        <v>21</v>
      </c>
      <c r="M866" s="92"/>
      <c r="N866" s="92"/>
      <c r="O866" s="93">
        <f t="shared" si="900"/>
        <v>0</v>
      </c>
      <c r="P866" s="93">
        <f t="shared" si="901"/>
        <v>0</v>
      </c>
      <c r="Q866" s="94"/>
      <c r="R866" s="92">
        <f t="shared" si="902"/>
        <v>0</v>
      </c>
      <c r="S866" s="92">
        <f t="shared" si="903"/>
        <v>0</v>
      </c>
      <c r="T866" s="93">
        <f t="shared" si="904"/>
        <v>0</v>
      </c>
      <c r="U866" s="95">
        <f t="shared" si="905"/>
        <v>0</v>
      </c>
      <c r="V866" s="94"/>
      <c r="X866" s="580" t="str">
        <f t="shared" si="861"/>
        <v/>
      </c>
      <c r="Y866" s="580" t="str">
        <f t="shared" si="811"/>
        <v/>
      </c>
      <c r="Z866" s="580" t="str">
        <f t="shared" si="862"/>
        <v/>
      </c>
    </row>
    <row r="867" spans="1:26" hidden="1" x14ac:dyDescent="0.2">
      <c r="A867" s="97">
        <v>792</v>
      </c>
      <c r="B867" s="1031">
        <v>792</v>
      </c>
      <c r="C867" s="978" t="s">
        <v>494</v>
      </c>
      <c r="D867" s="595" t="s">
        <v>664</v>
      </c>
      <c r="E867" s="596"/>
      <c r="F867" s="671"/>
      <c r="G867" s="597"/>
      <c r="H867" s="682"/>
      <c r="I867" s="592">
        <v>395.04</v>
      </c>
      <c r="J867" s="592">
        <f t="shared" si="899"/>
        <v>395.04</v>
      </c>
      <c r="K867" s="593">
        <f t="shared" si="891"/>
        <v>480.8</v>
      </c>
      <c r="L867" s="594" t="s">
        <v>174</v>
      </c>
      <c r="M867" s="92"/>
      <c r="N867" s="92"/>
      <c r="O867" s="93">
        <f t="shared" si="900"/>
        <v>0</v>
      </c>
      <c r="P867" s="93">
        <f t="shared" si="901"/>
        <v>0</v>
      </c>
      <c r="Q867" s="94"/>
      <c r="R867" s="92">
        <f t="shared" si="902"/>
        <v>0</v>
      </c>
      <c r="S867" s="92">
        <f t="shared" si="903"/>
        <v>0</v>
      </c>
      <c r="T867" s="93">
        <f t="shared" si="904"/>
        <v>0</v>
      </c>
      <c r="U867" s="95">
        <f t="shared" si="905"/>
        <v>0</v>
      </c>
      <c r="V867" s="94"/>
      <c r="X867" s="580" t="str">
        <f t="shared" si="861"/>
        <v/>
      </c>
      <c r="Y867" s="580" t="str">
        <f t="shared" si="811"/>
        <v/>
      </c>
      <c r="Z867" s="580" t="str">
        <f t="shared" si="862"/>
        <v/>
      </c>
    </row>
    <row r="868" spans="1:26" hidden="1" x14ac:dyDescent="0.2">
      <c r="A868" s="97" t="s">
        <v>661</v>
      </c>
      <c r="B868" s="1031" t="s">
        <v>661</v>
      </c>
      <c r="C868" s="978" t="s">
        <v>494</v>
      </c>
      <c r="D868" s="595" t="s">
        <v>741</v>
      </c>
      <c r="E868" s="596"/>
      <c r="F868" s="671"/>
      <c r="G868" s="597"/>
      <c r="H868" s="682"/>
      <c r="I868" s="592">
        <v>157.94999999999999</v>
      </c>
      <c r="J868" s="592">
        <f t="shared" si="899"/>
        <v>157.94999999999999</v>
      </c>
      <c r="K868" s="593">
        <f t="shared" si="891"/>
        <v>192.24</v>
      </c>
      <c r="L868" s="594" t="s">
        <v>174</v>
      </c>
      <c r="M868" s="92"/>
      <c r="N868" s="92"/>
      <c r="O868" s="93">
        <f t="shared" si="900"/>
        <v>0</v>
      </c>
      <c r="P868" s="93">
        <f t="shared" si="901"/>
        <v>0</v>
      </c>
      <c r="Q868" s="94"/>
      <c r="R868" s="92">
        <f t="shared" si="902"/>
        <v>0</v>
      </c>
      <c r="S868" s="92">
        <f t="shared" si="903"/>
        <v>0</v>
      </c>
      <c r="T868" s="93">
        <f t="shared" si="904"/>
        <v>0</v>
      </c>
      <c r="U868" s="95">
        <f t="shared" si="905"/>
        <v>0</v>
      </c>
      <c r="V868" s="94"/>
      <c r="X868" s="580" t="str">
        <f t="shared" si="861"/>
        <v/>
      </c>
      <c r="Y868" s="580" t="str">
        <f t="shared" si="811"/>
        <v/>
      </c>
      <c r="Z868" s="580" t="str">
        <f t="shared" si="862"/>
        <v/>
      </c>
    </row>
    <row r="869" spans="1:26" hidden="1" x14ac:dyDescent="0.2">
      <c r="A869" s="97">
        <v>793</v>
      </c>
      <c r="B869" s="1031">
        <v>793</v>
      </c>
      <c r="C869" s="978" t="s">
        <v>494</v>
      </c>
      <c r="D869" s="595" t="s">
        <v>667</v>
      </c>
      <c r="E869" s="596"/>
      <c r="F869" s="671"/>
      <c r="G869" s="597"/>
      <c r="H869" s="682"/>
      <c r="I869" s="592">
        <v>504.33</v>
      </c>
      <c r="J869" s="592">
        <f t="shared" si="899"/>
        <v>504.33</v>
      </c>
      <c r="K869" s="593">
        <f t="shared" si="891"/>
        <v>613.82000000000005</v>
      </c>
      <c r="L869" s="594" t="s">
        <v>174</v>
      </c>
      <c r="M869" s="92"/>
      <c r="N869" s="92"/>
      <c r="O869" s="93">
        <f t="shared" si="900"/>
        <v>0</v>
      </c>
      <c r="P869" s="93">
        <f t="shared" si="901"/>
        <v>0</v>
      </c>
      <c r="Q869" s="94"/>
      <c r="R869" s="92">
        <f t="shared" si="902"/>
        <v>0</v>
      </c>
      <c r="S869" s="92">
        <f t="shared" si="903"/>
        <v>0</v>
      </c>
      <c r="T869" s="93">
        <f t="shared" si="904"/>
        <v>0</v>
      </c>
      <c r="U869" s="95">
        <f t="shared" si="905"/>
        <v>0</v>
      </c>
      <c r="V869" s="94"/>
      <c r="X869" s="580" t="str">
        <f t="shared" si="861"/>
        <v/>
      </c>
      <c r="Y869" s="580" t="str">
        <f t="shared" si="811"/>
        <v/>
      </c>
      <c r="Z869" s="580" t="str">
        <f t="shared" si="862"/>
        <v/>
      </c>
    </row>
    <row r="870" spans="1:26" hidden="1" x14ac:dyDescent="0.2">
      <c r="A870" s="97" t="s">
        <v>707</v>
      </c>
      <c r="B870" s="1031" t="s">
        <v>707</v>
      </c>
      <c r="C870" s="978" t="s">
        <v>494</v>
      </c>
      <c r="D870" s="595" t="s">
        <v>740</v>
      </c>
      <c r="E870" s="596"/>
      <c r="F870" s="671"/>
      <c r="G870" s="597"/>
      <c r="H870" s="682"/>
      <c r="I870" s="592">
        <v>202.14</v>
      </c>
      <c r="J870" s="592">
        <f t="shared" si="899"/>
        <v>202.14</v>
      </c>
      <c r="K870" s="593">
        <f t="shared" si="891"/>
        <v>246.02</v>
      </c>
      <c r="L870" s="594" t="s">
        <v>174</v>
      </c>
      <c r="M870" s="92"/>
      <c r="N870" s="92"/>
      <c r="O870" s="93">
        <f t="shared" si="900"/>
        <v>0</v>
      </c>
      <c r="P870" s="93">
        <f t="shared" si="901"/>
        <v>0</v>
      </c>
      <c r="Q870" s="94"/>
      <c r="R870" s="92">
        <f t="shared" si="902"/>
        <v>0</v>
      </c>
      <c r="S870" s="92">
        <f t="shared" si="903"/>
        <v>0</v>
      </c>
      <c r="T870" s="93">
        <f t="shared" si="904"/>
        <v>0</v>
      </c>
      <c r="U870" s="95">
        <f t="shared" si="905"/>
        <v>0</v>
      </c>
      <c r="V870" s="94"/>
      <c r="X870" s="580" t="str">
        <f t="shared" si="861"/>
        <v/>
      </c>
      <c r="Y870" s="580" t="str">
        <f t="shared" si="811"/>
        <v/>
      </c>
      <c r="Z870" s="580" t="str">
        <f t="shared" si="862"/>
        <v/>
      </c>
    </row>
    <row r="871" spans="1:26" hidden="1" x14ac:dyDescent="0.2">
      <c r="A871" s="97">
        <v>794</v>
      </c>
      <c r="B871" s="1031">
        <v>794</v>
      </c>
      <c r="C871" s="978" t="s">
        <v>494</v>
      </c>
      <c r="D871" s="595" t="s">
        <v>668</v>
      </c>
      <c r="E871" s="596"/>
      <c r="F871" s="671"/>
      <c r="G871" s="597"/>
      <c r="H871" s="682"/>
      <c r="I871" s="592">
        <v>516.32000000000005</v>
      </c>
      <c r="J871" s="592">
        <f t="shared" si="899"/>
        <v>516.32000000000005</v>
      </c>
      <c r="K871" s="593">
        <f t="shared" si="891"/>
        <v>628.41</v>
      </c>
      <c r="L871" s="594" t="s">
        <v>174</v>
      </c>
      <c r="M871" s="92"/>
      <c r="N871" s="92"/>
      <c r="O871" s="93">
        <f t="shared" si="900"/>
        <v>0</v>
      </c>
      <c r="P871" s="93">
        <f t="shared" si="901"/>
        <v>0</v>
      </c>
      <c r="Q871" s="94"/>
      <c r="R871" s="92">
        <f t="shared" si="902"/>
        <v>0</v>
      </c>
      <c r="S871" s="92">
        <f t="shared" si="903"/>
        <v>0</v>
      </c>
      <c r="T871" s="93">
        <f t="shared" si="904"/>
        <v>0</v>
      </c>
      <c r="U871" s="95">
        <f t="shared" si="905"/>
        <v>0</v>
      </c>
      <c r="V871" s="94"/>
      <c r="X871" s="580" t="str">
        <f t="shared" si="861"/>
        <v/>
      </c>
      <c r="Y871" s="580" t="str">
        <f t="shared" si="811"/>
        <v/>
      </c>
      <c r="Z871" s="580" t="str">
        <f t="shared" si="862"/>
        <v/>
      </c>
    </row>
    <row r="872" spans="1:26" hidden="1" x14ac:dyDescent="0.2">
      <c r="A872" s="97" t="s">
        <v>659</v>
      </c>
      <c r="B872" s="1031" t="s">
        <v>659</v>
      </c>
      <c r="C872" s="978" t="s">
        <v>494</v>
      </c>
      <c r="D872" s="595" t="s">
        <v>669</v>
      </c>
      <c r="E872" s="596"/>
      <c r="F872" s="671"/>
      <c r="G872" s="597"/>
      <c r="H872" s="682"/>
      <c r="I872" s="592">
        <v>206.6</v>
      </c>
      <c r="J872" s="592">
        <f t="shared" si="899"/>
        <v>206.6</v>
      </c>
      <c r="K872" s="593">
        <f t="shared" si="891"/>
        <v>251.45</v>
      </c>
      <c r="L872" s="594" t="s">
        <v>174</v>
      </c>
      <c r="M872" s="92"/>
      <c r="N872" s="92"/>
      <c r="O872" s="93">
        <f t="shared" si="900"/>
        <v>0</v>
      </c>
      <c r="P872" s="93">
        <f t="shared" si="901"/>
        <v>0</v>
      </c>
      <c r="Q872" s="94"/>
      <c r="R872" s="92">
        <f t="shared" si="902"/>
        <v>0</v>
      </c>
      <c r="S872" s="92">
        <f t="shared" si="903"/>
        <v>0</v>
      </c>
      <c r="T872" s="93">
        <f t="shared" si="904"/>
        <v>0</v>
      </c>
      <c r="U872" s="95">
        <f t="shared" si="905"/>
        <v>0</v>
      </c>
      <c r="V872" s="94"/>
      <c r="X872" s="580" t="str">
        <f t="shared" si="861"/>
        <v/>
      </c>
      <c r="Y872" s="580" t="str">
        <f t="shared" si="811"/>
        <v/>
      </c>
      <c r="Z872" s="580" t="str">
        <f t="shared" si="862"/>
        <v/>
      </c>
    </row>
    <row r="873" spans="1:26" hidden="1" x14ac:dyDescent="0.2">
      <c r="A873" s="97">
        <v>795</v>
      </c>
      <c r="B873" s="1031">
        <v>795</v>
      </c>
      <c r="C873" s="978" t="s">
        <v>494</v>
      </c>
      <c r="D873" s="595" t="s">
        <v>670</v>
      </c>
      <c r="E873" s="596"/>
      <c r="F873" s="671"/>
      <c r="G873" s="597"/>
      <c r="H873" s="682"/>
      <c r="I873" s="592">
        <v>1527.72</v>
      </c>
      <c r="J873" s="592">
        <f t="shared" si="899"/>
        <v>1527.72</v>
      </c>
      <c r="K873" s="593">
        <f t="shared" si="891"/>
        <v>1859.39</v>
      </c>
      <c r="L873" s="594" t="s">
        <v>174</v>
      </c>
      <c r="M873" s="92"/>
      <c r="N873" s="92"/>
      <c r="O873" s="93">
        <f t="shared" si="900"/>
        <v>0</v>
      </c>
      <c r="P873" s="93">
        <f t="shared" si="901"/>
        <v>0</v>
      </c>
      <c r="Q873" s="94"/>
      <c r="R873" s="92">
        <f t="shared" si="902"/>
        <v>0</v>
      </c>
      <c r="S873" s="92">
        <f t="shared" si="903"/>
        <v>0</v>
      </c>
      <c r="T873" s="93">
        <f t="shared" si="904"/>
        <v>0</v>
      </c>
      <c r="U873" s="95">
        <f t="shared" si="905"/>
        <v>0</v>
      </c>
      <c r="V873" s="94"/>
      <c r="X873" s="580" t="str">
        <f t="shared" si="861"/>
        <v/>
      </c>
      <c r="Y873" s="580" t="str">
        <f t="shared" si="811"/>
        <v/>
      </c>
      <c r="Z873" s="580" t="str">
        <f t="shared" si="862"/>
        <v/>
      </c>
    </row>
    <row r="874" spans="1:26" hidden="1" x14ac:dyDescent="0.2">
      <c r="A874" s="97" t="s">
        <v>660</v>
      </c>
      <c r="B874" s="1031" t="s">
        <v>660</v>
      </c>
      <c r="C874" s="978" t="s">
        <v>494</v>
      </c>
      <c r="D874" s="595" t="s">
        <v>671</v>
      </c>
      <c r="E874" s="596"/>
      <c r="F874" s="671"/>
      <c r="G874" s="597"/>
      <c r="H874" s="682"/>
      <c r="I874" s="592">
        <v>611.23</v>
      </c>
      <c r="J874" s="592">
        <f t="shared" si="899"/>
        <v>611.23</v>
      </c>
      <c r="K874" s="593">
        <f t="shared" si="891"/>
        <v>743.93</v>
      </c>
      <c r="L874" s="594" t="s">
        <v>174</v>
      </c>
      <c r="M874" s="92"/>
      <c r="N874" s="92"/>
      <c r="O874" s="93">
        <f t="shared" si="900"/>
        <v>0</v>
      </c>
      <c r="P874" s="93">
        <f t="shared" si="901"/>
        <v>0</v>
      </c>
      <c r="Q874" s="94"/>
      <c r="R874" s="92">
        <f t="shared" si="902"/>
        <v>0</v>
      </c>
      <c r="S874" s="92">
        <f t="shared" si="903"/>
        <v>0</v>
      </c>
      <c r="T874" s="93">
        <f t="shared" si="904"/>
        <v>0</v>
      </c>
      <c r="U874" s="95">
        <f t="shared" si="905"/>
        <v>0</v>
      </c>
      <c r="V874" s="94"/>
      <c r="X874" s="580" t="str">
        <f t="shared" si="861"/>
        <v/>
      </c>
      <c r="Y874" s="580" t="str">
        <f t="shared" si="811"/>
        <v/>
      </c>
      <c r="Z874" s="580" t="str">
        <f t="shared" si="862"/>
        <v/>
      </c>
    </row>
    <row r="875" spans="1:26" hidden="1" x14ac:dyDescent="0.2">
      <c r="A875" s="97">
        <v>796</v>
      </c>
      <c r="B875" s="1031">
        <v>796</v>
      </c>
      <c r="C875" s="978" t="s">
        <v>494</v>
      </c>
      <c r="D875" s="595" t="s">
        <v>672</v>
      </c>
      <c r="E875" s="596"/>
      <c r="F875" s="671"/>
      <c r="G875" s="597"/>
      <c r="H875" s="682"/>
      <c r="I875" s="592">
        <v>8.57</v>
      </c>
      <c r="J875" s="592">
        <f t="shared" si="899"/>
        <v>8.57</v>
      </c>
      <c r="K875" s="593">
        <f t="shared" si="891"/>
        <v>10.43</v>
      </c>
      <c r="L875" s="594" t="s">
        <v>19</v>
      </c>
      <c r="M875" s="92"/>
      <c r="N875" s="92"/>
      <c r="O875" s="93">
        <f t="shared" si="900"/>
        <v>0</v>
      </c>
      <c r="P875" s="93">
        <f t="shared" si="901"/>
        <v>0</v>
      </c>
      <c r="Q875" s="94"/>
      <c r="R875" s="92">
        <f t="shared" si="902"/>
        <v>0</v>
      </c>
      <c r="S875" s="92">
        <f t="shared" si="903"/>
        <v>0</v>
      </c>
      <c r="T875" s="93">
        <f t="shared" si="904"/>
        <v>0</v>
      </c>
      <c r="U875" s="95">
        <f t="shared" si="905"/>
        <v>0</v>
      </c>
      <c r="V875" s="94"/>
      <c r="X875" s="580" t="str">
        <f t="shared" si="861"/>
        <v/>
      </c>
      <c r="Y875" s="580" t="str">
        <f t="shared" si="811"/>
        <v/>
      </c>
      <c r="Z875" s="580" t="str">
        <f t="shared" si="862"/>
        <v/>
      </c>
    </row>
    <row r="876" spans="1:26" hidden="1" x14ac:dyDescent="0.2">
      <c r="A876" s="97" t="s">
        <v>662</v>
      </c>
      <c r="B876" s="1031" t="s">
        <v>662</v>
      </c>
      <c r="C876" s="978" t="s">
        <v>494</v>
      </c>
      <c r="D876" s="595" t="s">
        <v>673</v>
      </c>
      <c r="E876" s="596"/>
      <c r="F876" s="671"/>
      <c r="G876" s="597"/>
      <c r="H876" s="682"/>
      <c r="I876" s="592">
        <v>3.43</v>
      </c>
      <c r="J876" s="592">
        <f t="shared" si="899"/>
        <v>3.43</v>
      </c>
      <c r="K876" s="593">
        <f t="shared" si="891"/>
        <v>4.17</v>
      </c>
      <c r="L876" s="594" t="s">
        <v>19</v>
      </c>
      <c r="M876" s="92"/>
      <c r="N876" s="92"/>
      <c r="O876" s="93">
        <f t="shared" si="900"/>
        <v>0</v>
      </c>
      <c r="P876" s="93">
        <f t="shared" si="901"/>
        <v>0</v>
      </c>
      <c r="Q876" s="94"/>
      <c r="R876" s="92">
        <f t="shared" si="902"/>
        <v>0</v>
      </c>
      <c r="S876" s="92">
        <f t="shared" si="903"/>
        <v>0</v>
      </c>
      <c r="T876" s="93">
        <f t="shared" si="904"/>
        <v>0</v>
      </c>
      <c r="U876" s="95">
        <f t="shared" si="905"/>
        <v>0</v>
      </c>
      <c r="V876" s="94"/>
      <c r="X876" s="580" t="str">
        <f t="shared" si="861"/>
        <v/>
      </c>
      <c r="Y876" s="580" t="str">
        <f t="shared" si="811"/>
        <v/>
      </c>
      <c r="Z876" s="580" t="str">
        <f t="shared" si="862"/>
        <v/>
      </c>
    </row>
    <row r="877" spans="1:26" hidden="1" x14ac:dyDescent="0.2">
      <c r="A877" s="97">
        <v>867</v>
      </c>
      <c r="B877" s="1031">
        <v>867</v>
      </c>
      <c r="C877" s="978" t="s">
        <v>494</v>
      </c>
      <c r="D877" s="595" t="s">
        <v>675</v>
      </c>
      <c r="E877" s="596"/>
      <c r="F877" s="671"/>
      <c r="G877" s="597"/>
      <c r="H877" s="682"/>
      <c r="I877" s="592">
        <v>11.99</v>
      </c>
      <c r="J877" s="592">
        <f t="shared" si="899"/>
        <v>11.99</v>
      </c>
      <c r="K877" s="593">
        <f t="shared" si="891"/>
        <v>14.59</v>
      </c>
      <c r="L877" s="594" t="s">
        <v>21</v>
      </c>
      <c r="M877" s="92"/>
      <c r="N877" s="92"/>
      <c r="O877" s="93">
        <f t="shared" si="900"/>
        <v>0</v>
      </c>
      <c r="P877" s="93">
        <f t="shared" si="901"/>
        <v>0</v>
      </c>
      <c r="Q877" s="94"/>
      <c r="R877" s="92">
        <f t="shared" si="902"/>
        <v>0</v>
      </c>
      <c r="S877" s="92">
        <f t="shared" si="903"/>
        <v>0</v>
      </c>
      <c r="T877" s="93">
        <f t="shared" si="904"/>
        <v>0</v>
      </c>
      <c r="U877" s="95">
        <f t="shared" si="905"/>
        <v>0</v>
      </c>
      <c r="V877" s="94"/>
      <c r="X877" s="580" t="str">
        <f t="shared" si="861"/>
        <v/>
      </c>
      <c r="Y877" s="580" t="str">
        <f t="shared" si="811"/>
        <v/>
      </c>
      <c r="Z877" s="580" t="str">
        <f t="shared" si="862"/>
        <v/>
      </c>
    </row>
    <row r="878" spans="1:26" hidden="1" x14ac:dyDescent="0.2">
      <c r="A878" s="97" t="s">
        <v>663</v>
      </c>
      <c r="B878" s="1031" t="s">
        <v>663</v>
      </c>
      <c r="C878" s="978" t="s">
        <v>494</v>
      </c>
      <c r="D878" s="595" t="s">
        <v>674</v>
      </c>
      <c r="E878" s="596"/>
      <c r="F878" s="671"/>
      <c r="G878" s="597"/>
      <c r="H878" s="682"/>
      <c r="I878" s="592">
        <v>4.8</v>
      </c>
      <c r="J878" s="592">
        <f t="shared" si="899"/>
        <v>4.8</v>
      </c>
      <c r="K878" s="593">
        <f t="shared" si="891"/>
        <v>5.84</v>
      </c>
      <c r="L878" s="594" t="s">
        <v>21</v>
      </c>
      <c r="M878" s="92"/>
      <c r="N878" s="92"/>
      <c r="O878" s="93">
        <f t="shared" si="900"/>
        <v>0</v>
      </c>
      <c r="P878" s="93">
        <f t="shared" si="901"/>
        <v>0</v>
      </c>
      <c r="Q878" s="94"/>
      <c r="R878" s="92">
        <f t="shared" si="902"/>
        <v>0</v>
      </c>
      <c r="S878" s="92">
        <f t="shared" si="903"/>
        <v>0</v>
      </c>
      <c r="T878" s="93">
        <f t="shared" si="904"/>
        <v>0</v>
      </c>
      <c r="U878" s="95">
        <f t="shared" si="905"/>
        <v>0</v>
      </c>
      <c r="V878" s="94"/>
      <c r="X878" s="580" t="str">
        <f t="shared" si="861"/>
        <v/>
      </c>
      <c r="Y878" s="580" t="str">
        <f t="shared" si="811"/>
        <v/>
      </c>
      <c r="Z878" s="580" t="str">
        <f t="shared" si="862"/>
        <v/>
      </c>
    </row>
    <row r="879" spans="1:26" hidden="1" x14ac:dyDescent="0.2">
      <c r="A879" s="97">
        <v>801</v>
      </c>
      <c r="B879" s="1031">
        <v>801</v>
      </c>
      <c r="C879" s="978" t="s">
        <v>494</v>
      </c>
      <c r="D879" s="595" t="s">
        <v>704</v>
      </c>
      <c r="E879" s="596"/>
      <c r="F879" s="671"/>
      <c r="G879" s="597"/>
      <c r="H879" s="682"/>
      <c r="I879" s="592">
        <v>12.68</v>
      </c>
      <c r="J879" s="592">
        <f t="shared" si="899"/>
        <v>12.68</v>
      </c>
      <c r="K879" s="593">
        <f t="shared" si="891"/>
        <v>15.43</v>
      </c>
      <c r="L879" s="594" t="s">
        <v>21</v>
      </c>
      <c r="M879" s="92"/>
      <c r="N879" s="92"/>
      <c r="O879" s="93">
        <f t="shared" si="900"/>
        <v>0</v>
      </c>
      <c r="P879" s="93">
        <f t="shared" si="901"/>
        <v>0</v>
      </c>
      <c r="Q879" s="94"/>
      <c r="R879" s="92">
        <f t="shared" si="902"/>
        <v>0</v>
      </c>
      <c r="S879" s="92">
        <f t="shared" si="903"/>
        <v>0</v>
      </c>
      <c r="T879" s="93">
        <f t="shared" si="904"/>
        <v>0</v>
      </c>
      <c r="U879" s="95">
        <f t="shared" si="905"/>
        <v>0</v>
      </c>
      <c r="V879" s="94"/>
      <c r="X879" s="580" t="str">
        <f t="shared" si="861"/>
        <v/>
      </c>
      <c r="Y879" s="580" t="str">
        <f t="shared" si="811"/>
        <v/>
      </c>
      <c r="Z879" s="580" t="str">
        <f t="shared" si="862"/>
        <v/>
      </c>
    </row>
    <row r="880" spans="1:26" hidden="1" x14ac:dyDescent="0.2">
      <c r="A880" s="97">
        <v>813</v>
      </c>
      <c r="B880" s="1031">
        <v>813</v>
      </c>
      <c r="C880" s="978" t="s">
        <v>494</v>
      </c>
      <c r="D880" s="595" t="s">
        <v>678</v>
      </c>
      <c r="E880" s="596"/>
      <c r="F880" s="671"/>
      <c r="G880" s="597"/>
      <c r="H880" s="682"/>
      <c r="I880" s="592">
        <v>26.72</v>
      </c>
      <c r="J880" s="592">
        <f t="shared" ref="J880:J881" si="906">IF(ISBLANK(I880),"",SUM(H880:I880))</f>
        <v>26.72</v>
      </c>
      <c r="K880" s="593">
        <f t="shared" si="891"/>
        <v>32.520000000000003</v>
      </c>
      <c r="L880" s="594" t="s">
        <v>21</v>
      </c>
      <c r="M880" s="92"/>
      <c r="N880" s="92"/>
      <c r="O880" s="93">
        <f t="shared" ref="O880:O881" si="907">IF(ISBLANK(M880),0,ROUND(K880*M880,2))</f>
        <v>0</v>
      </c>
      <c r="P880" s="93">
        <f t="shared" ref="P880:P881" si="908">IF(ISBLANK(N880),0,ROUND(M880*N880,2))</f>
        <v>0</v>
      </c>
      <c r="Q880" s="94"/>
      <c r="R880" s="92">
        <f t="shared" ref="R880:R881" si="909">M880</f>
        <v>0</v>
      </c>
      <c r="S880" s="92">
        <f t="shared" ref="S880:S881" si="910">N880</f>
        <v>0</v>
      </c>
      <c r="T880" s="93">
        <f t="shared" ref="T880:T881" si="911">IF(ISBLANK(R880),0,ROUND(K880*R880,2))</f>
        <v>0</v>
      </c>
      <c r="U880" s="95">
        <f t="shared" ref="U880:U881" si="912">IF(ISBLANK(R880),0,ROUND(R880*S880,2))</f>
        <v>0</v>
      </c>
      <c r="V880" s="94"/>
      <c r="X880" s="580" t="str">
        <f t="shared" si="861"/>
        <v/>
      </c>
      <c r="Y880" s="580" t="str">
        <f t="shared" si="811"/>
        <v/>
      </c>
      <c r="Z880" s="580" t="str">
        <f t="shared" si="862"/>
        <v/>
      </c>
    </row>
    <row r="881" spans="1:26" hidden="1" x14ac:dyDescent="0.2">
      <c r="A881" s="97" t="s">
        <v>676</v>
      </c>
      <c r="B881" s="1031" t="s">
        <v>676</v>
      </c>
      <c r="C881" s="978" t="s">
        <v>494</v>
      </c>
      <c r="D881" s="595" t="s">
        <v>679</v>
      </c>
      <c r="E881" s="596"/>
      <c r="F881" s="671"/>
      <c r="G881" s="597"/>
      <c r="H881" s="682"/>
      <c r="I881" s="592">
        <v>10.62</v>
      </c>
      <c r="J881" s="592">
        <f t="shared" si="906"/>
        <v>10.62</v>
      </c>
      <c r="K881" s="593">
        <f t="shared" si="891"/>
        <v>12.93</v>
      </c>
      <c r="L881" s="594" t="s">
        <v>21</v>
      </c>
      <c r="M881" s="92"/>
      <c r="N881" s="92"/>
      <c r="O881" s="93">
        <f t="shared" si="907"/>
        <v>0</v>
      </c>
      <c r="P881" s="93">
        <f t="shared" si="908"/>
        <v>0</v>
      </c>
      <c r="Q881" s="94"/>
      <c r="R881" s="92">
        <f t="shared" si="909"/>
        <v>0</v>
      </c>
      <c r="S881" s="92">
        <f t="shared" si="910"/>
        <v>0</v>
      </c>
      <c r="T881" s="93">
        <f t="shared" si="911"/>
        <v>0</v>
      </c>
      <c r="U881" s="95">
        <f t="shared" si="912"/>
        <v>0</v>
      </c>
      <c r="V881" s="94"/>
      <c r="X881" s="580" t="str">
        <f t="shared" ref="X881:X918" si="913">IF(W881="X","x",IF(W881="xx","x",IF(W881="xy","x",IF(W881="y","x",IF(OR(P881&gt;0,U881&gt;0),"x","")))))</f>
        <v/>
      </c>
      <c r="Y881" s="580" t="str">
        <f t="shared" si="811"/>
        <v/>
      </c>
      <c r="Z881" s="580" t="str">
        <f t="shared" si="862"/>
        <v/>
      </c>
    </row>
    <row r="882" spans="1:26" hidden="1" x14ac:dyDescent="0.2">
      <c r="A882" s="97">
        <v>811</v>
      </c>
      <c r="B882" s="1031">
        <v>811</v>
      </c>
      <c r="C882" s="978" t="s">
        <v>494</v>
      </c>
      <c r="D882" s="595" t="s">
        <v>681</v>
      </c>
      <c r="E882" s="596"/>
      <c r="F882" s="671"/>
      <c r="G882" s="597"/>
      <c r="H882" s="682"/>
      <c r="I882" s="592">
        <v>13.02</v>
      </c>
      <c r="J882" s="592">
        <f t="shared" ref="J882:J905" si="914">IF(ISBLANK(I882),"",SUM(H882:I882))</f>
        <v>13.02</v>
      </c>
      <c r="K882" s="593">
        <f t="shared" si="891"/>
        <v>15.85</v>
      </c>
      <c r="L882" s="594" t="s">
        <v>21</v>
      </c>
      <c r="M882" s="92"/>
      <c r="N882" s="92"/>
      <c r="O882" s="93">
        <f t="shared" ref="O882:O905" si="915">IF(ISBLANK(M882),0,ROUND(K882*M882,2))</f>
        <v>0</v>
      </c>
      <c r="P882" s="93">
        <f t="shared" ref="P882:P905" si="916">IF(ISBLANK(N882),0,ROUND(M882*N882,2))</f>
        <v>0</v>
      </c>
      <c r="Q882" s="94"/>
      <c r="R882" s="92">
        <f t="shared" ref="R882:R905" si="917">M882</f>
        <v>0</v>
      </c>
      <c r="S882" s="92">
        <f t="shared" ref="S882:S905" si="918">N882</f>
        <v>0</v>
      </c>
      <c r="T882" s="93">
        <f t="shared" ref="T882:T905" si="919">IF(ISBLANK(R882),0,ROUND(K882*R882,2))</f>
        <v>0</v>
      </c>
      <c r="U882" s="95">
        <f t="shared" ref="U882:U905" si="920">IF(ISBLANK(R882),0,ROUND(R882*S882,2))</f>
        <v>0</v>
      </c>
      <c r="V882" s="94"/>
      <c r="X882" s="580" t="str">
        <f t="shared" si="913"/>
        <v/>
      </c>
      <c r="Y882" s="580" t="str">
        <f t="shared" si="811"/>
        <v/>
      </c>
      <c r="Z882" s="580" t="str">
        <f t="shared" si="862"/>
        <v/>
      </c>
    </row>
    <row r="883" spans="1:26" hidden="1" x14ac:dyDescent="0.2">
      <c r="A883" s="97">
        <v>814</v>
      </c>
      <c r="B883" s="1031">
        <v>814</v>
      </c>
      <c r="C883" s="978" t="s">
        <v>494</v>
      </c>
      <c r="D883" s="595" t="s">
        <v>680</v>
      </c>
      <c r="E883" s="596"/>
      <c r="F883" s="671"/>
      <c r="G883" s="597"/>
      <c r="H883" s="682"/>
      <c r="I883" s="592">
        <v>34.6</v>
      </c>
      <c r="J883" s="592">
        <f t="shared" si="914"/>
        <v>34.6</v>
      </c>
      <c r="K883" s="593">
        <f t="shared" si="891"/>
        <v>42.11</v>
      </c>
      <c r="L883" s="594" t="s">
        <v>21</v>
      </c>
      <c r="M883" s="92"/>
      <c r="N883" s="92"/>
      <c r="O883" s="93">
        <f t="shared" si="915"/>
        <v>0</v>
      </c>
      <c r="P883" s="93">
        <f t="shared" si="916"/>
        <v>0</v>
      </c>
      <c r="Q883" s="94"/>
      <c r="R883" s="92">
        <f t="shared" si="917"/>
        <v>0</v>
      </c>
      <c r="S883" s="92">
        <f t="shared" si="918"/>
        <v>0</v>
      </c>
      <c r="T883" s="93">
        <f t="shared" si="919"/>
        <v>0</v>
      </c>
      <c r="U883" s="95">
        <f t="shared" si="920"/>
        <v>0</v>
      </c>
      <c r="V883" s="94"/>
      <c r="X883" s="580" t="str">
        <f t="shared" si="913"/>
        <v/>
      </c>
      <c r="Y883" s="580" t="str">
        <f t="shared" si="811"/>
        <v/>
      </c>
      <c r="Z883" s="580" t="str">
        <f t="shared" si="862"/>
        <v/>
      </c>
    </row>
    <row r="884" spans="1:26" hidden="1" x14ac:dyDescent="0.2">
      <c r="A884" s="97">
        <v>815</v>
      </c>
      <c r="B884" s="1031">
        <v>815</v>
      </c>
      <c r="C884" s="978" t="s">
        <v>494</v>
      </c>
      <c r="D884" s="595" t="s">
        <v>682</v>
      </c>
      <c r="E884" s="596"/>
      <c r="F884" s="671"/>
      <c r="G884" s="597"/>
      <c r="H884" s="682"/>
      <c r="I884" s="592">
        <v>60.64</v>
      </c>
      <c r="J884" s="592">
        <f t="shared" si="914"/>
        <v>60.64</v>
      </c>
      <c r="K884" s="593">
        <f t="shared" si="891"/>
        <v>73.8</v>
      </c>
      <c r="L884" s="594" t="s">
        <v>21</v>
      </c>
      <c r="M884" s="92"/>
      <c r="N884" s="92"/>
      <c r="O884" s="93">
        <f t="shared" si="915"/>
        <v>0</v>
      </c>
      <c r="P884" s="93">
        <f t="shared" si="916"/>
        <v>0</v>
      </c>
      <c r="Q884" s="94"/>
      <c r="R884" s="92">
        <f t="shared" si="917"/>
        <v>0</v>
      </c>
      <c r="S884" s="92">
        <f t="shared" si="918"/>
        <v>0</v>
      </c>
      <c r="T884" s="93">
        <f t="shared" si="919"/>
        <v>0</v>
      </c>
      <c r="U884" s="95">
        <f t="shared" si="920"/>
        <v>0</v>
      </c>
      <c r="V884" s="94"/>
      <c r="X884" s="580" t="str">
        <f t="shared" si="913"/>
        <v/>
      </c>
      <c r="Y884" s="580" t="str">
        <f t="shared" si="811"/>
        <v/>
      </c>
      <c r="Z884" s="580" t="str">
        <f t="shared" si="862"/>
        <v/>
      </c>
    </row>
    <row r="885" spans="1:26" hidden="1" x14ac:dyDescent="0.2">
      <c r="A885" s="97">
        <v>816</v>
      </c>
      <c r="B885" s="1031">
        <v>816</v>
      </c>
      <c r="C885" s="978" t="s">
        <v>494</v>
      </c>
      <c r="D885" s="595" t="s">
        <v>683</v>
      </c>
      <c r="E885" s="596"/>
      <c r="F885" s="671"/>
      <c r="G885" s="597"/>
      <c r="H885" s="682"/>
      <c r="I885" s="592">
        <v>28.78</v>
      </c>
      <c r="J885" s="592">
        <f t="shared" si="914"/>
        <v>28.78</v>
      </c>
      <c r="K885" s="593">
        <f t="shared" si="891"/>
        <v>35.03</v>
      </c>
      <c r="L885" s="594" t="s">
        <v>21</v>
      </c>
      <c r="M885" s="92"/>
      <c r="N885" s="92"/>
      <c r="O885" s="93">
        <f t="shared" si="915"/>
        <v>0</v>
      </c>
      <c r="P885" s="93">
        <f t="shared" si="916"/>
        <v>0</v>
      </c>
      <c r="Q885" s="94"/>
      <c r="R885" s="92">
        <f t="shared" si="917"/>
        <v>0</v>
      </c>
      <c r="S885" s="92">
        <f t="shared" si="918"/>
        <v>0</v>
      </c>
      <c r="T885" s="93">
        <f t="shared" si="919"/>
        <v>0</v>
      </c>
      <c r="U885" s="95">
        <f t="shared" si="920"/>
        <v>0</v>
      </c>
      <c r="V885" s="94"/>
      <c r="X885" s="580" t="str">
        <f t="shared" si="913"/>
        <v/>
      </c>
      <c r="Y885" s="580" t="str">
        <f t="shared" si="811"/>
        <v/>
      </c>
      <c r="Z885" s="580" t="str">
        <f t="shared" si="862"/>
        <v/>
      </c>
    </row>
    <row r="886" spans="1:26" hidden="1" x14ac:dyDescent="0.2">
      <c r="A886" s="97">
        <v>817</v>
      </c>
      <c r="B886" s="1031">
        <v>817</v>
      </c>
      <c r="C886" s="978" t="s">
        <v>494</v>
      </c>
      <c r="D886" s="595" t="s">
        <v>684</v>
      </c>
      <c r="E886" s="596"/>
      <c r="F886" s="671"/>
      <c r="G886" s="597"/>
      <c r="H886" s="682"/>
      <c r="I886" s="592">
        <v>41.46</v>
      </c>
      <c r="J886" s="592">
        <f t="shared" si="914"/>
        <v>41.46</v>
      </c>
      <c r="K886" s="593">
        <f t="shared" si="891"/>
        <v>50.46</v>
      </c>
      <c r="L886" s="594" t="s">
        <v>21</v>
      </c>
      <c r="M886" s="92"/>
      <c r="N886" s="92"/>
      <c r="O886" s="93">
        <f t="shared" si="915"/>
        <v>0</v>
      </c>
      <c r="P886" s="93">
        <f t="shared" si="916"/>
        <v>0</v>
      </c>
      <c r="Q886" s="94"/>
      <c r="R886" s="92">
        <f t="shared" si="917"/>
        <v>0</v>
      </c>
      <c r="S886" s="92">
        <f t="shared" si="918"/>
        <v>0</v>
      </c>
      <c r="T886" s="93">
        <f t="shared" si="919"/>
        <v>0</v>
      </c>
      <c r="U886" s="95">
        <f t="shared" si="920"/>
        <v>0</v>
      </c>
      <c r="V886" s="94"/>
      <c r="X886" s="580" t="str">
        <f t="shared" si="913"/>
        <v/>
      </c>
      <c r="Y886" s="580" t="str">
        <f t="shared" si="811"/>
        <v/>
      </c>
      <c r="Z886" s="580" t="str">
        <f t="shared" si="862"/>
        <v/>
      </c>
    </row>
    <row r="887" spans="1:26" hidden="1" x14ac:dyDescent="0.2">
      <c r="A887" s="97">
        <v>818</v>
      </c>
      <c r="B887" s="1031">
        <v>818</v>
      </c>
      <c r="C887" s="978" t="s">
        <v>494</v>
      </c>
      <c r="D887" s="595" t="s">
        <v>685</v>
      </c>
      <c r="E887" s="596"/>
      <c r="F887" s="671"/>
      <c r="G887" s="597"/>
      <c r="H887" s="682"/>
      <c r="I887" s="592">
        <v>15.42</v>
      </c>
      <c r="J887" s="592">
        <f t="shared" si="914"/>
        <v>15.42</v>
      </c>
      <c r="K887" s="593">
        <f t="shared" si="891"/>
        <v>18.77</v>
      </c>
      <c r="L887" s="594" t="s">
        <v>21</v>
      </c>
      <c r="M887" s="92"/>
      <c r="N887" s="92"/>
      <c r="O887" s="93">
        <f t="shared" si="915"/>
        <v>0</v>
      </c>
      <c r="P887" s="93">
        <f t="shared" si="916"/>
        <v>0</v>
      </c>
      <c r="Q887" s="94"/>
      <c r="R887" s="92">
        <f t="shared" si="917"/>
        <v>0</v>
      </c>
      <c r="S887" s="92">
        <f t="shared" si="918"/>
        <v>0</v>
      </c>
      <c r="T887" s="93">
        <f t="shared" si="919"/>
        <v>0</v>
      </c>
      <c r="U887" s="95">
        <f t="shared" si="920"/>
        <v>0</v>
      </c>
      <c r="V887" s="94"/>
      <c r="X887" s="580" t="str">
        <f t="shared" si="913"/>
        <v/>
      </c>
      <c r="Y887" s="580" t="str">
        <f t="shared" si="811"/>
        <v/>
      </c>
      <c r="Z887" s="580" t="str">
        <f t="shared" si="862"/>
        <v/>
      </c>
    </row>
    <row r="888" spans="1:26" hidden="1" x14ac:dyDescent="0.2">
      <c r="A888" s="97">
        <v>819</v>
      </c>
      <c r="B888" s="1031">
        <v>819</v>
      </c>
      <c r="C888" s="978" t="s">
        <v>494</v>
      </c>
      <c r="D888" s="595" t="s">
        <v>686</v>
      </c>
      <c r="E888" s="596"/>
      <c r="F888" s="671"/>
      <c r="G888" s="597"/>
      <c r="H888" s="682"/>
      <c r="I888" s="592">
        <v>23.3</v>
      </c>
      <c r="J888" s="592">
        <f t="shared" si="914"/>
        <v>23.3</v>
      </c>
      <c r="K888" s="593">
        <f t="shared" si="891"/>
        <v>28.36</v>
      </c>
      <c r="L888" s="594" t="s">
        <v>19</v>
      </c>
      <c r="M888" s="92"/>
      <c r="N888" s="92"/>
      <c r="O888" s="93">
        <f t="shared" si="915"/>
        <v>0</v>
      </c>
      <c r="P888" s="93">
        <f t="shared" si="916"/>
        <v>0</v>
      </c>
      <c r="Q888" s="94"/>
      <c r="R888" s="92">
        <f t="shared" si="917"/>
        <v>0</v>
      </c>
      <c r="S888" s="92">
        <f t="shared" si="918"/>
        <v>0</v>
      </c>
      <c r="T888" s="93">
        <f t="shared" si="919"/>
        <v>0</v>
      </c>
      <c r="U888" s="95">
        <f t="shared" si="920"/>
        <v>0</v>
      </c>
      <c r="V888" s="94"/>
      <c r="X888" s="580" t="str">
        <f t="shared" si="913"/>
        <v/>
      </c>
      <c r="Y888" s="580" t="str">
        <f t="shared" si="811"/>
        <v/>
      </c>
      <c r="Z888" s="580" t="str">
        <f t="shared" si="862"/>
        <v/>
      </c>
    </row>
    <row r="889" spans="1:26" hidden="1" x14ac:dyDescent="0.2">
      <c r="A889" s="97">
        <v>820</v>
      </c>
      <c r="B889" s="1031">
        <v>820</v>
      </c>
      <c r="C889" s="978" t="s">
        <v>494</v>
      </c>
      <c r="D889" s="595" t="s">
        <v>687</v>
      </c>
      <c r="E889" s="596"/>
      <c r="F889" s="671"/>
      <c r="G889" s="597"/>
      <c r="H889" s="682"/>
      <c r="I889" s="592">
        <v>14.08</v>
      </c>
      <c r="J889" s="592">
        <f t="shared" si="914"/>
        <v>14.08</v>
      </c>
      <c r="K889" s="593">
        <f t="shared" si="891"/>
        <v>17.14</v>
      </c>
      <c r="L889" s="594" t="s">
        <v>21</v>
      </c>
      <c r="M889" s="92"/>
      <c r="N889" s="92"/>
      <c r="O889" s="93">
        <f t="shared" si="915"/>
        <v>0</v>
      </c>
      <c r="P889" s="93">
        <f t="shared" si="916"/>
        <v>0</v>
      </c>
      <c r="Q889" s="94"/>
      <c r="R889" s="92">
        <f t="shared" si="917"/>
        <v>0</v>
      </c>
      <c r="S889" s="92">
        <f t="shared" si="918"/>
        <v>0</v>
      </c>
      <c r="T889" s="93">
        <f t="shared" si="919"/>
        <v>0</v>
      </c>
      <c r="U889" s="95">
        <f t="shared" si="920"/>
        <v>0</v>
      </c>
      <c r="V889" s="94"/>
      <c r="X889" s="580" t="str">
        <f t="shared" si="913"/>
        <v/>
      </c>
      <c r="Y889" s="580" t="str">
        <f t="shared" si="811"/>
        <v/>
      </c>
      <c r="Z889" s="580" t="str">
        <f t="shared" si="862"/>
        <v/>
      </c>
    </row>
    <row r="890" spans="1:26" hidden="1" x14ac:dyDescent="0.2">
      <c r="A890" s="97">
        <v>821</v>
      </c>
      <c r="B890" s="1031">
        <v>821</v>
      </c>
      <c r="C890" s="978" t="s">
        <v>494</v>
      </c>
      <c r="D890" s="595" t="s">
        <v>688</v>
      </c>
      <c r="E890" s="596"/>
      <c r="F890" s="671"/>
      <c r="G890" s="597"/>
      <c r="H890" s="682"/>
      <c r="I890" s="592">
        <v>22.96</v>
      </c>
      <c r="J890" s="592">
        <f t="shared" si="914"/>
        <v>22.96</v>
      </c>
      <c r="K890" s="593">
        <f t="shared" si="891"/>
        <v>27.94</v>
      </c>
      <c r="L890" s="594" t="s">
        <v>21</v>
      </c>
      <c r="M890" s="92"/>
      <c r="N890" s="92"/>
      <c r="O890" s="93">
        <f t="shared" si="915"/>
        <v>0</v>
      </c>
      <c r="P890" s="93">
        <f t="shared" si="916"/>
        <v>0</v>
      </c>
      <c r="Q890" s="94"/>
      <c r="R890" s="92">
        <f t="shared" si="917"/>
        <v>0</v>
      </c>
      <c r="S890" s="92">
        <f t="shared" si="918"/>
        <v>0</v>
      </c>
      <c r="T890" s="93">
        <f t="shared" si="919"/>
        <v>0</v>
      </c>
      <c r="U890" s="95">
        <f t="shared" si="920"/>
        <v>0</v>
      </c>
      <c r="V890" s="94"/>
      <c r="X890" s="580" t="str">
        <f t="shared" si="913"/>
        <v/>
      </c>
      <c r="Y890" s="580" t="str">
        <f t="shared" si="811"/>
        <v/>
      </c>
      <c r="Z890" s="580" t="str">
        <f t="shared" si="862"/>
        <v/>
      </c>
    </row>
    <row r="891" spans="1:26" hidden="1" x14ac:dyDescent="0.2">
      <c r="A891" s="97">
        <v>871</v>
      </c>
      <c r="B891" s="1031">
        <v>871</v>
      </c>
      <c r="C891" s="978" t="s">
        <v>494</v>
      </c>
      <c r="D891" s="595" t="s">
        <v>689</v>
      </c>
      <c r="E891" s="596"/>
      <c r="F891" s="671"/>
      <c r="G891" s="597"/>
      <c r="H891" s="682"/>
      <c r="I891" s="592">
        <v>11.31</v>
      </c>
      <c r="J891" s="592">
        <f t="shared" si="914"/>
        <v>11.31</v>
      </c>
      <c r="K891" s="593">
        <f t="shared" si="891"/>
        <v>13.77</v>
      </c>
      <c r="L891" s="594" t="s">
        <v>21</v>
      </c>
      <c r="M891" s="92"/>
      <c r="N891" s="92"/>
      <c r="O891" s="93">
        <f t="shared" si="915"/>
        <v>0</v>
      </c>
      <c r="P891" s="93">
        <f t="shared" si="916"/>
        <v>0</v>
      </c>
      <c r="Q891" s="94"/>
      <c r="R891" s="92">
        <f t="shared" si="917"/>
        <v>0</v>
      </c>
      <c r="S891" s="92">
        <f t="shared" si="918"/>
        <v>0</v>
      </c>
      <c r="T891" s="93">
        <f t="shared" si="919"/>
        <v>0</v>
      </c>
      <c r="U891" s="95">
        <f t="shared" si="920"/>
        <v>0</v>
      </c>
      <c r="V891" s="94"/>
      <c r="X891" s="580" t="str">
        <f t="shared" si="913"/>
        <v/>
      </c>
      <c r="Y891" s="580" t="str">
        <f t="shared" si="811"/>
        <v/>
      </c>
      <c r="Z891" s="580" t="str">
        <f t="shared" si="862"/>
        <v/>
      </c>
    </row>
    <row r="892" spans="1:26" hidden="1" x14ac:dyDescent="0.2">
      <c r="A892" s="97" t="s">
        <v>677</v>
      </c>
      <c r="B892" s="1031" t="s">
        <v>677</v>
      </c>
      <c r="C892" s="978" t="s">
        <v>494</v>
      </c>
      <c r="D892" s="595" t="s">
        <v>690</v>
      </c>
      <c r="E892" s="596"/>
      <c r="F892" s="671"/>
      <c r="G892" s="597"/>
      <c r="H892" s="682"/>
      <c r="I892" s="592">
        <v>4.45</v>
      </c>
      <c r="J892" s="592">
        <f t="shared" si="914"/>
        <v>4.45</v>
      </c>
      <c r="K892" s="593">
        <f t="shared" si="891"/>
        <v>5.42</v>
      </c>
      <c r="L892" s="594" t="s">
        <v>21</v>
      </c>
      <c r="M892" s="92"/>
      <c r="N892" s="92"/>
      <c r="O892" s="93">
        <f t="shared" si="915"/>
        <v>0</v>
      </c>
      <c r="P892" s="93">
        <f t="shared" si="916"/>
        <v>0</v>
      </c>
      <c r="Q892" s="94"/>
      <c r="R892" s="92">
        <f t="shared" si="917"/>
        <v>0</v>
      </c>
      <c r="S892" s="92">
        <f t="shared" si="918"/>
        <v>0</v>
      </c>
      <c r="T892" s="93">
        <f t="shared" si="919"/>
        <v>0</v>
      </c>
      <c r="U892" s="95">
        <f t="shared" si="920"/>
        <v>0</v>
      </c>
      <c r="V892" s="94"/>
      <c r="X892" s="580" t="str">
        <f t="shared" si="913"/>
        <v/>
      </c>
      <c r="Y892" s="580" t="str">
        <f t="shared" si="811"/>
        <v/>
      </c>
      <c r="Z892" s="580" t="str">
        <f t="shared" si="862"/>
        <v/>
      </c>
    </row>
    <row r="893" spans="1:26" hidden="1" x14ac:dyDescent="0.2">
      <c r="A893" s="97">
        <v>834</v>
      </c>
      <c r="B893" s="1031">
        <v>834</v>
      </c>
      <c r="C893" s="978" t="s">
        <v>494</v>
      </c>
      <c r="D893" s="595" t="s">
        <v>708</v>
      </c>
      <c r="E893" s="596"/>
      <c r="F893" s="671"/>
      <c r="G893" s="597"/>
      <c r="H893" s="682"/>
      <c r="I893" s="592">
        <v>11.99</v>
      </c>
      <c r="J893" s="592">
        <f t="shared" si="914"/>
        <v>11.99</v>
      </c>
      <c r="K893" s="593">
        <f t="shared" si="891"/>
        <v>14.59</v>
      </c>
      <c r="L893" s="594" t="s">
        <v>21</v>
      </c>
      <c r="M893" s="92"/>
      <c r="N893" s="92"/>
      <c r="O893" s="93">
        <f t="shared" si="915"/>
        <v>0</v>
      </c>
      <c r="P893" s="93">
        <f t="shared" si="916"/>
        <v>0</v>
      </c>
      <c r="Q893" s="94"/>
      <c r="R893" s="92">
        <f t="shared" si="917"/>
        <v>0</v>
      </c>
      <c r="S893" s="92">
        <f t="shared" si="918"/>
        <v>0</v>
      </c>
      <c r="T893" s="93">
        <f t="shared" si="919"/>
        <v>0</v>
      </c>
      <c r="U893" s="95">
        <f t="shared" si="920"/>
        <v>0</v>
      </c>
      <c r="V893" s="94"/>
      <c r="X893" s="580" t="str">
        <f t="shared" si="913"/>
        <v/>
      </c>
      <c r="Y893" s="580" t="str">
        <f t="shared" si="811"/>
        <v/>
      </c>
      <c r="Z893" s="580" t="str">
        <f t="shared" si="862"/>
        <v/>
      </c>
    </row>
    <row r="894" spans="1:26" hidden="1" x14ac:dyDescent="0.2">
      <c r="A894" s="97" t="s">
        <v>705</v>
      </c>
      <c r="B894" s="1031" t="s">
        <v>705</v>
      </c>
      <c r="C894" s="978" t="s">
        <v>494</v>
      </c>
      <c r="D894" s="595" t="s">
        <v>739</v>
      </c>
      <c r="E894" s="596"/>
      <c r="F894" s="671"/>
      <c r="G894" s="597"/>
      <c r="H894" s="682"/>
      <c r="I894" s="592">
        <v>4.8</v>
      </c>
      <c r="J894" s="592">
        <f t="shared" si="914"/>
        <v>4.8</v>
      </c>
      <c r="K894" s="593">
        <f t="shared" si="891"/>
        <v>5.84</v>
      </c>
      <c r="L894" s="594" t="s">
        <v>21</v>
      </c>
      <c r="M894" s="92"/>
      <c r="N894" s="92"/>
      <c r="O894" s="93">
        <f t="shared" si="915"/>
        <v>0</v>
      </c>
      <c r="P894" s="93">
        <f t="shared" si="916"/>
        <v>0</v>
      </c>
      <c r="Q894" s="94"/>
      <c r="R894" s="92">
        <f t="shared" si="917"/>
        <v>0</v>
      </c>
      <c r="S894" s="92">
        <f t="shared" si="918"/>
        <v>0</v>
      </c>
      <c r="T894" s="93">
        <f t="shared" si="919"/>
        <v>0</v>
      </c>
      <c r="U894" s="95">
        <f t="shared" si="920"/>
        <v>0</v>
      </c>
      <c r="V894" s="94"/>
      <c r="X894" s="580" t="str">
        <f t="shared" si="913"/>
        <v/>
      </c>
      <c r="Y894" s="580" t="str">
        <f t="shared" si="811"/>
        <v/>
      </c>
      <c r="Z894" s="580" t="str">
        <f t="shared" si="862"/>
        <v/>
      </c>
    </row>
    <row r="895" spans="1:26" ht="25.5" hidden="1" x14ac:dyDescent="0.2">
      <c r="A895" s="97">
        <v>835</v>
      </c>
      <c r="B895" s="1031">
        <v>835</v>
      </c>
      <c r="C895" s="978" t="s">
        <v>494</v>
      </c>
      <c r="D895" s="595" t="s">
        <v>709</v>
      </c>
      <c r="E895" s="596"/>
      <c r="F895" s="671"/>
      <c r="G895" s="597"/>
      <c r="H895" s="682"/>
      <c r="I895" s="592">
        <v>43.85</v>
      </c>
      <c r="J895" s="592">
        <f t="shared" si="914"/>
        <v>43.85</v>
      </c>
      <c r="K895" s="593">
        <f t="shared" si="891"/>
        <v>53.37</v>
      </c>
      <c r="L895" s="594" t="s">
        <v>21</v>
      </c>
      <c r="M895" s="92"/>
      <c r="N895" s="92"/>
      <c r="O895" s="93">
        <f t="shared" si="915"/>
        <v>0</v>
      </c>
      <c r="P895" s="93">
        <f t="shared" si="916"/>
        <v>0</v>
      </c>
      <c r="Q895" s="94"/>
      <c r="R895" s="92">
        <f t="shared" si="917"/>
        <v>0</v>
      </c>
      <c r="S895" s="92">
        <f t="shared" si="918"/>
        <v>0</v>
      </c>
      <c r="T895" s="93">
        <f t="shared" si="919"/>
        <v>0</v>
      </c>
      <c r="U895" s="95">
        <f t="shared" si="920"/>
        <v>0</v>
      </c>
      <c r="V895" s="94"/>
      <c r="X895" s="580" t="str">
        <f t="shared" si="913"/>
        <v/>
      </c>
      <c r="Y895" s="580" t="str">
        <f t="shared" si="811"/>
        <v/>
      </c>
      <c r="Z895" s="580" t="str">
        <f t="shared" si="862"/>
        <v/>
      </c>
    </row>
    <row r="896" spans="1:26" ht="25.5" hidden="1" x14ac:dyDescent="0.2">
      <c r="A896" s="97" t="s">
        <v>713</v>
      </c>
      <c r="B896" s="1031" t="s">
        <v>713</v>
      </c>
      <c r="C896" s="978" t="s">
        <v>494</v>
      </c>
      <c r="D896" s="595" t="s">
        <v>710</v>
      </c>
      <c r="E896" s="596"/>
      <c r="F896" s="671"/>
      <c r="G896" s="597"/>
      <c r="H896" s="682"/>
      <c r="I896" s="592">
        <v>17.47</v>
      </c>
      <c r="J896" s="592">
        <f t="shared" si="914"/>
        <v>17.47</v>
      </c>
      <c r="K896" s="593">
        <f t="shared" si="891"/>
        <v>21.26</v>
      </c>
      <c r="L896" s="594" t="s">
        <v>21</v>
      </c>
      <c r="M896" s="92"/>
      <c r="N896" s="92"/>
      <c r="O896" s="93">
        <f t="shared" si="915"/>
        <v>0</v>
      </c>
      <c r="P896" s="93">
        <f t="shared" si="916"/>
        <v>0</v>
      </c>
      <c r="Q896" s="94"/>
      <c r="R896" s="92">
        <f t="shared" si="917"/>
        <v>0</v>
      </c>
      <c r="S896" s="92">
        <f t="shared" si="918"/>
        <v>0</v>
      </c>
      <c r="T896" s="93">
        <f t="shared" si="919"/>
        <v>0</v>
      </c>
      <c r="U896" s="95">
        <f t="shared" si="920"/>
        <v>0</v>
      </c>
      <c r="V896" s="94"/>
      <c r="X896" s="580" t="str">
        <f t="shared" si="913"/>
        <v/>
      </c>
      <c r="Y896" s="580" t="str">
        <f t="shared" si="811"/>
        <v/>
      </c>
      <c r="Z896" s="580" t="str">
        <f t="shared" si="862"/>
        <v/>
      </c>
    </row>
    <row r="897" spans="1:26" ht="25.5" hidden="1" x14ac:dyDescent="0.2">
      <c r="A897" s="97">
        <v>836</v>
      </c>
      <c r="B897" s="1031">
        <v>836</v>
      </c>
      <c r="C897" s="978" t="s">
        <v>494</v>
      </c>
      <c r="D897" s="595" t="s">
        <v>711</v>
      </c>
      <c r="E897" s="596"/>
      <c r="F897" s="671"/>
      <c r="G897" s="597"/>
      <c r="H897" s="682"/>
      <c r="I897" s="592">
        <v>114.78</v>
      </c>
      <c r="J897" s="592">
        <f t="shared" si="914"/>
        <v>114.78</v>
      </c>
      <c r="K897" s="593">
        <f t="shared" si="891"/>
        <v>139.69999999999999</v>
      </c>
      <c r="L897" s="594" t="s">
        <v>21</v>
      </c>
      <c r="M897" s="92"/>
      <c r="N897" s="92"/>
      <c r="O897" s="93">
        <f t="shared" si="915"/>
        <v>0</v>
      </c>
      <c r="P897" s="93">
        <f t="shared" si="916"/>
        <v>0</v>
      </c>
      <c r="Q897" s="94"/>
      <c r="R897" s="92">
        <f t="shared" si="917"/>
        <v>0</v>
      </c>
      <c r="S897" s="92">
        <f t="shared" si="918"/>
        <v>0</v>
      </c>
      <c r="T897" s="93">
        <f t="shared" si="919"/>
        <v>0</v>
      </c>
      <c r="U897" s="95">
        <f t="shared" si="920"/>
        <v>0</v>
      </c>
      <c r="V897" s="94"/>
      <c r="X897" s="580" t="str">
        <f t="shared" si="913"/>
        <v/>
      </c>
      <c r="Y897" s="580" t="str">
        <f t="shared" si="811"/>
        <v/>
      </c>
      <c r="Z897" s="580" t="str">
        <f t="shared" si="862"/>
        <v/>
      </c>
    </row>
    <row r="898" spans="1:26" ht="25.5" hidden="1" x14ac:dyDescent="0.2">
      <c r="A898" s="97" t="s">
        <v>706</v>
      </c>
      <c r="B898" s="1031" t="s">
        <v>706</v>
      </c>
      <c r="C898" s="978" t="s">
        <v>494</v>
      </c>
      <c r="D898" s="595" t="s">
        <v>738</v>
      </c>
      <c r="E898" s="596"/>
      <c r="F898" s="671"/>
      <c r="G898" s="597"/>
      <c r="H898" s="682"/>
      <c r="I898" s="592">
        <v>57.56</v>
      </c>
      <c r="J898" s="592">
        <f t="shared" si="914"/>
        <v>57.56</v>
      </c>
      <c r="K898" s="593">
        <f t="shared" si="891"/>
        <v>70.06</v>
      </c>
      <c r="L898" s="594" t="s">
        <v>21</v>
      </c>
      <c r="M898" s="92"/>
      <c r="N898" s="92"/>
      <c r="O898" s="93">
        <f t="shared" si="915"/>
        <v>0</v>
      </c>
      <c r="P898" s="93">
        <f t="shared" si="916"/>
        <v>0</v>
      </c>
      <c r="Q898" s="94"/>
      <c r="R898" s="92">
        <f t="shared" si="917"/>
        <v>0</v>
      </c>
      <c r="S898" s="92">
        <f t="shared" si="918"/>
        <v>0</v>
      </c>
      <c r="T898" s="93">
        <f t="shared" si="919"/>
        <v>0</v>
      </c>
      <c r="U898" s="95">
        <f t="shared" si="920"/>
        <v>0</v>
      </c>
      <c r="V898" s="94"/>
      <c r="X898" s="580" t="str">
        <f t="shared" si="913"/>
        <v/>
      </c>
      <c r="Y898" s="580" t="str">
        <f t="shared" si="811"/>
        <v/>
      </c>
      <c r="Z898" s="580" t="str">
        <f t="shared" si="862"/>
        <v/>
      </c>
    </row>
    <row r="899" spans="1:26" hidden="1" x14ac:dyDescent="0.2">
      <c r="A899" s="97">
        <v>837</v>
      </c>
      <c r="B899" s="1031">
        <v>837</v>
      </c>
      <c r="C899" s="978" t="s">
        <v>494</v>
      </c>
      <c r="D899" s="595" t="s">
        <v>712</v>
      </c>
      <c r="E899" s="596"/>
      <c r="F899" s="671"/>
      <c r="G899" s="597"/>
      <c r="H899" s="682"/>
      <c r="I899" s="592">
        <v>20.9</v>
      </c>
      <c r="J899" s="592">
        <f t="shared" si="914"/>
        <v>20.9</v>
      </c>
      <c r="K899" s="593">
        <f t="shared" si="891"/>
        <v>25.44</v>
      </c>
      <c r="L899" s="594" t="s">
        <v>21</v>
      </c>
      <c r="M899" s="92"/>
      <c r="N899" s="92"/>
      <c r="O899" s="93">
        <f t="shared" si="915"/>
        <v>0</v>
      </c>
      <c r="P899" s="93">
        <f t="shared" si="916"/>
        <v>0</v>
      </c>
      <c r="Q899" s="94"/>
      <c r="R899" s="92">
        <f t="shared" si="917"/>
        <v>0</v>
      </c>
      <c r="S899" s="92">
        <f t="shared" si="918"/>
        <v>0</v>
      </c>
      <c r="T899" s="93">
        <f t="shared" si="919"/>
        <v>0</v>
      </c>
      <c r="U899" s="95">
        <f t="shared" si="920"/>
        <v>0</v>
      </c>
      <c r="V899" s="94"/>
      <c r="X899" s="580" t="str">
        <f t="shared" si="913"/>
        <v/>
      </c>
      <c r="Y899" s="580" t="str">
        <f t="shared" si="811"/>
        <v/>
      </c>
      <c r="Z899" s="580" t="str">
        <f t="shared" si="862"/>
        <v/>
      </c>
    </row>
    <row r="900" spans="1:26" hidden="1" x14ac:dyDescent="0.2">
      <c r="A900" s="97">
        <v>838</v>
      </c>
      <c r="B900" s="1031">
        <v>838</v>
      </c>
      <c r="C900" s="978" t="s">
        <v>494</v>
      </c>
      <c r="D900" s="595" t="s">
        <v>722</v>
      </c>
      <c r="E900" s="596"/>
      <c r="F900" s="671"/>
      <c r="G900" s="597"/>
      <c r="H900" s="682"/>
      <c r="I900" s="592">
        <v>53.11</v>
      </c>
      <c r="J900" s="592">
        <f t="shared" si="914"/>
        <v>53.11</v>
      </c>
      <c r="K900" s="593">
        <f t="shared" si="891"/>
        <v>64.64</v>
      </c>
      <c r="L900" s="594" t="s">
        <v>21</v>
      </c>
      <c r="M900" s="92"/>
      <c r="N900" s="92"/>
      <c r="O900" s="93">
        <f t="shared" si="915"/>
        <v>0</v>
      </c>
      <c r="P900" s="93">
        <f t="shared" si="916"/>
        <v>0</v>
      </c>
      <c r="Q900" s="94"/>
      <c r="R900" s="92">
        <f t="shared" si="917"/>
        <v>0</v>
      </c>
      <c r="S900" s="92">
        <f t="shared" si="918"/>
        <v>0</v>
      </c>
      <c r="T900" s="93">
        <f t="shared" si="919"/>
        <v>0</v>
      </c>
      <c r="U900" s="95">
        <f t="shared" si="920"/>
        <v>0</v>
      </c>
      <c r="V900" s="94"/>
      <c r="X900" s="580" t="str">
        <f t="shared" si="913"/>
        <v/>
      </c>
      <c r="Y900" s="580" t="str">
        <f t="shared" si="811"/>
        <v/>
      </c>
      <c r="Z900" s="580" t="str">
        <f t="shared" si="862"/>
        <v/>
      </c>
    </row>
    <row r="901" spans="1:26" hidden="1" x14ac:dyDescent="0.2">
      <c r="A901" s="97" t="s">
        <v>714</v>
      </c>
      <c r="B901" s="1031" t="s">
        <v>714</v>
      </c>
      <c r="C901" s="978" t="s">
        <v>494</v>
      </c>
      <c r="D901" s="595" t="s">
        <v>723</v>
      </c>
      <c r="E901" s="596"/>
      <c r="F901" s="671"/>
      <c r="G901" s="597"/>
      <c r="H901" s="682"/>
      <c r="I901" s="592">
        <v>21.24</v>
      </c>
      <c r="J901" s="592">
        <f t="shared" si="914"/>
        <v>21.24</v>
      </c>
      <c r="K901" s="593">
        <f t="shared" si="891"/>
        <v>25.85</v>
      </c>
      <c r="L901" s="594" t="s">
        <v>21</v>
      </c>
      <c r="M901" s="92"/>
      <c r="N901" s="92"/>
      <c r="O901" s="93">
        <f t="shared" si="915"/>
        <v>0</v>
      </c>
      <c r="P901" s="93">
        <f t="shared" si="916"/>
        <v>0</v>
      </c>
      <c r="Q901" s="94"/>
      <c r="R901" s="92">
        <f t="shared" si="917"/>
        <v>0</v>
      </c>
      <c r="S901" s="92">
        <f t="shared" si="918"/>
        <v>0</v>
      </c>
      <c r="T901" s="93">
        <f t="shared" si="919"/>
        <v>0</v>
      </c>
      <c r="U901" s="95">
        <f t="shared" si="920"/>
        <v>0</v>
      </c>
      <c r="V901" s="94"/>
      <c r="X901" s="580" t="str">
        <f t="shared" si="913"/>
        <v/>
      </c>
      <c r="Y901" s="580" t="str">
        <f t="shared" si="811"/>
        <v/>
      </c>
      <c r="Z901" s="580" t="str">
        <f t="shared" si="862"/>
        <v/>
      </c>
    </row>
    <row r="902" spans="1:26" hidden="1" x14ac:dyDescent="0.2">
      <c r="A902" s="97">
        <v>839</v>
      </c>
      <c r="B902" s="1031">
        <v>839</v>
      </c>
      <c r="C902" s="978" t="s">
        <v>494</v>
      </c>
      <c r="D902" s="595" t="s">
        <v>724</v>
      </c>
      <c r="E902" s="596"/>
      <c r="F902" s="671"/>
      <c r="G902" s="597"/>
      <c r="H902" s="682"/>
      <c r="I902" s="592">
        <v>171.99</v>
      </c>
      <c r="J902" s="592">
        <f t="shared" si="914"/>
        <v>171.99</v>
      </c>
      <c r="K902" s="593">
        <f t="shared" si="891"/>
        <v>209.33</v>
      </c>
      <c r="L902" s="594" t="s">
        <v>21</v>
      </c>
      <c r="M902" s="92"/>
      <c r="N902" s="92"/>
      <c r="O902" s="93">
        <f t="shared" si="915"/>
        <v>0</v>
      </c>
      <c r="P902" s="93">
        <f t="shared" si="916"/>
        <v>0</v>
      </c>
      <c r="Q902" s="94"/>
      <c r="R902" s="92">
        <f t="shared" si="917"/>
        <v>0</v>
      </c>
      <c r="S902" s="92">
        <f t="shared" si="918"/>
        <v>0</v>
      </c>
      <c r="T902" s="93">
        <f t="shared" si="919"/>
        <v>0</v>
      </c>
      <c r="U902" s="95">
        <f t="shared" si="920"/>
        <v>0</v>
      </c>
      <c r="V902" s="94"/>
      <c r="X902" s="580" t="str">
        <f t="shared" si="913"/>
        <v/>
      </c>
      <c r="Y902" s="580" t="str">
        <f t="shared" si="811"/>
        <v/>
      </c>
      <c r="Z902" s="580" t="str">
        <f t="shared" si="862"/>
        <v/>
      </c>
    </row>
    <row r="903" spans="1:26" hidden="1" x14ac:dyDescent="0.2">
      <c r="A903" s="97" t="s">
        <v>715</v>
      </c>
      <c r="B903" s="1031" t="s">
        <v>715</v>
      </c>
      <c r="C903" s="978" t="s">
        <v>494</v>
      </c>
      <c r="D903" s="595" t="s">
        <v>725</v>
      </c>
      <c r="E903" s="596"/>
      <c r="F903" s="671"/>
      <c r="G903" s="597"/>
      <c r="H903" s="682"/>
      <c r="I903" s="592">
        <v>120.26</v>
      </c>
      <c r="J903" s="592">
        <f t="shared" si="914"/>
        <v>120.26</v>
      </c>
      <c r="K903" s="593">
        <f t="shared" si="891"/>
        <v>146.37</v>
      </c>
      <c r="L903" s="594" t="s">
        <v>21</v>
      </c>
      <c r="M903" s="92"/>
      <c r="N903" s="92"/>
      <c r="O903" s="93">
        <f t="shared" si="915"/>
        <v>0</v>
      </c>
      <c r="P903" s="93">
        <f t="shared" si="916"/>
        <v>0</v>
      </c>
      <c r="Q903" s="94"/>
      <c r="R903" s="92">
        <f t="shared" si="917"/>
        <v>0</v>
      </c>
      <c r="S903" s="92">
        <f t="shared" si="918"/>
        <v>0</v>
      </c>
      <c r="T903" s="93">
        <f t="shared" si="919"/>
        <v>0</v>
      </c>
      <c r="U903" s="95">
        <f t="shared" si="920"/>
        <v>0</v>
      </c>
      <c r="V903" s="94"/>
      <c r="X903" s="580" t="str">
        <f t="shared" si="913"/>
        <v/>
      </c>
      <c r="Y903" s="580" t="str">
        <f t="shared" si="811"/>
        <v/>
      </c>
      <c r="Z903" s="580" t="str">
        <f t="shared" si="862"/>
        <v/>
      </c>
    </row>
    <row r="904" spans="1:26" hidden="1" x14ac:dyDescent="0.2">
      <c r="A904" s="97">
        <v>840</v>
      </c>
      <c r="B904" s="1031">
        <v>840</v>
      </c>
      <c r="C904" s="978" t="s">
        <v>494</v>
      </c>
      <c r="D904" s="595" t="s">
        <v>726</v>
      </c>
      <c r="E904" s="596"/>
      <c r="F904" s="671"/>
      <c r="G904" s="597"/>
      <c r="H904" s="682"/>
      <c r="I904" s="592">
        <v>402.57</v>
      </c>
      <c r="J904" s="592">
        <f t="shared" si="914"/>
        <v>402.57</v>
      </c>
      <c r="K904" s="593">
        <f t="shared" si="891"/>
        <v>489.97</v>
      </c>
      <c r="L904" s="594" t="s">
        <v>21</v>
      </c>
      <c r="M904" s="92"/>
      <c r="N904" s="92"/>
      <c r="O904" s="93">
        <f t="shared" si="915"/>
        <v>0</v>
      </c>
      <c r="P904" s="93">
        <f t="shared" si="916"/>
        <v>0</v>
      </c>
      <c r="Q904" s="94"/>
      <c r="R904" s="92">
        <f t="shared" si="917"/>
        <v>0</v>
      </c>
      <c r="S904" s="92">
        <f t="shared" si="918"/>
        <v>0</v>
      </c>
      <c r="T904" s="93">
        <f t="shared" si="919"/>
        <v>0</v>
      </c>
      <c r="U904" s="95">
        <f t="shared" si="920"/>
        <v>0</v>
      </c>
      <c r="V904" s="94"/>
      <c r="X904" s="580" t="str">
        <f t="shared" si="913"/>
        <v/>
      </c>
      <c r="Y904" s="580" t="str">
        <f t="shared" si="811"/>
        <v/>
      </c>
      <c r="Z904" s="580" t="str">
        <f t="shared" si="862"/>
        <v/>
      </c>
    </row>
    <row r="905" spans="1:26" hidden="1" x14ac:dyDescent="0.2">
      <c r="A905" s="97" t="s">
        <v>716</v>
      </c>
      <c r="B905" s="1031" t="s">
        <v>716</v>
      </c>
      <c r="C905" s="978" t="s">
        <v>494</v>
      </c>
      <c r="D905" s="595" t="s">
        <v>743</v>
      </c>
      <c r="E905" s="596"/>
      <c r="F905" s="671"/>
      <c r="G905" s="597"/>
      <c r="H905" s="682"/>
      <c r="I905" s="592">
        <v>161.03</v>
      </c>
      <c r="J905" s="592">
        <f t="shared" si="914"/>
        <v>161.03</v>
      </c>
      <c r="K905" s="593">
        <f t="shared" si="891"/>
        <v>195.99</v>
      </c>
      <c r="L905" s="594" t="s">
        <v>21</v>
      </c>
      <c r="M905" s="92"/>
      <c r="N905" s="92"/>
      <c r="O905" s="93">
        <f t="shared" si="915"/>
        <v>0</v>
      </c>
      <c r="P905" s="93">
        <f t="shared" si="916"/>
        <v>0</v>
      </c>
      <c r="Q905" s="94"/>
      <c r="R905" s="92">
        <f t="shared" si="917"/>
        <v>0</v>
      </c>
      <c r="S905" s="92">
        <f t="shared" si="918"/>
        <v>0</v>
      </c>
      <c r="T905" s="93">
        <f t="shared" si="919"/>
        <v>0</v>
      </c>
      <c r="U905" s="95">
        <f t="shared" si="920"/>
        <v>0</v>
      </c>
      <c r="V905" s="94"/>
      <c r="X905" s="580" t="str">
        <f t="shared" si="913"/>
        <v/>
      </c>
      <c r="Y905" s="580" t="str">
        <f t="shared" si="811"/>
        <v/>
      </c>
      <c r="Z905" s="580" t="str">
        <f t="shared" si="862"/>
        <v/>
      </c>
    </row>
    <row r="906" spans="1:26" hidden="1" x14ac:dyDescent="0.2">
      <c r="A906" s="97">
        <v>841</v>
      </c>
      <c r="B906" s="1031">
        <v>841</v>
      </c>
      <c r="C906" s="978" t="s">
        <v>494</v>
      </c>
      <c r="D906" s="595" t="s">
        <v>727</v>
      </c>
      <c r="E906" s="596"/>
      <c r="F906" s="671"/>
      <c r="G906" s="597"/>
      <c r="H906" s="682"/>
      <c r="I906" s="592">
        <v>191.86</v>
      </c>
      <c r="J906" s="592">
        <f t="shared" ref="J906:J911" si="921">IF(ISBLANK(I906),"",SUM(H906:I906))</f>
        <v>191.86</v>
      </c>
      <c r="K906" s="593">
        <f t="shared" si="891"/>
        <v>233.51</v>
      </c>
      <c r="L906" s="594" t="s">
        <v>21</v>
      </c>
      <c r="M906" s="92"/>
      <c r="N906" s="92"/>
      <c r="O906" s="93">
        <f t="shared" ref="O906:O911" si="922">IF(ISBLANK(M906),0,ROUND(K906*M906,2))</f>
        <v>0</v>
      </c>
      <c r="P906" s="93">
        <f t="shared" ref="P906:P911" si="923">IF(ISBLANK(N906),0,ROUND(M906*N906,2))</f>
        <v>0</v>
      </c>
      <c r="Q906" s="94"/>
      <c r="R906" s="92">
        <f t="shared" ref="R906:R911" si="924">M906</f>
        <v>0</v>
      </c>
      <c r="S906" s="92">
        <f t="shared" ref="S906:S911" si="925">N906</f>
        <v>0</v>
      </c>
      <c r="T906" s="93">
        <f t="shared" ref="T906:T911" si="926">IF(ISBLANK(R906),0,ROUND(K906*R906,2))</f>
        <v>0</v>
      </c>
      <c r="U906" s="95">
        <f t="shared" ref="U906:U911" si="927">IF(ISBLANK(R906),0,ROUND(R906*S906,2))</f>
        <v>0</v>
      </c>
      <c r="V906" s="94"/>
      <c r="X906" s="580" t="str">
        <f t="shared" si="913"/>
        <v/>
      </c>
      <c r="Y906" s="580" t="str">
        <f t="shared" si="811"/>
        <v/>
      </c>
      <c r="Z906" s="580" t="str">
        <f t="shared" si="862"/>
        <v/>
      </c>
    </row>
    <row r="907" spans="1:26" hidden="1" x14ac:dyDescent="0.2">
      <c r="A907" s="97" t="s">
        <v>717</v>
      </c>
      <c r="B907" s="1031" t="s">
        <v>717</v>
      </c>
      <c r="C907" s="978" t="s">
        <v>494</v>
      </c>
      <c r="D907" s="595" t="s">
        <v>737</v>
      </c>
      <c r="E907" s="596"/>
      <c r="F907" s="671"/>
      <c r="G907" s="597"/>
      <c r="H907" s="682"/>
      <c r="I907" s="592">
        <v>76.75</v>
      </c>
      <c r="J907" s="592">
        <f t="shared" si="921"/>
        <v>76.75</v>
      </c>
      <c r="K907" s="593">
        <f t="shared" si="891"/>
        <v>93.41</v>
      </c>
      <c r="L907" s="594" t="s">
        <v>21</v>
      </c>
      <c r="M907" s="92"/>
      <c r="N907" s="92"/>
      <c r="O907" s="93">
        <f t="shared" si="922"/>
        <v>0</v>
      </c>
      <c r="P907" s="93">
        <f t="shared" si="923"/>
        <v>0</v>
      </c>
      <c r="Q907" s="94"/>
      <c r="R907" s="92">
        <f t="shared" si="924"/>
        <v>0</v>
      </c>
      <c r="S907" s="92">
        <f t="shared" si="925"/>
        <v>0</v>
      </c>
      <c r="T907" s="93">
        <f t="shared" si="926"/>
        <v>0</v>
      </c>
      <c r="U907" s="95">
        <f t="shared" si="927"/>
        <v>0</v>
      </c>
      <c r="V907" s="94"/>
      <c r="X907" s="580" t="str">
        <f t="shared" si="913"/>
        <v/>
      </c>
      <c r="Y907" s="580" t="str">
        <f t="shared" si="811"/>
        <v/>
      </c>
      <c r="Z907" s="580" t="str">
        <f t="shared" si="862"/>
        <v/>
      </c>
    </row>
    <row r="908" spans="1:26" hidden="1" x14ac:dyDescent="0.2">
      <c r="A908" s="97">
        <v>842</v>
      </c>
      <c r="B908" s="1031">
        <v>842</v>
      </c>
      <c r="C908" s="978" t="s">
        <v>494</v>
      </c>
      <c r="D908" s="595" t="s">
        <v>728</v>
      </c>
      <c r="E908" s="596"/>
      <c r="F908" s="671"/>
      <c r="G908" s="597"/>
      <c r="H908" s="682"/>
      <c r="I908" s="592">
        <v>11.99</v>
      </c>
      <c r="J908" s="592">
        <f t="shared" si="921"/>
        <v>11.99</v>
      </c>
      <c r="K908" s="593">
        <f t="shared" ref="K908:K971" si="928">IF(ISBLANK(I908),0,ROUND(J908*(1+$F$10)*(1+$F$11*E908),2))</f>
        <v>14.59</v>
      </c>
      <c r="L908" s="594" t="s">
        <v>21</v>
      </c>
      <c r="M908" s="92"/>
      <c r="N908" s="92"/>
      <c r="O908" s="93">
        <f t="shared" si="922"/>
        <v>0</v>
      </c>
      <c r="P908" s="93">
        <f t="shared" si="923"/>
        <v>0</v>
      </c>
      <c r="Q908" s="94"/>
      <c r="R908" s="92">
        <f t="shared" si="924"/>
        <v>0</v>
      </c>
      <c r="S908" s="92">
        <f t="shared" si="925"/>
        <v>0</v>
      </c>
      <c r="T908" s="93">
        <f t="shared" si="926"/>
        <v>0</v>
      </c>
      <c r="U908" s="95">
        <f t="shared" si="927"/>
        <v>0</v>
      </c>
      <c r="V908" s="94"/>
      <c r="X908" s="580" t="str">
        <f t="shared" si="913"/>
        <v/>
      </c>
      <c r="Y908" s="580" t="str">
        <f t="shared" si="811"/>
        <v/>
      </c>
      <c r="Z908" s="580" t="str">
        <f t="shared" si="862"/>
        <v/>
      </c>
    </row>
    <row r="909" spans="1:26" hidden="1" x14ac:dyDescent="0.2">
      <c r="A909" s="97" t="s">
        <v>718</v>
      </c>
      <c r="B909" s="1031" t="s">
        <v>718</v>
      </c>
      <c r="C909" s="978" t="s">
        <v>494</v>
      </c>
      <c r="D909" s="595" t="s">
        <v>729</v>
      </c>
      <c r="E909" s="596"/>
      <c r="F909" s="671"/>
      <c r="G909" s="597"/>
      <c r="H909" s="682"/>
      <c r="I909" s="592">
        <v>4.8</v>
      </c>
      <c r="J909" s="592">
        <f t="shared" si="921"/>
        <v>4.8</v>
      </c>
      <c r="K909" s="593">
        <f t="shared" si="928"/>
        <v>5.84</v>
      </c>
      <c r="L909" s="594" t="s">
        <v>21</v>
      </c>
      <c r="M909" s="92"/>
      <c r="N909" s="92"/>
      <c r="O909" s="93">
        <f t="shared" si="922"/>
        <v>0</v>
      </c>
      <c r="P909" s="93">
        <f t="shared" si="923"/>
        <v>0</v>
      </c>
      <c r="Q909" s="94"/>
      <c r="R909" s="92">
        <f t="shared" si="924"/>
        <v>0</v>
      </c>
      <c r="S909" s="92">
        <f t="shared" si="925"/>
        <v>0</v>
      </c>
      <c r="T909" s="93">
        <f t="shared" si="926"/>
        <v>0</v>
      </c>
      <c r="U909" s="95">
        <f t="shared" si="927"/>
        <v>0</v>
      </c>
      <c r="V909" s="94"/>
      <c r="X909" s="580" t="str">
        <f t="shared" si="913"/>
        <v/>
      </c>
      <c r="Y909" s="580" t="str">
        <f t="shared" si="811"/>
        <v/>
      </c>
      <c r="Z909" s="580" t="str">
        <f t="shared" si="862"/>
        <v/>
      </c>
    </row>
    <row r="910" spans="1:26" ht="25.5" hidden="1" x14ac:dyDescent="0.2">
      <c r="A910" s="97">
        <v>843</v>
      </c>
      <c r="B910" s="1031">
        <v>843</v>
      </c>
      <c r="C910" s="978" t="s">
        <v>494</v>
      </c>
      <c r="D910" s="595" t="s">
        <v>730</v>
      </c>
      <c r="E910" s="596"/>
      <c r="F910" s="671"/>
      <c r="G910" s="597"/>
      <c r="H910" s="682"/>
      <c r="I910" s="592">
        <v>133.28</v>
      </c>
      <c r="J910" s="592">
        <f t="shared" si="921"/>
        <v>133.28</v>
      </c>
      <c r="K910" s="593">
        <f t="shared" si="928"/>
        <v>162.22</v>
      </c>
      <c r="L910" s="594" t="s">
        <v>21</v>
      </c>
      <c r="M910" s="92"/>
      <c r="N910" s="92"/>
      <c r="O910" s="93">
        <f t="shared" si="922"/>
        <v>0</v>
      </c>
      <c r="P910" s="93">
        <f t="shared" si="923"/>
        <v>0</v>
      </c>
      <c r="Q910" s="94"/>
      <c r="R910" s="92">
        <f t="shared" si="924"/>
        <v>0</v>
      </c>
      <c r="S910" s="92">
        <f t="shared" si="925"/>
        <v>0</v>
      </c>
      <c r="T910" s="93">
        <f t="shared" si="926"/>
        <v>0</v>
      </c>
      <c r="U910" s="95">
        <f t="shared" si="927"/>
        <v>0</v>
      </c>
      <c r="V910" s="94"/>
      <c r="X910" s="580" t="str">
        <f t="shared" si="913"/>
        <v/>
      </c>
      <c r="Y910" s="580" t="str">
        <f t="shared" si="811"/>
        <v/>
      </c>
      <c r="Z910" s="580" t="str">
        <f t="shared" si="862"/>
        <v/>
      </c>
    </row>
    <row r="911" spans="1:26" ht="25.5" hidden="1" x14ac:dyDescent="0.2">
      <c r="A911" s="97" t="s">
        <v>720</v>
      </c>
      <c r="B911" s="1031" t="s">
        <v>720</v>
      </c>
      <c r="C911" s="978" t="s">
        <v>494</v>
      </c>
      <c r="D911" s="595" t="s">
        <v>742</v>
      </c>
      <c r="E911" s="596"/>
      <c r="F911" s="671"/>
      <c r="G911" s="597"/>
      <c r="H911" s="682"/>
      <c r="I911" s="592">
        <v>53.45</v>
      </c>
      <c r="J911" s="592">
        <f t="shared" si="921"/>
        <v>53.45</v>
      </c>
      <c r="K911" s="593">
        <f t="shared" si="928"/>
        <v>65.05</v>
      </c>
      <c r="L911" s="594" t="s">
        <v>21</v>
      </c>
      <c r="M911" s="92"/>
      <c r="N911" s="92"/>
      <c r="O911" s="93">
        <f t="shared" si="922"/>
        <v>0</v>
      </c>
      <c r="P911" s="93">
        <f t="shared" si="923"/>
        <v>0</v>
      </c>
      <c r="Q911" s="94"/>
      <c r="R911" s="92">
        <f t="shared" si="924"/>
        <v>0</v>
      </c>
      <c r="S911" s="92">
        <f t="shared" si="925"/>
        <v>0</v>
      </c>
      <c r="T911" s="93">
        <f t="shared" si="926"/>
        <v>0</v>
      </c>
      <c r="U911" s="95">
        <f t="shared" si="927"/>
        <v>0</v>
      </c>
      <c r="V911" s="94"/>
      <c r="X911" s="580" t="str">
        <f t="shared" si="913"/>
        <v/>
      </c>
      <c r="Y911" s="580" t="str">
        <f t="shared" si="811"/>
        <v/>
      </c>
      <c r="Z911" s="580" t="str">
        <f t="shared" si="862"/>
        <v/>
      </c>
    </row>
    <row r="912" spans="1:26" hidden="1" x14ac:dyDescent="0.2">
      <c r="A912" s="97">
        <v>844</v>
      </c>
      <c r="B912" s="1031">
        <v>844</v>
      </c>
      <c r="C912" s="978" t="s">
        <v>494</v>
      </c>
      <c r="D912" s="595" t="s">
        <v>731</v>
      </c>
      <c r="E912" s="596"/>
      <c r="F912" s="671"/>
      <c r="G912" s="597"/>
      <c r="H912" s="682"/>
      <c r="I912" s="592">
        <v>45.23</v>
      </c>
      <c r="J912" s="592">
        <f t="shared" ref="J912:J914" si="929">IF(ISBLANK(I912),"",SUM(H912:I912))</f>
        <v>45.23</v>
      </c>
      <c r="K912" s="593">
        <f t="shared" si="928"/>
        <v>55.05</v>
      </c>
      <c r="L912" s="594" t="s">
        <v>21</v>
      </c>
      <c r="M912" s="92"/>
      <c r="N912" s="92"/>
      <c r="O912" s="93">
        <f t="shared" ref="O912:O914" si="930">IF(ISBLANK(M912),0,ROUND(K912*M912,2))</f>
        <v>0</v>
      </c>
      <c r="P912" s="93">
        <f t="shared" ref="P912:P914" si="931">IF(ISBLANK(N912),0,ROUND(M912*N912,2))</f>
        <v>0</v>
      </c>
      <c r="Q912" s="94"/>
      <c r="R912" s="92">
        <f t="shared" ref="R912:R914" si="932">M912</f>
        <v>0</v>
      </c>
      <c r="S912" s="92">
        <f t="shared" ref="S912:S914" si="933">N912</f>
        <v>0</v>
      </c>
      <c r="T912" s="93">
        <f t="shared" ref="T912:T914" si="934">IF(ISBLANK(R912),0,ROUND(K912*R912,2))</f>
        <v>0</v>
      </c>
      <c r="U912" s="95">
        <f t="shared" ref="U912:U914" si="935">IF(ISBLANK(R912),0,ROUND(R912*S912,2))</f>
        <v>0</v>
      </c>
      <c r="V912" s="94"/>
      <c r="X912" s="580" t="str">
        <f t="shared" si="913"/>
        <v/>
      </c>
      <c r="Y912" s="580" t="str">
        <f t="shared" si="811"/>
        <v/>
      </c>
      <c r="Z912" s="580" t="str">
        <f t="shared" si="862"/>
        <v/>
      </c>
    </row>
    <row r="913" spans="1:26" hidden="1" x14ac:dyDescent="0.2">
      <c r="A913" s="97">
        <v>845</v>
      </c>
      <c r="B913" s="1031">
        <v>845</v>
      </c>
      <c r="C913" s="978" t="s">
        <v>494</v>
      </c>
      <c r="D913" s="595" t="s">
        <v>732</v>
      </c>
      <c r="E913" s="596"/>
      <c r="F913" s="671"/>
      <c r="G913" s="597"/>
      <c r="H913" s="682"/>
      <c r="I913" s="592">
        <v>6.85</v>
      </c>
      <c r="J913" s="592">
        <f t="shared" si="929"/>
        <v>6.85</v>
      </c>
      <c r="K913" s="593">
        <f t="shared" si="928"/>
        <v>8.34</v>
      </c>
      <c r="L913" s="594" t="s">
        <v>21</v>
      </c>
      <c r="M913" s="92"/>
      <c r="N913" s="92"/>
      <c r="O913" s="93">
        <f t="shared" si="930"/>
        <v>0</v>
      </c>
      <c r="P913" s="93">
        <f t="shared" si="931"/>
        <v>0</v>
      </c>
      <c r="Q913" s="94"/>
      <c r="R913" s="92">
        <f t="shared" si="932"/>
        <v>0</v>
      </c>
      <c r="S913" s="92">
        <f t="shared" si="933"/>
        <v>0</v>
      </c>
      <c r="T913" s="93">
        <f t="shared" si="934"/>
        <v>0</v>
      </c>
      <c r="U913" s="95">
        <f t="shared" si="935"/>
        <v>0</v>
      </c>
      <c r="V913" s="94"/>
      <c r="X913" s="580" t="str">
        <f t="shared" si="913"/>
        <v/>
      </c>
      <c r="Y913" s="580" t="str">
        <f t="shared" si="811"/>
        <v/>
      </c>
      <c r="Z913" s="580" t="str">
        <f t="shared" si="862"/>
        <v/>
      </c>
    </row>
    <row r="914" spans="1:26" hidden="1" x14ac:dyDescent="0.2">
      <c r="A914" s="97" t="s">
        <v>719</v>
      </c>
      <c r="B914" s="1031" t="s">
        <v>719</v>
      </c>
      <c r="C914" s="978" t="s">
        <v>494</v>
      </c>
      <c r="D914" s="595" t="s">
        <v>733</v>
      </c>
      <c r="E914" s="596"/>
      <c r="F914" s="671"/>
      <c r="G914" s="597"/>
      <c r="H914" s="682"/>
      <c r="I914" s="592">
        <v>2.74</v>
      </c>
      <c r="J914" s="592">
        <f t="shared" si="929"/>
        <v>2.74</v>
      </c>
      <c r="K914" s="593">
        <f t="shared" si="928"/>
        <v>3.33</v>
      </c>
      <c r="L914" s="594" t="s">
        <v>21</v>
      </c>
      <c r="M914" s="92"/>
      <c r="N914" s="92"/>
      <c r="O914" s="93">
        <f t="shared" si="930"/>
        <v>0</v>
      </c>
      <c r="P914" s="93">
        <f t="shared" si="931"/>
        <v>0</v>
      </c>
      <c r="Q914" s="94"/>
      <c r="R914" s="92">
        <f t="shared" si="932"/>
        <v>0</v>
      </c>
      <c r="S914" s="92">
        <f t="shared" si="933"/>
        <v>0</v>
      </c>
      <c r="T914" s="93">
        <f t="shared" si="934"/>
        <v>0</v>
      </c>
      <c r="U914" s="95">
        <f t="shared" si="935"/>
        <v>0</v>
      </c>
      <c r="V914" s="94"/>
      <c r="X914" s="580" t="str">
        <f t="shared" si="913"/>
        <v/>
      </c>
      <c r="Y914" s="580" t="str">
        <f t="shared" si="811"/>
        <v/>
      </c>
      <c r="Z914" s="580" t="str">
        <f t="shared" si="862"/>
        <v/>
      </c>
    </row>
    <row r="915" spans="1:26" hidden="1" x14ac:dyDescent="0.2">
      <c r="A915" s="97">
        <v>846</v>
      </c>
      <c r="B915" s="1031">
        <v>846</v>
      </c>
      <c r="C915" s="978" t="s">
        <v>494</v>
      </c>
      <c r="D915" s="595" t="s">
        <v>734</v>
      </c>
      <c r="E915" s="596"/>
      <c r="F915" s="671"/>
      <c r="G915" s="597"/>
      <c r="H915" s="682"/>
      <c r="I915" s="592">
        <v>6.85</v>
      </c>
      <c r="J915" s="592">
        <f t="shared" ref="J915:J918" si="936">IF(ISBLANK(I915),"",SUM(H915:I915))</f>
        <v>6.85</v>
      </c>
      <c r="K915" s="593">
        <f t="shared" si="928"/>
        <v>8.34</v>
      </c>
      <c r="L915" s="594" t="s">
        <v>21</v>
      </c>
      <c r="M915" s="92"/>
      <c r="N915" s="92"/>
      <c r="O915" s="93">
        <f t="shared" ref="O915:O918" si="937">IF(ISBLANK(M915),0,ROUND(K915*M915,2))</f>
        <v>0</v>
      </c>
      <c r="P915" s="93">
        <f t="shared" ref="P915:P918" si="938">IF(ISBLANK(N915),0,ROUND(M915*N915,2))</f>
        <v>0</v>
      </c>
      <c r="Q915" s="94"/>
      <c r="R915" s="92">
        <f t="shared" ref="R915:R918" si="939">M915</f>
        <v>0</v>
      </c>
      <c r="S915" s="92">
        <f t="shared" ref="S915:S918" si="940">N915</f>
        <v>0</v>
      </c>
      <c r="T915" s="93">
        <f t="shared" ref="T915:T918" si="941">IF(ISBLANK(R915),0,ROUND(K915*R915,2))</f>
        <v>0</v>
      </c>
      <c r="U915" s="95">
        <f t="shared" ref="U915:U918" si="942">IF(ISBLANK(R915),0,ROUND(R915*S915,2))</f>
        <v>0</v>
      </c>
      <c r="V915" s="94"/>
      <c r="X915" s="580" t="str">
        <f t="shared" si="913"/>
        <v/>
      </c>
      <c r="Y915" s="580" t="str">
        <f t="shared" si="811"/>
        <v/>
      </c>
      <c r="Z915" s="580" t="str">
        <f t="shared" si="862"/>
        <v/>
      </c>
    </row>
    <row r="916" spans="1:26" hidden="1" x14ac:dyDescent="0.2">
      <c r="A916" s="97">
        <v>859</v>
      </c>
      <c r="B916" s="1031">
        <v>859</v>
      </c>
      <c r="C916" s="978" t="s">
        <v>494</v>
      </c>
      <c r="D916" s="595" t="s">
        <v>735</v>
      </c>
      <c r="E916" s="596"/>
      <c r="F916" s="671"/>
      <c r="G916" s="597"/>
      <c r="H916" s="682"/>
      <c r="I916" s="592">
        <v>148.69999999999999</v>
      </c>
      <c r="J916" s="592">
        <f t="shared" si="936"/>
        <v>148.69999999999999</v>
      </c>
      <c r="K916" s="593">
        <f t="shared" si="928"/>
        <v>180.98</v>
      </c>
      <c r="L916" s="594" t="s">
        <v>21</v>
      </c>
      <c r="M916" s="92"/>
      <c r="N916" s="92"/>
      <c r="O916" s="93">
        <f t="shared" si="937"/>
        <v>0</v>
      </c>
      <c r="P916" s="93">
        <f t="shared" si="938"/>
        <v>0</v>
      </c>
      <c r="Q916" s="94"/>
      <c r="R916" s="92">
        <f t="shared" si="939"/>
        <v>0</v>
      </c>
      <c r="S916" s="92">
        <f t="shared" si="940"/>
        <v>0</v>
      </c>
      <c r="T916" s="93">
        <f t="shared" si="941"/>
        <v>0</v>
      </c>
      <c r="U916" s="95">
        <f t="shared" si="942"/>
        <v>0</v>
      </c>
      <c r="V916" s="94"/>
      <c r="X916" s="580" t="str">
        <f t="shared" si="913"/>
        <v/>
      </c>
      <c r="Y916" s="580" t="str">
        <f t="shared" si="811"/>
        <v/>
      </c>
      <c r="Z916" s="580" t="str">
        <f t="shared" si="862"/>
        <v/>
      </c>
    </row>
    <row r="917" spans="1:26" hidden="1" x14ac:dyDescent="0.2">
      <c r="A917" s="97" t="s">
        <v>721</v>
      </c>
      <c r="B917" s="1031" t="s">
        <v>721</v>
      </c>
      <c r="C917" s="978" t="s">
        <v>494</v>
      </c>
      <c r="D917" s="595" t="s">
        <v>736</v>
      </c>
      <c r="E917" s="596"/>
      <c r="F917" s="671"/>
      <c r="G917" s="597"/>
      <c r="H917" s="682"/>
      <c r="I917" s="592">
        <v>59.62</v>
      </c>
      <c r="J917" s="592">
        <f t="shared" si="936"/>
        <v>59.62</v>
      </c>
      <c r="K917" s="593">
        <f t="shared" si="928"/>
        <v>72.56</v>
      </c>
      <c r="L917" s="594" t="s">
        <v>21</v>
      </c>
      <c r="M917" s="92"/>
      <c r="N917" s="92"/>
      <c r="O917" s="93">
        <f t="shared" si="937"/>
        <v>0</v>
      </c>
      <c r="P917" s="93">
        <f t="shared" si="938"/>
        <v>0</v>
      </c>
      <c r="Q917" s="94"/>
      <c r="R917" s="92">
        <f t="shared" si="939"/>
        <v>0</v>
      </c>
      <c r="S917" s="92">
        <f t="shared" si="940"/>
        <v>0</v>
      </c>
      <c r="T917" s="93">
        <f t="shared" si="941"/>
        <v>0</v>
      </c>
      <c r="U917" s="95">
        <f t="shared" si="942"/>
        <v>0</v>
      </c>
      <c r="V917" s="94"/>
      <c r="X917" s="580" t="str">
        <f t="shared" si="913"/>
        <v/>
      </c>
      <c r="Y917" s="580" t="str">
        <f t="shared" si="811"/>
        <v/>
      </c>
      <c r="Z917" s="580" t="str">
        <f t="shared" si="862"/>
        <v/>
      </c>
    </row>
    <row r="918" spans="1:26" ht="38.25" hidden="1" x14ac:dyDescent="0.2">
      <c r="A918" s="97">
        <v>102102</v>
      </c>
      <c r="B918" s="1031">
        <v>102102</v>
      </c>
      <c r="C918" s="978" t="s">
        <v>883</v>
      </c>
      <c r="D918" s="595" t="s">
        <v>1138</v>
      </c>
      <c r="E918" s="596"/>
      <c r="F918" s="671"/>
      <c r="G918" s="597"/>
      <c r="H918" s="682"/>
      <c r="I918" s="592">
        <v>6301.76</v>
      </c>
      <c r="J918" s="592">
        <f t="shared" si="936"/>
        <v>6301.76</v>
      </c>
      <c r="K918" s="593">
        <f t="shared" si="928"/>
        <v>7669.87</v>
      </c>
      <c r="L918" s="594" t="s">
        <v>21</v>
      </c>
      <c r="M918" s="92"/>
      <c r="N918" s="92"/>
      <c r="O918" s="93">
        <f t="shared" si="937"/>
        <v>0</v>
      </c>
      <c r="P918" s="93">
        <f t="shared" si="938"/>
        <v>0</v>
      </c>
      <c r="Q918" s="94"/>
      <c r="R918" s="92">
        <f t="shared" si="939"/>
        <v>0</v>
      </c>
      <c r="S918" s="92">
        <f t="shared" si="940"/>
        <v>0</v>
      </c>
      <c r="T918" s="93">
        <f t="shared" si="941"/>
        <v>0</v>
      </c>
      <c r="U918" s="95">
        <f t="shared" si="942"/>
        <v>0</v>
      </c>
      <c r="V918" s="94"/>
      <c r="X918" s="580" t="str">
        <f t="shared" si="913"/>
        <v/>
      </c>
      <c r="Y918" s="580" t="str">
        <f t="shared" si="811"/>
        <v/>
      </c>
      <c r="Z918" s="580" t="str">
        <f t="shared" si="862"/>
        <v/>
      </c>
    </row>
    <row r="919" spans="1:26" ht="38.25" hidden="1" x14ac:dyDescent="0.2">
      <c r="A919" s="97">
        <v>102103</v>
      </c>
      <c r="B919" s="1031">
        <v>102103</v>
      </c>
      <c r="C919" s="978" t="s">
        <v>883</v>
      </c>
      <c r="D919" s="595" t="s">
        <v>1139</v>
      </c>
      <c r="E919" s="596"/>
      <c r="F919" s="671"/>
      <c r="G919" s="597"/>
      <c r="H919" s="682"/>
      <c r="I919" s="592">
        <v>6999.86</v>
      </c>
      <c r="J919" s="592">
        <f t="shared" ref="J919:J981" si="943">IF(ISBLANK(I919),"",SUM(H919:I919))</f>
        <v>6999.86</v>
      </c>
      <c r="K919" s="593">
        <f t="shared" si="928"/>
        <v>8519.5300000000007</v>
      </c>
      <c r="L919" s="594" t="s">
        <v>21</v>
      </c>
      <c r="M919" s="92"/>
      <c r="N919" s="92"/>
      <c r="O919" s="93">
        <f t="shared" ref="O919:O981" si="944">IF(ISBLANK(M919),0,ROUND(K919*M919,2))</f>
        <v>0</v>
      </c>
      <c r="P919" s="93">
        <f t="shared" ref="P919:P981" si="945">IF(ISBLANK(N919),0,ROUND(M919*N919,2))</f>
        <v>0</v>
      </c>
      <c r="Q919" s="94"/>
      <c r="R919" s="92">
        <f t="shared" ref="R919:R981" si="946">M919</f>
        <v>0</v>
      </c>
      <c r="S919" s="92">
        <f t="shared" ref="S919:S981" si="947">N919</f>
        <v>0</v>
      </c>
      <c r="T919" s="93">
        <f t="shared" ref="T919:T981" si="948">IF(ISBLANK(R919),0,ROUND(K919*R919,2))</f>
        <v>0</v>
      </c>
      <c r="U919" s="95">
        <f t="shared" ref="U919:U981" si="949">IF(ISBLANK(R919),0,ROUND(R919*S919,2))</f>
        <v>0</v>
      </c>
      <c r="V919" s="94"/>
      <c r="X919" s="580" t="str">
        <f t="shared" ref="X919:X981" si="950">IF(W919="X","x",IF(W919="xx","x",IF(W919="xy","x",IF(W919="y","x",IF(OR(P919&gt;0,U919&gt;0),"x","")))))</f>
        <v/>
      </c>
      <c r="Y919" s="580" t="str">
        <f t="shared" ref="Y919:Y981" si="951">IF(W919="X","x",IF(W919="y","x",IF(W919="xx","x",IF(U919&gt;0,"x",""))))</f>
        <v/>
      </c>
      <c r="Z919" s="580" t="str">
        <f t="shared" ref="Z919:Z981" si="952">IF(W919="X","x",IF(U919&gt;0,"x",""))</f>
        <v/>
      </c>
    </row>
    <row r="920" spans="1:26" ht="38.25" hidden="1" x14ac:dyDescent="0.2">
      <c r="A920" s="97">
        <v>102104</v>
      </c>
      <c r="B920" s="1031">
        <v>102104</v>
      </c>
      <c r="C920" s="978" t="s">
        <v>883</v>
      </c>
      <c r="D920" s="595" t="s">
        <v>1140</v>
      </c>
      <c r="E920" s="596"/>
      <c r="F920" s="671"/>
      <c r="G920" s="597"/>
      <c r="H920" s="682"/>
      <c r="I920" s="592">
        <v>8943.86</v>
      </c>
      <c r="J920" s="592">
        <f t="shared" si="943"/>
        <v>8943.86</v>
      </c>
      <c r="K920" s="593">
        <f t="shared" si="928"/>
        <v>10885.57</v>
      </c>
      <c r="L920" s="594" t="s">
        <v>21</v>
      </c>
      <c r="M920" s="92"/>
      <c r="N920" s="92"/>
      <c r="O920" s="93">
        <f t="shared" si="944"/>
        <v>0</v>
      </c>
      <c r="P920" s="93">
        <f t="shared" si="945"/>
        <v>0</v>
      </c>
      <c r="Q920" s="94"/>
      <c r="R920" s="92">
        <f t="shared" si="946"/>
        <v>0</v>
      </c>
      <c r="S920" s="92">
        <f t="shared" si="947"/>
        <v>0</v>
      </c>
      <c r="T920" s="93">
        <f t="shared" si="948"/>
        <v>0</v>
      </c>
      <c r="U920" s="95">
        <f t="shared" si="949"/>
        <v>0</v>
      </c>
      <c r="V920" s="94"/>
      <c r="X920" s="580" t="str">
        <f t="shared" si="950"/>
        <v/>
      </c>
      <c r="Y920" s="580" t="str">
        <f t="shared" si="951"/>
        <v/>
      </c>
      <c r="Z920" s="580" t="str">
        <f t="shared" si="952"/>
        <v/>
      </c>
    </row>
    <row r="921" spans="1:26" ht="38.25" hidden="1" x14ac:dyDescent="0.2">
      <c r="A921" s="97">
        <v>102105</v>
      </c>
      <c r="B921" s="1031">
        <v>102105</v>
      </c>
      <c r="C921" s="978" t="s">
        <v>883</v>
      </c>
      <c r="D921" s="595" t="s">
        <v>1141</v>
      </c>
      <c r="E921" s="596"/>
      <c r="F921" s="671"/>
      <c r="G921" s="597"/>
      <c r="H921" s="682"/>
      <c r="I921" s="592">
        <v>10963.56</v>
      </c>
      <c r="J921" s="592">
        <f t="shared" si="943"/>
        <v>10963.56</v>
      </c>
      <c r="K921" s="593">
        <f t="shared" si="928"/>
        <v>13343.75</v>
      </c>
      <c r="L921" s="594" t="s">
        <v>21</v>
      </c>
      <c r="M921" s="92"/>
      <c r="N921" s="92"/>
      <c r="O921" s="93">
        <f t="shared" si="944"/>
        <v>0</v>
      </c>
      <c r="P921" s="93">
        <f t="shared" si="945"/>
        <v>0</v>
      </c>
      <c r="Q921" s="94"/>
      <c r="R921" s="92">
        <f t="shared" si="946"/>
        <v>0</v>
      </c>
      <c r="S921" s="92">
        <f t="shared" si="947"/>
        <v>0</v>
      </c>
      <c r="T921" s="93">
        <f t="shared" si="948"/>
        <v>0</v>
      </c>
      <c r="U921" s="95">
        <f t="shared" si="949"/>
        <v>0</v>
      </c>
      <c r="V921" s="94"/>
      <c r="X921" s="580" t="str">
        <f t="shared" si="950"/>
        <v/>
      </c>
      <c r="Y921" s="580" t="str">
        <f t="shared" si="951"/>
        <v/>
      </c>
      <c r="Z921" s="580" t="str">
        <f t="shared" si="952"/>
        <v/>
      </c>
    </row>
    <row r="922" spans="1:26" ht="38.25" hidden="1" x14ac:dyDescent="0.2">
      <c r="A922" s="97">
        <v>102106</v>
      </c>
      <c r="B922" s="1031">
        <v>102106</v>
      </c>
      <c r="C922" s="978" t="s">
        <v>883</v>
      </c>
      <c r="D922" s="595" t="s">
        <v>1142</v>
      </c>
      <c r="E922" s="596"/>
      <c r="F922" s="671"/>
      <c r="G922" s="597"/>
      <c r="H922" s="682"/>
      <c r="I922" s="592">
        <v>13717.16</v>
      </c>
      <c r="J922" s="592">
        <f t="shared" si="943"/>
        <v>13717.16</v>
      </c>
      <c r="K922" s="593">
        <f t="shared" si="928"/>
        <v>16695.16</v>
      </c>
      <c r="L922" s="594" t="s">
        <v>21</v>
      </c>
      <c r="M922" s="92"/>
      <c r="N922" s="92"/>
      <c r="O922" s="93">
        <f t="shared" si="944"/>
        <v>0</v>
      </c>
      <c r="P922" s="93">
        <f t="shared" si="945"/>
        <v>0</v>
      </c>
      <c r="Q922" s="94"/>
      <c r="R922" s="92">
        <f t="shared" si="946"/>
        <v>0</v>
      </c>
      <c r="S922" s="92">
        <f t="shared" si="947"/>
        <v>0</v>
      </c>
      <c r="T922" s="93">
        <f t="shared" si="948"/>
        <v>0</v>
      </c>
      <c r="U922" s="95">
        <f t="shared" si="949"/>
        <v>0</v>
      </c>
      <c r="V922" s="94"/>
      <c r="X922" s="580" t="str">
        <f t="shared" si="950"/>
        <v/>
      </c>
      <c r="Y922" s="580" t="str">
        <f t="shared" si="951"/>
        <v/>
      </c>
      <c r="Z922" s="580" t="str">
        <f t="shared" si="952"/>
        <v/>
      </c>
    </row>
    <row r="923" spans="1:26" ht="38.25" hidden="1" x14ac:dyDescent="0.2">
      <c r="A923" s="97">
        <v>102107</v>
      </c>
      <c r="B923" s="1031">
        <v>102107</v>
      </c>
      <c r="C923" s="978" t="s">
        <v>883</v>
      </c>
      <c r="D923" s="595" t="s">
        <v>1143</v>
      </c>
      <c r="E923" s="596"/>
      <c r="F923" s="671"/>
      <c r="G923" s="597"/>
      <c r="H923" s="682"/>
      <c r="I923" s="592">
        <v>19090.14</v>
      </c>
      <c r="J923" s="592">
        <f t="shared" si="943"/>
        <v>19090.14</v>
      </c>
      <c r="K923" s="593">
        <f t="shared" si="928"/>
        <v>23234.61</v>
      </c>
      <c r="L923" s="594" t="s">
        <v>21</v>
      </c>
      <c r="M923" s="92"/>
      <c r="N923" s="92"/>
      <c r="O923" s="93">
        <f t="shared" si="944"/>
        <v>0</v>
      </c>
      <c r="P923" s="93">
        <f t="shared" si="945"/>
        <v>0</v>
      </c>
      <c r="Q923" s="94"/>
      <c r="R923" s="92">
        <f t="shared" si="946"/>
        <v>0</v>
      </c>
      <c r="S923" s="92">
        <f t="shared" si="947"/>
        <v>0</v>
      </c>
      <c r="T923" s="93">
        <f t="shared" si="948"/>
        <v>0</v>
      </c>
      <c r="U923" s="95">
        <f t="shared" si="949"/>
        <v>0</v>
      </c>
      <c r="V923" s="94"/>
      <c r="X923" s="580" t="str">
        <f t="shared" si="950"/>
        <v/>
      </c>
      <c r="Y923" s="580" t="str">
        <f t="shared" si="951"/>
        <v/>
      </c>
      <c r="Z923" s="580" t="str">
        <f t="shared" si="952"/>
        <v/>
      </c>
    </row>
    <row r="924" spans="1:26" ht="38.25" hidden="1" x14ac:dyDescent="0.2">
      <c r="A924" s="97">
        <v>102108</v>
      </c>
      <c r="B924" s="1031">
        <v>102108</v>
      </c>
      <c r="C924" s="978" t="s">
        <v>883</v>
      </c>
      <c r="D924" s="595" t="s">
        <v>1144</v>
      </c>
      <c r="E924" s="596"/>
      <c r="F924" s="671"/>
      <c r="G924" s="597"/>
      <c r="H924" s="682"/>
      <c r="I924" s="592">
        <v>22209.8</v>
      </c>
      <c r="J924" s="592">
        <f t="shared" si="943"/>
        <v>22209.8</v>
      </c>
      <c r="K924" s="593">
        <f t="shared" si="928"/>
        <v>27031.55</v>
      </c>
      <c r="L924" s="594" t="s">
        <v>21</v>
      </c>
      <c r="M924" s="92"/>
      <c r="N924" s="92"/>
      <c r="O924" s="93">
        <f t="shared" si="944"/>
        <v>0</v>
      </c>
      <c r="P924" s="93">
        <f t="shared" si="945"/>
        <v>0</v>
      </c>
      <c r="Q924" s="94"/>
      <c r="R924" s="92">
        <f t="shared" si="946"/>
        <v>0</v>
      </c>
      <c r="S924" s="92">
        <f t="shared" si="947"/>
        <v>0</v>
      </c>
      <c r="T924" s="93">
        <f t="shared" si="948"/>
        <v>0</v>
      </c>
      <c r="U924" s="95">
        <f t="shared" si="949"/>
        <v>0</v>
      </c>
      <c r="V924" s="94"/>
      <c r="X924" s="580" t="str">
        <f t="shared" si="950"/>
        <v/>
      </c>
      <c r="Y924" s="580" t="str">
        <f t="shared" si="951"/>
        <v/>
      </c>
      <c r="Z924" s="580" t="str">
        <f t="shared" si="952"/>
        <v/>
      </c>
    </row>
    <row r="925" spans="1:26" ht="25.5" hidden="1" x14ac:dyDescent="0.2">
      <c r="A925" s="97">
        <v>102109</v>
      </c>
      <c r="B925" s="1031">
        <v>102109</v>
      </c>
      <c r="C925" s="978" t="s">
        <v>883</v>
      </c>
      <c r="D925" s="595" t="s">
        <v>1145</v>
      </c>
      <c r="E925" s="596"/>
      <c r="F925" s="671"/>
      <c r="G925" s="597"/>
      <c r="H925" s="682"/>
      <c r="I925" s="592">
        <v>41.42</v>
      </c>
      <c r="J925" s="592">
        <f t="shared" si="943"/>
        <v>41.42</v>
      </c>
      <c r="K925" s="593">
        <f t="shared" si="928"/>
        <v>50.41</v>
      </c>
      <c r="L925" s="594" t="s">
        <v>21</v>
      </c>
      <c r="M925" s="92"/>
      <c r="N925" s="92"/>
      <c r="O925" s="93">
        <f t="shared" si="944"/>
        <v>0</v>
      </c>
      <c r="P925" s="93">
        <f t="shared" si="945"/>
        <v>0</v>
      </c>
      <c r="Q925" s="94"/>
      <c r="R925" s="92">
        <f t="shared" si="946"/>
        <v>0</v>
      </c>
      <c r="S925" s="92">
        <f t="shared" si="947"/>
        <v>0</v>
      </c>
      <c r="T925" s="93">
        <f t="shared" si="948"/>
        <v>0</v>
      </c>
      <c r="U925" s="95">
        <f t="shared" si="949"/>
        <v>0</v>
      </c>
      <c r="V925" s="94"/>
      <c r="X925" s="580" t="str">
        <f t="shared" si="950"/>
        <v/>
      </c>
      <c r="Y925" s="580" t="str">
        <f t="shared" si="951"/>
        <v/>
      </c>
      <c r="Z925" s="580" t="str">
        <f t="shared" si="952"/>
        <v/>
      </c>
    </row>
    <row r="926" spans="1:26" ht="25.5" hidden="1" x14ac:dyDescent="0.2">
      <c r="A926" s="97">
        <v>102110</v>
      </c>
      <c r="B926" s="1031">
        <v>102110</v>
      </c>
      <c r="C926" s="978" t="s">
        <v>883</v>
      </c>
      <c r="D926" s="595" t="s">
        <v>1146</v>
      </c>
      <c r="E926" s="596"/>
      <c r="F926" s="671"/>
      <c r="G926" s="597"/>
      <c r="H926" s="682"/>
      <c r="I926" s="592">
        <v>113.58</v>
      </c>
      <c r="J926" s="592">
        <f t="shared" si="943"/>
        <v>113.58</v>
      </c>
      <c r="K926" s="593">
        <f t="shared" si="928"/>
        <v>138.24</v>
      </c>
      <c r="L926" s="594" t="s">
        <v>21</v>
      </c>
      <c r="M926" s="92"/>
      <c r="N926" s="92"/>
      <c r="O926" s="93">
        <f t="shared" si="944"/>
        <v>0</v>
      </c>
      <c r="P926" s="93">
        <f t="shared" si="945"/>
        <v>0</v>
      </c>
      <c r="Q926" s="94"/>
      <c r="R926" s="92">
        <f t="shared" si="946"/>
        <v>0</v>
      </c>
      <c r="S926" s="92">
        <f t="shared" si="947"/>
        <v>0</v>
      </c>
      <c r="T926" s="93">
        <f t="shared" si="948"/>
        <v>0</v>
      </c>
      <c r="U926" s="95">
        <f t="shared" si="949"/>
        <v>0</v>
      </c>
      <c r="V926" s="94"/>
      <c r="X926" s="580" t="str">
        <f t="shared" si="950"/>
        <v/>
      </c>
      <c r="Y926" s="580" t="str">
        <f t="shared" si="951"/>
        <v/>
      </c>
      <c r="Z926" s="580" t="str">
        <f t="shared" si="952"/>
        <v/>
      </c>
    </row>
    <row r="927" spans="1:26" ht="25.5" hidden="1" x14ac:dyDescent="0.2">
      <c r="A927" s="97">
        <v>100619</v>
      </c>
      <c r="B927" s="1031">
        <v>100619</v>
      </c>
      <c r="C927" s="978" t="s">
        <v>883</v>
      </c>
      <c r="D927" s="595" t="s">
        <v>1147</v>
      </c>
      <c r="E927" s="596"/>
      <c r="F927" s="671"/>
      <c r="G927" s="597"/>
      <c r="H927" s="682"/>
      <c r="I927" s="592">
        <v>469.08</v>
      </c>
      <c r="J927" s="592">
        <f t="shared" si="943"/>
        <v>469.08</v>
      </c>
      <c r="K927" s="593">
        <f t="shared" si="928"/>
        <v>570.91999999999996</v>
      </c>
      <c r="L927" s="594" t="s">
        <v>21</v>
      </c>
      <c r="M927" s="92"/>
      <c r="N927" s="92"/>
      <c r="O927" s="93">
        <f t="shared" si="944"/>
        <v>0</v>
      </c>
      <c r="P927" s="93">
        <f t="shared" si="945"/>
        <v>0</v>
      </c>
      <c r="Q927" s="94"/>
      <c r="R927" s="92">
        <f t="shared" si="946"/>
        <v>0</v>
      </c>
      <c r="S927" s="92">
        <f t="shared" si="947"/>
        <v>0</v>
      </c>
      <c r="T927" s="93">
        <f t="shared" si="948"/>
        <v>0</v>
      </c>
      <c r="U927" s="95">
        <f t="shared" si="949"/>
        <v>0</v>
      </c>
      <c r="V927" s="94"/>
      <c r="X927" s="580" t="str">
        <f t="shared" si="950"/>
        <v/>
      </c>
      <c r="Y927" s="580" t="str">
        <f t="shared" si="951"/>
        <v/>
      </c>
      <c r="Z927" s="580" t="str">
        <f t="shared" si="952"/>
        <v/>
      </c>
    </row>
    <row r="928" spans="1:26" ht="25.5" hidden="1" x14ac:dyDescent="0.2">
      <c r="A928" s="97">
        <v>100620</v>
      </c>
      <c r="B928" s="1031">
        <v>100620</v>
      </c>
      <c r="C928" s="978" t="s">
        <v>883</v>
      </c>
      <c r="D928" s="595" t="s">
        <v>1148</v>
      </c>
      <c r="E928" s="596"/>
      <c r="F928" s="671"/>
      <c r="G928" s="597"/>
      <c r="H928" s="682"/>
      <c r="I928" s="592">
        <v>2722.77</v>
      </c>
      <c r="J928" s="592">
        <f t="shared" si="943"/>
        <v>2722.77</v>
      </c>
      <c r="K928" s="593">
        <f t="shared" si="928"/>
        <v>3313.88</v>
      </c>
      <c r="L928" s="594" t="s">
        <v>21</v>
      </c>
      <c r="M928" s="92"/>
      <c r="N928" s="92"/>
      <c r="O928" s="93">
        <f t="shared" si="944"/>
        <v>0</v>
      </c>
      <c r="P928" s="93">
        <f t="shared" si="945"/>
        <v>0</v>
      </c>
      <c r="Q928" s="94"/>
      <c r="R928" s="92">
        <f t="shared" si="946"/>
        <v>0</v>
      </c>
      <c r="S928" s="92">
        <f t="shared" si="947"/>
        <v>0</v>
      </c>
      <c r="T928" s="93">
        <f t="shared" si="948"/>
        <v>0</v>
      </c>
      <c r="U928" s="95">
        <f t="shared" si="949"/>
        <v>0</v>
      </c>
      <c r="V928" s="94"/>
      <c r="X928" s="580" t="str">
        <f t="shared" si="950"/>
        <v/>
      </c>
      <c r="Y928" s="580" t="str">
        <f t="shared" si="951"/>
        <v/>
      </c>
      <c r="Z928" s="580" t="str">
        <f t="shared" si="952"/>
        <v/>
      </c>
    </row>
    <row r="929" spans="1:26" ht="25.5" hidden="1" x14ac:dyDescent="0.2">
      <c r="A929" s="1008">
        <v>100621</v>
      </c>
      <c r="B929" s="1010">
        <v>100621</v>
      </c>
      <c r="C929" s="978" t="s">
        <v>883</v>
      </c>
      <c r="D929" s="595" t="s">
        <v>1149</v>
      </c>
      <c r="E929" s="596"/>
      <c r="F929" s="671"/>
      <c r="G929" s="597"/>
      <c r="H929" s="682"/>
      <c r="I929" s="592">
        <v>3070.32</v>
      </c>
      <c r="J929" s="592">
        <f t="shared" si="943"/>
        <v>3070.32</v>
      </c>
      <c r="K929" s="593">
        <f t="shared" si="928"/>
        <v>3736.89</v>
      </c>
      <c r="L929" s="594" t="s">
        <v>21</v>
      </c>
      <c r="M929" s="92"/>
      <c r="N929" s="92"/>
      <c r="O929" s="93">
        <f t="shared" si="944"/>
        <v>0</v>
      </c>
      <c r="P929" s="93">
        <f t="shared" si="945"/>
        <v>0</v>
      </c>
      <c r="Q929" s="94"/>
      <c r="R929" s="92">
        <f t="shared" si="946"/>
        <v>0</v>
      </c>
      <c r="S929" s="92">
        <f t="shared" si="947"/>
        <v>0</v>
      </c>
      <c r="T929" s="93">
        <f t="shared" si="948"/>
        <v>0</v>
      </c>
      <c r="U929" s="95">
        <f t="shared" si="949"/>
        <v>0</v>
      </c>
      <c r="V929" s="94"/>
      <c r="X929" s="580" t="str">
        <f t="shared" si="950"/>
        <v/>
      </c>
      <c r="Y929" s="580" t="str">
        <f t="shared" si="951"/>
        <v/>
      </c>
      <c r="Z929" s="580" t="str">
        <f t="shared" si="952"/>
        <v/>
      </c>
    </row>
    <row r="930" spans="1:26" ht="25.5" hidden="1" x14ac:dyDescent="0.2">
      <c r="A930" s="97">
        <v>100622</v>
      </c>
      <c r="B930" s="1031">
        <v>100622</v>
      </c>
      <c r="C930" s="978" t="s">
        <v>883</v>
      </c>
      <c r="D930" s="595" t="s">
        <v>1150</v>
      </c>
      <c r="E930" s="596"/>
      <c r="F930" s="671"/>
      <c r="G930" s="597"/>
      <c r="H930" s="682"/>
      <c r="I930" s="592">
        <v>1965.69</v>
      </c>
      <c r="J930" s="592">
        <f t="shared" si="943"/>
        <v>1965.69</v>
      </c>
      <c r="K930" s="593">
        <f t="shared" si="928"/>
        <v>2392.44</v>
      </c>
      <c r="L930" s="594" t="s">
        <v>21</v>
      </c>
      <c r="M930" s="92"/>
      <c r="N930" s="92"/>
      <c r="O930" s="93">
        <f t="shared" si="944"/>
        <v>0</v>
      </c>
      <c r="P930" s="93">
        <f t="shared" si="945"/>
        <v>0</v>
      </c>
      <c r="Q930" s="94"/>
      <c r="R930" s="92">
        <f t="shared" si="946"/>
        <v>0</v>
      </c>
      <c r="S930" s="92">
        <f t="shared" si="947"/>
        <v>0</v>
      </c>
      <c r="T930" s="93">
        <f t="shared" si="948"/>
        <v>0</v>
      </c>
      <c r="U930" s="95">
        <f t="shared" si="949"/>
        <v>0</v>
      </c>
      <c r="V930" s="94"/>
      <c r="X930" s="580" t="str">
        <f t="shared" si="950"/>
        <v/>
      </c>
      <c r="Y930" s="580" t="str">
        <f t="shared" si="951"/>
        <v/>
      </c>
      <c r="Z930" s="580" t="str">
        <f t="shared" si="952"/>
        <v/>
      </c>
    </row>
    <row r="931" spans="1:26" ht="25.5" hidden="1" x14ac:dyDescent="0.2">
      <c r="A931" s="97">
        <v>100623</v>
      </c>
      <c r="B931" s="1031">
        <v>100623</v>
      </c>
      <c r="C931" s="978" t="s">
        <v>883</v>
      </c>
      <c r="D931" s="595" t="s">
        <v>1151</v>
      </c>
      <c r="E931" s="596"/>
      <c r="F931" s="671"/>
      <c r="G931" s="597"/>
      <c r="H931" s="682"/>
      <c r="I931" s="592">
        <v>2092.02</v>
      </c>
      <c r="J931" s="592">
        <f t="shared" si="943"/>
        <v>2092.02</v>
      </c>
      <c r="K931" s="593">
        <f t="shared" si="928"/>
        <v>2546.1999999999998</v>
      </c>
      <c r="L931" s="594" t="s">
        <v>21</v>
      </c>
      <c r="M931" s="92"/>
      <c r="N931" s="92"/>
      <c r="O931" s="93">
        <f t="shared" si="944"/>
        <v>0</v>
      </c>
      <c r="P931" s="93">
        <f t="shared" si="945"/>
        <v>0</v>
      </c>
      <c r="Q931" s="94"/>
      <c r="R931" s="92">
        <f t="shared" si="946"/>
        <v>0</v>
      </c>
      <c r="S931" s="92">
        <f t="shared" si="947"/>
        <v>0</v>
      </c>
      <c r="T931" s="93">
        <f t="shared" si="948"/>
        <v>0</v>
      </c>
      <c r="U931" s="95">
        <f t="shared" si="949"/>
        <v>0</v>
      </c>
      <c r="V931" s="94"/>
      <c r="X931" s="580" t="str">
        <f t="shared" si="950"/>
        <v/>
      </c>
      <c r="Y931" s="580" t="str">
        <f t="shared" si="951"/>
        <v/>
      </c>
      <c r="Z931" s="580" t="str">
        <f t="shared" si="952"/>
        <v/>
      </c>
    </row>
    <row r="932" spans="1:26" ht="38.25" hidden="1" x14ac:dyDescent="0.2">
      <c r="A932" s="97">
        <v>100578</v>
      </c>
      <c r="B932" s="1031">
        <v>100578</v>
      </c>
      <c r="C932" s="978" t="s">
        <v>883</v>
      </c>
      <c r="D932" s="595" t="s">
        <v>1152</v>
      </c>
      <c r="E932" s="596"/>
      <c r="F932" s="671"/>
      <c r="G932" s="597"/>
      <c r="H932" s="682"/>
      <c r="I932" s="592">
        <v>378.43</v>
      </c>
      <c r="J932" s="592">
        <f t="shared" si="943"/>
        <v>378.43</v>
      </c>
      <c r="K932" s="593">
        <f t="shared" si="928"/>
        <v>460.59</v>
      </c>
      <c r="L932" s="594" t="s">
        <v>21</v>
      </c>
      <c r="M932" s="92"/>
      <c r="N932" s="92"/>
      <c r="O932" s="93">
        <f t="shared" si="944"/>
        <v>0</v>
      </c>
      <c r="P932" s="93">
        <f t="shared" si="945"/>
        <v>0</v>
      </c>
      <c r="Q932" s="94"/>
      <c r="R932" s="92">
        <f t="shared" si="946"/>
        <v>0</v>
      </c>
      <c r="S932" s="92">
        <f t="shared" si="947"/>
        <v>0</v>
      </c>
      <c r="T932" s="93">
        <f t="shared" si="948"/>
        <v>0</v>
      </c>
      <c r="U932" s="95">
        <f t="shared" si="949"/>
        <v>0</v>
      </c>
      <c r="V932" s="94"/>
      <c r="X932" s="580" t="str">
        <f t="shared" si="950"/>
        <v/>
      </c>
      <c r="Y932" s="580" t="str">
        <f t="shared" si="951"/>
        <v/>
      </c>
      <c r="Z932" s="580" t="str">
        <f t="shared" si="952"/>
        <v/>
      </c>
    </row>
    <row r="933" spans="1:26" ht="38.25" hidden="1" x14ac:dyDescent="0.2">
      <c r="A933" s="97">
        <v>100579</v>
      </c>
      <c r="B933" s="1031">
        <v>100579</v>
      </c>
      <c r="C933" s="978" t="s">
        <v>883</v>
      </c>
      <c r="D933" s="595" t="s">
        <v>1153</v>
      </c>
      <c r="E933" s="596"/>
      <c r="F933" s="671"/>
      <c r="G933" s="597"/>
      <c r="H933" s="682"/>
      <c r="I933" s="592">
        <v>414.83</v>
      </c>
      <c r="J933" s="592">
        <f t="shared" si="943"/>
        <v>414.83</v>
      </c>
      <c r="K933" s="593">
        <f t="shared" si="928"/>
        <v>504.89</v>
      </c>
      <c r="L933" s="594" t="s">
        <v>21</v>
      </c>
      <c r="M933" s="92"/>
      <c r="N933" s="92"/>
      <c r="O933" s="93">
        <f t="shared" si="944"/>
        <v>0</v>
      </c>
      <c r="P933" s="93">
        <f t="shared" si="945"/>
        <v>0</v>
      </c>
      <c r="Q933" s="94"/>
      <c r="R933" s="92">
        <f t="shared" si="946"/>
        <v>0</v>
      </c>
      <c r="S933" s="92">
        <f t="shared" si="947"/>
        <v>0</v>
      </c>
      <c r="T933" s="93">
        <f t="shared" si="948"/>
        <v>0</v>
      </c>
      <c r="U933" s="95">
        <f t="shared" si="949"/>
        <v>0</v>
      </c>
      <c r="V933" s="94"/>
      <c r="X933" s="580" t="str">
        <f t="shared" si="950"/>
        <v/>
      </c>
      <c r="Y933" s="580" t="str">
        <f t="shared" si="951"/>
        <v/>
      </c>
      <c r="Z933" s="580" t="str">
        <f t="shared" si="952"/>
        <v/>
      </c>
    </row>
    <row r="934" spans="1:26" ht="38.25" hidden="1" x14ac:dyDescent="0.2">
      <c r="A934" s="97">
        <v>100580</v>
      </c>
      <c r="B934" s="1031">
        <v>100580</v>
      </c>
      <c r="C934" s="978" t="s">
        <v>883</v>
      </c>
      <c r="D934" s="595" t="s">
        <v>1154</v>
      </c>
      <c r="E934" s="596"/>
      <c r="F934" s="671"/>
      <c r="G934" s="597"/>
      <c r="H934" s="682"/>
      <c r="I934" s="592">
        <v>457.92</v>
      </c>
      <c r="J934" s="592">
        <f t="shared" si="943"/>
        <v>457.92</v>
      </c>
      <c r="K934" s="593">
        <f t="shared" si="928"/>
        <v>557.33000000000004</v>
      </c>
      <c r="L934" s="594" t="s">
        <v>21</v>
      </c>
      <c r="M934" s="92"/>
      <c r="N934" s="92"/>
      <c r="O934" s="93">
        <f t="shared" si="944"/>
        <v>0</v>
      </c>
      <c r="P934" s="93">
        <f t="shared" si="945"/>
        <v>0</v>
      </c>
      <c r="Q934" s="94"/>
      <c r="R934" s="92">
        <f t="shared" si="946"/>
        <v>0</v>
      </c>
      <c r="S934" s="92">
        <f t="shared" si="947"/>
        <v>0</v>
      </c>
      <c r="T934" s="93">
        <f t="shared" si="948"/>
        <v>0</v>
      </c>
      <c r="U934" s="95">
        <f t="shared" si="949"/>
        <v>0</v>
      </c>
      <c r="V934" s="94"/>
      <c r="X934" s="580" t="str">
        <f t="shared" si="950"/>
        <v/>
      </c>
      <c r="Y934" s="580" t="str">
        <f t="shared" si="951"/>
        <v/>
      </c>
      <c r="Z934" s="580" t="str">
        <f t="shared" si="952"/>
        <v/>
      </c>
    </row>
    <row r="935" spans="1:26" ht="38.25" hidden="1" x14ac:dyDescent="0.2">
      <c r="A935" s="97">
        <v>100581</v>
      </c>
      <c r="B935" s="1031">
        <v>100581</v>
      </c>
      <c r="C935" s="978" t="s">
        <v>883</v>
      </c>
      <c r="D935" s="595" t="s">
        <v>1155</v>
      </c>
      <c r="E935" s="596"/>
      <c r="F935" s="671"/>
      <c r="G935" s="597"/>
      <c r="H935" s="682"/>
      <c r="I935" s="592">
        <v>432.87</v>
      </c>
      <c r="J935" s="592">
        <f t="shared" si="943"/>
        <v>432.87</v>
      </c>
      <c r="K935" s="593">
        <f t="shared" si="928"/>
        <v>526.85</v>
      </c>
      <c r="L935" s="594" t="s">
        <v>21</v>
      </c>
      <c r="M935" s="92"/>
      <c r="N935" s="92"/>
      <c r="O935" s="93">
        <f t="shared" si="944"/>
        <v>0</v>
      </c>
      <c r="P935" s="93">
        <f t="shared" si="945"/>
        <v>0</v>
      </c>
      <c r="Q935" s="94"/>
      <c r="R935" s="92">
        <f t="shared" si="946"/>
        <v>0</v>
      </c>
      <c r="S935" s="92">
        <f t="shared" si="947"/>
        <v>0</v>
      </c>
      <c r="T935" s="93">
        <f t="shared" si="948"/>
        <v>0</v>
      </c>
      <c r="U935" s="95">
        <f t="shared" si="949"/>
        <v>0</v>
      </c>
      <c r="V935" s="94"/>
      <c r="X935" s="580" t="str">
        <f t="shared" si="950"/>
        <v/>
      </c>
      <c r="Y935" s="580" t="str">
        <f t="shared" si="951"/>
        <v/>
      </c>
      <c r="Z935" s="580" t="str">
        <f t="shared" si="952"/>
        <v/>
      </c>
    </row>
    <row r="936" spans="1:26" ht="38.25" hidden="1" x14ac:dyDescent="0.2">
      <c r="A936" s="97">
        <v>100582</v>
      </c>
      <c r="B936" s="1031">
        <v>100582</v>
      </c>
      <c r="C936" s="978" t="s">
        <v>883</v>
      </c>
      <c r="D936" s="595" t="s">
        <v>1156</v>
      </c>
      <c r="E936" s="596"/>
      <c r="F936" s="671"/>
      <c r="G936" s="597"/>
      <c r="H936" s="682"/>
      <c r="I936" s="592">
        <v>510.66</v>
      </c>
      <c r="J936" s="592">
        <f t="shared" si="943"/>
        <v>510.66</v>
      </c>
      <c r="K936" s="593">
        <f t="shared" si="928"/>
        <v>621.52</v>
      </c>
      <c r="L936" s="594" t="s">
        <v>21</v>
      </c>
      <c r="M936" s="92"/>
      <c r="N936" s="92"/>
      <c r="O936" s="93">
        <f t="shared" si="944"/>
        <v>0</v>
      </c>
      <c r="P936" s="93">
        <f t="shared" si="945"/>
        <v>0</v>
      </c>
      <c r="Q936" s="94"/>
      <c r="R936" s="92">
        <f t="shared" si="946"/>
        <v>0</v>
      </c>
      <c r="S936" s="92">
        <f t="shared" si="947"/>
        <v>0</v>
      </c>
      <c r="T936" s="93">
        <f t="shared" si="948"/>
        <v>0</v>
      </c>
      <c r="U936" s="95">
        <f t="shared" si="949"/>
        <v>0</v>
      </c>
      <c r="V936" s="94"/>
      <c r="X936" s="580" t="str">
        <f t="shared" si="950"/>
        <v/>
      </c>
      <c r="Y936" s="580" t="str">
        <f t="shared" si="951"/>
        <v/>
      </c>
      <c r="Z936" s="580" t="str">
        <f t="shared" si="952"/>
        <v/>
      </c>
    </row>
    <row r="937" spans="1:26" ht="38.25" hidden="1" x14ac:dyDescent="0.2">
      <c r="A937" s="97">
        <v>100583</v>
      </c>
      <c r="B937" s="1031">
        <v>100583</v>
      </c>
      <c r="C937" s="978" t="s">
        <v>883</v>
      </c>
      <c r="D937" s="595" t="s">
        <v>1157</v>
      </c>
      <c r="E937" s="596"/>
      <c r="F937" s="671"/>
      <c r="G937" s="597"/>
      <c r="H937" s="682"/>
      <c r="I937" s="592">
        <v>452.28</v>
      </c>
      <c r="J937" s="592">
        <f t="shared" si="943"/>
        <v>452.28</v>
      </c>
      <c r="K937" s="593">
        <f t="shared" si="928"/>
        <v>550.47</v>
      </c>
      <c r="L937" s="594" t="s">
        <v>21</v>
      </c>
      <c r="M937" s="92"/>
      <c r="N937" s="92"/>
      <c r="O937" s="93">
        <f t="shared" si="944"/>
        <v>0</v>
      </c>
      <c r="P937" s="93">
        <f t="shared" si="945"/>
        <v>0</v>
      </c>
      <c r="Q937" s="94"/>
      <c r="R937" s="92">
        <f t="shared" si="946"/>
        <v>0</v>
      </c>
      <c r="S937" s="92">
        <f t="shared" si="947"/>
        <v>0</v>
      </c>
      <c r="T937" s="93">
        <f t="shared" si="948"/>
        <v>0</v>
      </c>
      <c r="U937" s="95">
        <f t="shared" si="949"/>
        <v>0</v>
      </c>
      <c r="V937" s="94"/>
      <c r="X937" s="580" t="str">
        <f t="shared" si="950"/>
        <v/>
      </c>
      <c r="Y937" s="580" t="str">
        <f t="shared" si="951"/>
        <v/>
      </c>
      <c r="Z937" s="580" t="str">
        <f t="shared" si="952"/>
        <v/>
      </c>
    </row>
    <row r="938" spans="1:26" ht="38.25" hidden="1" x14ac:dyDescent="0.2">
      <c r="A938" s="97">
        <v>100584</v>
      </c>
      <c r="B938" s="1031">
        <v>100584</v>
      </c>
      <c r="C938" s="978" t="s">
        <v>883</v>
      </c>
      <c r="D938" s="595" t="s">
        <v>1158</v>
      </c>
      <c r="E938" s="596"/>
      <c r="F938" s="671"/>
      <c r="G938" s="597"/>
      <c r="H938" s="682"/>
      <c r="I938" s="592">
        <v>498.97</v>
      </c>
      <c r="J938" s="592">
        <f t="shared" si="943"/>
        <v>498.97</v>
      </c>
      <c r="K938" s="593">
        <f t="shared" si="928"/>
        <v>607.29999999999995</v>
      </c>
      <c r="L938" s="594" t="s">
        <v>21</v>
      </c>
      <c r="M938" s="92"/>
      <c r="N938" s="92"/>
      <c r="O938" s="93">
        <f t="shared" si="944"/>
        <v>0</v>
      </c>
      <c r="P938" s="93">
        <f t="shared" si="945"/>
        <v>0</v>
      </c>
      <c r="Q938" s="94"/>
      <c r="R938" s="92">
        <f t="shared" si="946"/>
        <v>0</v>
      </c>
      <c r="S938" s="92">
        <f t="shared" si="947"/>
        <v>0</v>
      </c>
      <c r="T938" s="93">
        <f t="shared" si="948"/>
        <v>0</v>
      </c>
      <c r="U938" s="95">
        <f t="shared" si="949"/>
        <v>0</v>
      </c>
      <c r="V938" s="94"/>
      <c r="X938" s="580" t="str">
        <f t="shared" si="950"/>
        <v/>
      </c>
      <c r="Y938" s="580" t="str">
        <f t="shared" si="951"/>
        <v/>
      </c>
      <c r="Z938" s="580" t="str">
        <f t="shared" si="952"/>
        <v/>
      </c>
    </row>
    <row r="939" spans="1:26" ht="38.25" hidden="1" x14ac:dyDescent="0.2">
      <c r="A939" s="97">
        <v>100585</v>
      </c>
      <c r="B939" s="1031">
        <v>100585</v>
      </c>
      <c r="C939" s="978" t="s">
        <v>883</v>
      </c>
      <c r="D939" s="595" t="s">
        <v>1159</v>
      </c>
      <c r="E939" s="596"/>
      <c r="F939" s="671"/>
      <c r="G939" s="597"/>
      <c r="H939" s="682"/>
      <c r="I939" s="592">
        <v>489.96</v>
      </c>
      <c r="J939" s="592">
        <f t="shared" si="943"/>
        <v>489.96</v>
      </c>
      <c r="K939" s="593">
        <f t="shared" si="928"/>
        <v>596.33000000000004</v>
      </c>
      <c r="L939" s="594" t="s">
        <v>21</v>
      </c>
      <c r="M939" s="92"/>
      <c r="N939" s="92"/>
      <c r="O939" s="93">
        <f t="shared" si="944"/>
        <v>0</v>
      </c>
      <c r="P939" s="93">
        <f t="shared" si="945"/>
        <v>0</v>
      </c>
      <c r="Q939" s="94"/>
      <c r="R939" s="92">
        <f t="shared" si="946"/>
        <v>0</v>
      </c>
      <c r="S939" s="92">
        <f t="shared" si="947"/>
        <v>0</v>
      </c>
      <c r="T939" s="93">
        <f t="shared" si="948"/>
        <v>0</v>
      </c>
      <c r="U939" s="95">
        <f t="shared" si="949"/>
        <v>0</v>
      </c>
      <c r="V939" s="94"/>
      <c r="X939" s="580" t="str">
        <f t="shared" si="950"/>
        <v/>
      </c>
      <c r="Y939" s="580" t="str">
        <f t="shared" si="951"/>
        <v/>
      </c>
      <c r="Z939" s="580" t="str">
        <f t="shared" si="952"/>
        <v/>
      </c>
    </row>
    <row r="940" spans="1:26" ht="38.25" hidden="1" x14ac:dyDescent="0.2">
      <c r="A940" s="97">
        <v>100586</v>
      </c>
      <c r="B940" s="1031">
        <v>100586</v>
      </c>
      <c r="C940" s="978" t="s">
        <v>883</v>
      </c>
      <c r="D940" s="595" t="s">
        <v>1160</v>
      </c>
      <c r="E940" s="596"/>
      <c r="F940" s="671"/>
      <c r="G940" s="597"/>
      <c r="H940" s="682"/>
      <c r="I940" s="592">
        <v>564.27</v>
      </c>
      <c r="J940" s="592">
        <f t="shared" si="943"/>
        <v>564.27</v>
      </c>
      <c r="K940" s="593">
        <f t="shared" si="928"/>
        <v>686.77</v>
      </c>
      <c r="L940" s="594" t="s">
        <v>21</v>
      </c>
      <c r="M940" s="92"/>
      <c r="N940" s="92"/>
      <c r="O940" s="93">
        <f t="shared" si="944"/>
        <v>0</v>
      </c>
      <c r="P940" s="93">
        <f t="shared" si="945"/>
        <v>0</v>
      </c>
      <c r="Q940" s="94"/>
      <c r="R940" s="92">
        <f t="shared" si="946"/>
        <v>0</v>
      </c>
      <c r="S940" s="92">
        <f t="shared" si="947"/>
        <v>0</v>
      </c>
      <c r="T940" s="93">
        <f t="shared" si="948"/>
        <v>0</v>
      </c>
      <c r="U940" s="95">
        <f t="shared" si="949"/>
        <v>0</v>
      </c>
      <c r="V940" s="94"/>
      <c r="X940" s="580" t="str">
        <f t="shared" si="950"/>
        <v/>
      </c>
      <c r="Y940" s="580" t="str">
        <f t="shared" si="951"/>
        <v/>
      </c>
      <c r="Z940" s="580" t="str">
        <f t="shared" si="952"/>
        <v/>
      </c>
    </row>
    <row r="941" spans="1:26" ht="38.25" hidden="1" x14ac:dyDescent="0.2">
      <c r="A941" s="97">
        <v>100587</v>
      </c>
      <c r="B941" s="1031">
        <v>100587</v>
      </c>
      <c r="C941" s="978" t="s">
        <v>883</v>
      </c>
      <c r="D941" s="595" t="s">
        <v>1161</v>
      </c>
      <c r="E941" s="596"/>
      <c r="F941" s="671"/>
      <c r="G941" s="597"/>
      <c r="H941" s="682"/>
      <c r="I941" s="592">
        <v>529.12</v>
      </c>
      <c r="J941" s="592">
        <f t="shared" si="943"/>
        <v>529.12</v>
      </c>
      <c r="K941" s="593">
        <f t="shared" si="928"/>
        <v>643.99</v>
      </c>
      <c r="L941" s="594" t="s">
        <v>21</v>
      </c>
      <c r="M941" s="92"/>
      <c r="N941" s="92"/>
      <c r="O941" s="93">
        <f t="shared" si="944"/>
        <v>0</v>
      </c>
      <c r="P941" s="93">
        <f t="shared" si="945"/>
        <v>0</v>
      </c>
      <c r="Q941" s="94"/>
      <c r="R941" s="92">
        <f t="shared" si="946"/>
        <v>0</v>
      </c>
      <c r="S941" s="92">
        <f t="shared" si="947"/>
        <v>0</v>
      </c>
      <c r="T941" s="93">
        <f t="shared" si="948"/>
        <v>0</v>
      </c>
      <c r="U941" s="95">
        <f t="shared" si="949"/>
        <v>0</v>
      </c>
      <c r="V941" s="94"/>
      <c r="X941" s="580" t="str">
        <f t="shared" si="950"/>
        <v/>
      </c>
      <c r="Y941" s="580" t="str">
        <f t="shared" si="951"/>
        <v/>
      </c>
      <c r="Z941" s="580" t="str">
        <f t="shared" si="952"/>
        <v/>
      </c>
    </row>
    <row r="942" spans="1:26" ht="38.25" hidden="1" x14ac:dyDescent="0.2">
      <c r="A942" s="97">
        <v>100588</v>
      </c>
      <c r="B942" s="1031">
        <v>100588</v>
      </c>
      <c r="C942" s="978" t="s">
        <v>883</v>
      </c>
      <c r="D942" s="595" t="s">
        <v>1162</v>
      </c>
      <c r="E942" s="596"/>
      <c r="F942" s="671"/>
      <c r="G942" s="597"/>
      <c r="H942" s="682"/>
      <c r="I942" s="592">
        <v>586.87</v>
      </c>
      <c r="J942" s="592">
        <f t="shared" si="943"/>
        <v>586.87</v>
      </c>
      <c r="K942" s="593">
        <f t="shared" si="928"/>
        <v>714.28</v>
      </c>
      <c r="L942" s="594" t="s">
        <v>21</v>
      </c>
      <c r="M942" s="92"/>
      <c r="N942" s="92"/>
      <c r="O942" s="93">
        <f t="shared" si="944"/>
        <v>0</v>
      </c>
      <c r="P942" s="93">
        <f t="shared" si="945"/>
        <v>0</v>
      </c>
      <c r="Q942" s="94"/>
      <c r="R942" s="92">
        <f t="shared" si="946"/>
        <v>0</v>
      </c>
      <c r="S942" s="92">
        <f t="shared" si="947"/>
        <v>0</v>
      </c>
      <c r="T942" s="93">
        <f t="shared" si="948"/>
        <v>0</v>
      </c>
      <c r="U942" s="95">
        <f t="shared" si="949"/>
        <v>0</v>
      </c>
      <c r="V942" s="94"/>
      <c r="X942" s="580" t="str">
        <f t="shared" si="950"/>
        <v/>
      </c>
      <c r="Y942" s="580" t="str">
        <f t="shared" si="951"/>
        <v/>
      </c>
      <c r="Z942" s="580" t="str">
        <f t="shared" si="952"/>
        <v/>
      </c>
    </row>
    <row r="943" spans="1:26" ht="38.25" hidden="1" x14ac:dyDescent="0.2">
      <c r="A943" s="97">
        <v>100589</v>
      </c>
      <c r="B943" s="1031">
        <v>100589</v>
      </c>
      <c r="C943" s="978" t="s">
        <v>883</v>
      </c>
      <c r="D943" s="595" t="s">
        <v>1163</v>
      </c>
      <c r="E943" s="596"/>
      <c r="F943" s="671"/>
      <c r="G943" s="597"/>
      <c r="H943" s="682"/>
      <c r="I943" s="592">
        <v>589.05999999999995</v>
      </c>
      <c r="J943" s="592">
        <f t="shared" si="943"/>
        <v>589.05999999999995</v>
      </c>
      <c r="K943" s="593">
        <f t="shared" si="928"/>
        <v>716.94</v>
      </c>
      <c r="L943" s="594" t="s">
        <v>21</v>
      </c>
      <c r="M943" s="92"/>
      <c r="N943" s="92"/>
      <c r="O943" s="93">
        <f t="shared" si="944"/>
        <v>0</v>
      </c>
      <c r="P943" s="93">
        <f t="shared" si="945"/>
        <v>0</v>
      </c>
      <c r="Q943" s="94"/>
      <c r="R943" s="92">
        <f t="shared" si="946"/>
        <v>0</v>
      </c>
      <c r="S943" s="92">
        <f t="shared" si="947"/>
        <v>0</v>
      </c>
      <c r="T943" s="93">
        <f t="shared" si="948"/>
        <v>0</v>
      </c>
      <c r="U943" s="95">
        <f t="shared" si="949"/>
        <v>0</v>
      </c>
      <c r="V943" s="94"/>
      <c r="X943" s="580" t="str">
        <f t="shared" si="950"/>
        <v/>
      </c>
      <c r="Y943" s="580" t="str">
        <f t="shared" si="951"/>
        <v/>
      </c>
      <c r="Z943" s="580" t="str">
        <f t="shared" si="952"/>
        <v/>
      </c>
    </row>
    <row r="944" spans="1:26" ht="38.25" hidden="1" x14ac:dyDescent="0.2">
      <c r="A944" s="97">
        <v>100590</v>
      </c>
      <c r="B944" s="1031">
        <v>100590</v>
      </c>
      <c r="C944" s="978" t="s">
        <v>883</v>
      </c>
      <c r="D944" s="595" t="s">
        <v>1164</v>
      </c>
      <c r="E944" s="596"/>
      <c r="F944" s="671"/>
      <c r="G944" s="597"/>
      <c r="H944" s="682"/>
      <c r="I944" s="592">
        <v>646.37</v>
      </c>
      <c r="J944" s="592">
        <f t="shared" si="943"/>
        <v>646.37</v>
      </c>
      <c r="K944" s="593">
        <f t="shared" si="928"/>
        <v>786.7</v>
      </c>
      <c r="L944" s="594" t="s">
        <v>21</v>
      </c>
      <c r="M944" s="92"/>
      <c r="N944" s="92"/>
      <c r="O944" s="93">
        <f t="shared" si="944"/>
        <v>0</v>
      </c>
      <c r="P944" s="93">
        <f t="shared" si="945"/>
        <v>0</v>
      </c>
      <c r="Q944" s="94"/>
      <c r="R944" s="92">
        <f t="shared" si="946"/>
        <v>0</v>
      </c>
      <c r="S944" s="92">
        <f t="shared" si="947"/>
        <v>0</v>
      </c>
      <c r="T944" s="93">
        <f t="shared" si="948"/>
        <v>0</v>
      </c>
      <c r="U944" s="95">
        <f t="shared" si="949"/>
        <v>0</v>
      </c>
      <c r="V944" s="94"/>
      <c r="X944" s="580" t="str">
        <f t="shared" si="950"/>
        <v/>
      </c>
      <c r="Y944" s="580" t="str">
        <f t="shared" si="951"/>
        <v/>
      </c>
      <c r="Z944" s="580" t="str">
        <f t="shared" si="952"/>
        <v/>
      </c>
    </row>
    <row r="945" spans="1:26" ht="38.25" hidden="1" x14ac:dyDescent="0.2">
      <c r="A945" s="97">
        <v>100591</v>
      </c>
      <c r="B945" s="1031">
        <v>100591</v>
      </c>
      <c r="C945" s="978" t="s">
        <v>883</v>
      </c>
      <c r="D945" s="595" t="s">
        <v>1165</v>
      </c>
      <c r="E945" s="596"/>
      <c r="F945" s="671"/>
      <c r="G945" s="597"/>
      <c r="H945" s="682"/>
      <c r="I945" s="592">
        <v>583.29999999999995</v>
      </c>
      <c r="J945" s="592">
        <f t="shared" si="943"/>
        <v>583.29999999999995</v>
      </c>
      <c r="K945" s="593">
        <f t="shared" si="928"/>
        <v>709.93</v>
      </c>
      <c r="L945" s="594" t="s">
        <v>21</v>
      </c>
      <c r="M945" s="92"/>
      <c r="N945" s="92"/>
      <c r="O945" s="93">
        <f t="shared" si="944"/>
        <v>0</v>
      </c>
      <c r="P945" s="93">
        <f t="shared" si="945"/>
        <v>0</v>
      </c>
      <c r="Q945" s="94"/>
      <c r="R945" s="92">
        <f t="shared" si="946"/>
        <v>0</v>
      </c>
      <c r="S945" s="92">
        <f t="shared" si="947"/>
        <v>0</v>
      </c>
      <c r="T945" s="93">
        <f t="shared" si="948"/>
        <v>0</v>
      </c>
      <c r="U945" s="95">
        <f t="shared" si="949"/>
        <v>0</v>
      </c>
      <c r="V945" s="94"/>
      <c r="X945" s="580" t="str">
        <f t="shared" si="950"/>
        <v/>
      </c>
      <c r="Y945" s="580" t="str">
        <f t="shared" si="951"/>
        <v/>
      </c>
      <c r="Z945" s="580" t="str">
        <f t="shared" si="952"/>
        <v/>
      </c>
    </row>
    <row r="946" spans="1:26" ht="38.25" hidden="1" x14ac:dyDescent="0.2">
      <c r="A946" s="97">
        <v>100592</v>
      </c>
      <c r="B946" s="1031">
        <v>100592</v>
      </c>
      <c r="C946" s="978" t="s">
        <v>883</v>
      </c>
      <c r="D946" s="595" t="s">
        <v>1166</v>
      </c>
      <c r="E946" s="596"/>
      <c r="F946" s="671"/>
      <c r="G946" s="597"/>
      <c r="H946" s="682"/>
      <c r="I946" s="592">
        <v>630.74</v>
      </c>
      <c r="J946" s="592">
        <f t="shared" si="943"/>
        <v>630.74</v>
      </c>
      <c r="K946" s="593">
        <f t="shared" si="928"/>
        <v>767.67</v>
      </c>
      <c r="L946" s="594" t="s">
        <v>21</v>
      </c>
      <c r="M946" s="92"/>
      <c r="N946" s="92"/>
      <c r="O946" s="93">
        <f t="shared" si="944"/>
        <v>0</v>
      </c>
      <c r="P946" s="93">
        <f t="shared" si="945"/>
        <v>0</v>
      </c>
      <c r="Q946" s="94"/>
      <c r="R946" s="92">
        <f t="shared" si="946"/>
        <v>0</v>
      </c>
      <c r="S946" s="92">
        <f t="shared" si="947"/>
        <v>0</v>
      </c>
      <c r="T946" s="93">
        <f t="shared" si="948"/>
        <v>0</v>
      </c>
      <c r="U946" s="95">
        <f t="shared" si="949"/>
        <v>0</v>
      </c>
      <c r="V946" s="94"/>
      <c r="X946" s="580" t="str">
        <f t="shared" si="950"/>
        <v/>
      </c>
      <c r="Y946" s="580" t="str">
        <f t="shared" si="951"/>
        <v/>
      </c>
      <c r="Z946" s="580" t="str">
        <f t="shared" si="952"/>
        <v/>
      </c>
    </row>
    <row r="947" spans="1:26" ht="38.25" hidden="1" x14ac:dyDescent="0.2">
      <c r="A947" s="97">
        <v>100593</v>
      </c>
      <c r="B947" s="1031">
        <v>100593</v>
      </c>
      <c r="C947" s="978" t="s">
        <v>883</v>
      </c>
      <c r="D947" s="595" t="s">
        <v>1167</v>
      </c>
      <c r="E947" s="596"/>
      <c r="F947" s="671"/>
      <c r="G947" s="597"/>
      <c r="H947" s="682"/>
      <c r="I947" s="592">
        <v>625.03</v>
      </c>
      <c r="J947" s="592">
        <f t="shared" si="943"/>
        <v>625.03</v>
      </c>
      <c r="K947" s="593">
        <f t="shared" si="928"/>
        <v>760.72</v>
      </c>
      <c r="L947" s="594" t="s">
        <v>21</v>
      </c>
      <c r="M947" s="92"/>
      <c r="N947" s="92"/>
      <c r="O947" s="93">
        <f t="shared" si="944"/>
        <v>0</v>
      </c>
      <c r="P947" s="93">
        <f t="shared" si="945"/>
        <v>0</v>
      </c>
      <c r="Q947" s="94"/>
      <c r="R947" s="92">
        <f t="shared" si="946"/>
        <v>0</v>
      </c>
      <c r="S947" s="92">
        <f t="shared" si="947"/>
        <v>0</v>
      </c>
      <c r="T947" s="93">
        <f t="shared" si="948"/>
        <v>0</v>
      </c>
      <c r="U947" s="95">
        <f t="shared" si="949"/>
        <v>0</v>
      </c>
      <c r="V947" s="94"/>
      <c r="X947" s="580" t="str">
        <f t="shared" si="950"/>
        <v/>
      </c>
      <c r="Y947" s="580" t="str">
        <f t="shared" si="951"/>
        <v/>
      </c>
      <c r="Z947" s="580" t="str">
        <f t="shared" si="952"/>
        <v/>
      </c>
    </row>
    <row r="948" spans="1:26" ht="38.25" hidden="1" x14ac:dyDescent="0.2">
      <c r="A948" s="97">
        <v>100594</v>
      </c>
      <c r="B948" s="1031">
        <v>100594</v>
      </c>
      <c r="C948" s="978" t="s">
        <v>883</v>
      </c>
      <c r="D948" s="595" t="s">
        <v>1168</v>
      </c>
      <c r="E948" s="596"/>
      <c r="F948" s="671"/>
      <c r="G948" s="597"/>
      <c r="H948" s="682"/>
      <c r="I948" s="592">
        <v>705.27</v>
      </c>
      <c r="J948" s="592">
        <f t="shared" si="943"/>
        <v>705.27</v>
      </c>
      <c r="K948" s="593">
        <f t="shared" si="928"/>
        <v>858.38</v>
      </c>
      <c r="L948" s="594" t="s">
        <v>21</v>
      </c>
      <c r="M948" s="92"/>
      <c r="N948" s="92"/>
      <c r="O948" s="93">
        <f t="shared" si="944"/>
        <v>0</v>
      </c>
      <c r="P948" s="93">
        <f t="shared" si="945"/>
        <v>0</v>
      </c>
      <c r="Q948" s="94"/>
      <c r="R948" s="92">
        <f t="shared" si="946"/>
        <v>0</v>
      </c>
      <c r="S948" s="92">
        <f t="shared" si="947"/>
        <v>0</v>
      </c>
      <c r="T948" s="93">
        <f t="shared" si="948"/>
        <v>0</v>
      </c>
      <c r="U948" s="95">
        <f t="shared" si="949"/>
        <v>0</v>
      </c>
      <c r="V948" s="94"/>
      <c r="X948" s="580" t="str">
        <f t="shared" si="950"/>
        <v/>
      </c>
      <c r="Y948" s="580" t="str">
        <f t="shared" si="951"/>
        <v/>
      </c>
      <c r="Z948" s="580" t="str">
        <f t="shared" si="952"/>
        <v/>
      </c>
    </row>
    <row r="949" spans="1:26" ht="38.25" hidden="1" x14ac:dyDescent="0.2">
      <c r="A949" s="97">
        <v>100595</v>
      </c>
      <c r="B949" s="1031">
        <v>100595</v>
      </c>
      <c r="C949" s="978" t="s">
        <v>883</v>
      </c>
      <c r="D949" s="595" t="s">
        <v>1169</v>
      </c>
      <c r="E949" s="596"/>
      <c r="F949" s="671"/>
      <c r="G949" s="597"/>
      <c r="H949" s="682"/>
      <c r="I949" s="592">
        <v>750.37</v>
      </c>
      <c r="J949" s="592">
        <f t="shared" si="943"/>
        <v>750.37</v>
      </c>
      <c r="K949" s="593">
        <f t="shared" si="928"/>
        <v>913.28</v>
      </c>
      <c r="L949" s="594" t="s">
        <v>21</v>
      </c>
      <c r="M949" s="92"/>
      <c r="N949" s="92"/>
      <c r="O949" s="93">
        <f t="shared" si="944"/>
        <v>0</v>
      </c>
      <c r="P949" s="93">
        <f t="shared" si="945"/>
        <v>0</v>
      </c>
      <c r="Q949" s="94"/>
      <c r="R949" s="92">
        <f t="shared" si="946"/>
        <v>0</v>
      </c>
      <c r="S949" s="92">
        <f t="shared" si="947"/>
        <v>0</v>
      </c>
      <c r="T949" s="93">
        <f t="shared" si="948"/>
        <v>0</v>
      </c>
      <c r="U949" s="95">
        <f t="shared" si="949"/>
        <v>0</v>
      </c>
      <c r="V949" s="94"/>
      <c r="X949" s="580" t="str">
        <f t="shared" si="950"/>
        <v/>
      </c>
      <c r="Y949" s="580" t="str">
        <f t="shared" si="951"/>
        <v/>
      </c>
      <c r="Z949" s="580" t="str">
        <f t="shared" si="952"/>
        <v/>
      </c>
    </row>
    <row r="950" spans="1:26" ht="38.25" hidden="1" x14ac:dyDescent="0.2">
      <c r="A950" s="97">
        <v>100596</v>
      </c>
      <c r="B950" s="1031">
        <v>100596</v>
      </c>
      <c r="C950" s="978" t="s">
        <v>883</v>
      </c>
      <c r="D950" s="595" t="s">
        <v>1170</v>
      </c>
      <c r="E950" s="596"/>
      <c r="F950" s="671"/>
      <c r="G950" s="597"/>
      <c r="H950" s="682"/>
      <c r="I950" s="592">
        <v>858.42</v>
      </c>
      <c r="J950" s="592">
        <f t="shared" si="943"/>
        <v>858.42</v>
      </c>
      <c r="K950" s="593">
        <f t="shared" si="928"/>
        <v>1044.78</v>
      </c>
      <c r="L950" s="594" t="s">
        <v>21</v>
      </c>
      <c r="M950" s="92"/>
      <c r="N950" s="92"/>
      <c r="O950" s="93">
        <f t="shared" si="944"/>
        <v>0</v>
      </c>
      <c r="P950" s="93">
        <f t="shared" si="945"/>
        <v>0</v>
      </c>
      <c r="Q950" s="94"/>
      <c r="R950" s="92">
        <f t="shared" si="946"/>
        <v>0</v>
      </c>
      <c r="S950" s="92">
        <f t="shared" si="947"/>
        <v>0</v>
      </c>
      <c r="T950" s="93">
        <f t="shared" si="948"/>
        <v>0</v>
      </c>
      <c r="U950" s="95">
        <f t="shared" si="949"/>
        <v>0</v>
      </c>
      <c r="V950" s="94"/>
      <c r="X950" s="580" t="str">
        <f t="shared" si="950"/>
        <v/>
      </c>
      <c r="Y950" s="580" t="str">
        <f t="shared" si="951"/>
        <v/>
      </c>
      <c r="Z950" s="580" t="str">
        <f t="shared" si="952"/>
        <v/>
      </c>
    </row>
    <row r="951" spans="1:26" ht="38.25" hidden="1" x14ac:dyDescent="0.2">
      <c r="A951" s="97">
        <v>100597</v>
      </c>
      <c r="B951" s="1031">
        <v>100597</v>
      </c>
      <c r="C951" s="978" t="s">
        <v>883</v>
      </c>
      <c r="D951" s="595" t="s">
        <v>1171</v>
      </c>
      <c r="E951" s="596"/>
      <c r="F951" s="671"/>
      <c r="G951" s="597"/>
      <c r="H951" s="682"/>
      <c r="I951" s="592">
        <v>870.73</v>
      </c>
      <c r="J951" s="592">
        <f t="shared" si="943"/>
        <v>870.73</v>
      </c>
      <c r="K951" s="593">
        <f t="shared" si="928"/>
        <v>1059.77</v>
      </c>
      <c r="L951" s="594" t="s">
        <v>21</v>
      </c>
      <c r="M951" s="92"/>
      <c r="N951" s="92"/>
      <c r="O951" s="93">
        <f t="shared" si="944"/>
        <v>0</v>
      </c>
      <c r="P951" s="93">
        <f t="shared" si="945"/>
        <v>0</v>
      </c>
      <c r="Q951" s="94"/>
      <c r="R951" s="92">
        <f t="shared" si="946"/>
        <v>0</v>
      </c>
      <c r="S951" s="92">
        <f t="shared" si="947"/>
        <v>0</v>
      </c>
      <c r="T951" s="93">
        <f t="shared" si="948"/>
        <v>0</v>
      </c>
      <c r="U951" s="95">
        <f t="shared" si="949"/>
        <v>0</v>
      </c>
      <c r="V951" s="94"/>
      <c r="X951" s="580" t="str">
        <f t="shared" si="950"/>
        <v/>
      </c>
      <c r="Y951" s="580" t="str">
        <f t="shared" si="951"/>
        <v/>
      </c>
      <c r="Z951" s="580" t="str">
        <f t="shared" si="952"/>
        <v/>
      </c>
    </row>
    <row r="952" spans="1:26" ht="38.25" hidden="1" x14ac:dyDescent="0.2">
      <c r="A952" s="97">
        <v>100598</v>
      </c>
      <c r="B952" s="1031">
        <v>100598</v>
      </c>
      <c r="C952" s="978" t="s">
        <v>883</v>
      </c>
      <c r="D952" s="595" t="s">
        <v>1172</v>
      </c>
      <c r="E952" s="596"/>
      <c r="F952" s="671"/>
      <c r="G952" s="597"/>
      <c r="H952" s="682"/>
      <c r="I952" s="592">
        <v>959.8</v>
      </c>
      <c r="J952" s="592">
        <f t="shared" si="943"/>
        <v>959.8</v>
      </c>
      <c r="K952" s="593">
        <f t="shared" si="928"/>
        <v>1168.17</v>
      </c>
      <c r="L952" s="594" t="s">
        <v>21</v>
      </c>
      <c r="M952" s="92"/>
      <c r="N952" s="92"/>
      <c r="O952" s="93">
        <f t="shared" si="944"/>
        <v>0</v>
      </c>
      <c r="P952" s="93">
        <f t="shared" si="945"/>
        <v>0</v>
      </c>
      <c r="Q952" s="94"/>
      <c r="R952" s="92">
        <f t="shared" si="946"/>
        <v>0</v>
      </c>
      <c r="S952" s="92">
        <f t="shared" si="947"/>
        <v>0</v>
      </c>
      <c r="T952" s="93">
        <f t="shared" si="948"/>
        <v>0</v>
      </c>
      <c r="U952" s="95">
        <f t="shared" si="949"/>
        <v>0</v>
      </c>
      <c r="V952" s="94"/>
      <c r="X952" s="580" t="str">
        <f t="shared" si="950"/>
        <v/>
      </c>
      <c r="Y952" s="580" t="str">
        <f t="shared" si="951"/>
        <v/>
      </c>
      <c r="Z952" s="580" t="str">
        <f t="shared" si="952"/>
        <v/>
      </c>
    </row>
    <row r="953" spans="1:26" ht="38.25" hidden="1" x14ac:dyDescent="0.2">
      <c r="A953" s="97">
        <v>100599</v>
      </c>
      <c r="B953" s="1031">
        <v>100599</v>
      </c>
      <c r="C953" s="978" t="s">
        <v>883</v>
      </c>
      <c r="D953" s="595" t="s">
        <v>1173</v>
      </c>
      <c r="E953" s="596"/>
      <c r="F953" s="671"/>
      <c r="G953" s="597"/>
      <c r="H953" s="682"/>
      <c r="I953" s="592">
        <v>385.83</v>
      </c>
      <c r="J953" s="592">
        <f t="shared" si="943"/>
        <v>385.83</v>
      </c>
      <c r="K953" s="593">
        <f t="shared" si="928"/>
        <v>469.59</v>
      </c>
      <c r="L953" s="594" t="s">
        <v>21</v>
      </c>
      <c r="M953" s="92"/>
      <c r="N953" s="92"/>
      <c r="O953" s="93">
        <f t="shared" si="944"/>
        <v>0</v>
      </c>
      <c r="P953" s="93">
        <f t="shared" si="945"/>
        <v>0</v>
      </c>
      <c r="Q953" s="94"/>
      <c r="R953" s="92">
        <f t="shared" si="946"/>
        <v>0</v>
      </c>
      <c r="S953" s="92">
        <f t="shared" si="947"/>
        <v>0</v>
      </c>
      <c r="T953" s="93">
        <f t="shared" si="948"/>
        <v>0</v>
      </c>
      <c r="U953" s="95">
        <f t="shared" si="949"/>
        <v>0</v>
      </c>
      <c r="V953" s="94"/>
      <c r="X953" s="580" t="str">
        <f t="shared" si="950"/>
        <v/>
      </c>
      <c r="Y953" s="580" t="str">
        <f t="shared" si="951"/>
        <v/>
      </c>
      <c r="Z953" s="580" t="str">
        <f t="shared" si="952"/>
        <v/>
      </c>
    </row>
    <row r="954" spans="1:26" ht="38.25" hidden="1" x14ac:dyDescent="0.2">
      <c r="A954" s="97">
        <v>100600</v>
      </c>
      <c r="B954" s="1031">
        <v>100600</v>
      </c>
      <c r="C954" s="978" t="s">
        <v>883</v>
      </c>
      <c r="D954" s="595" t="s">
        <v>1174</v>
      </c>
      <c r="E954" s="596"/>
      <c r="F954" s="671"/>
      <c r="G954" s="597"/>
      <c r="H954" s="682"/>
      <c r="I954" s="592">
        <v>460.26</v>
      </c>
      <c r="J954" s="592">
        <f t="shared" si="943"/>
        <v>460.26</v>
      </c>
      <c r="K954" s="593">
        <f t="shared" si="928"/>
        <v>560.17999999999995</v>
      </c>
      <c r="L954" s="594" t="s">
        <v>21</v>
      </c>
      <c r="M954" s="92"/>
      <c r="N954" s="92"/>
      <c r="O954" s="93">
        <f t="shared" si="944"/>
        <v>0</v>
      </c>
      <c r="P954" s="93">
        <f t="shared" si="945"/>
        <v>0</v>
      </c>
      <c r="Q954" s="94"/>
      <c r="R954" s="92">
        <f t="shared" si="946"/>
        <v>0</v>
      </c>
      <c r="S954" s="92">
        <f t="shared" si="947"/>
        <v>0</v>
      </c>
      <c r="T954" s="93">
        <f t="shared" si="948"/>
        <v>0</v>
      </c>
      <c r="U954" s="95">
        <f t="shared" si="949"/>
        <v>0</v>
      </c>
      <c r="V954" s="94"/>
      <c r="X954" s="580" t="str">
        <f t="shared" si="950"/>
        <v/>
      </c>
      <c r="Y954" s="580" t="str">
        <f t="shared" si="951"/>
        <v/>
      </c>
      <c r="Z954" s="580" t="str">
        <f t="shared" si="952"/>
        <v/>
      </c>
    </row>
    <row r="955" spans="1:26" ht="38.25" hidden="1" x14ac:dyDescent="0.2">
      <c r="A955" s="97">
        <v>100601</v>
      </c>
      <c r="B955" s="1031">
        <v>100601</v>
      </c>
      <c r="C955" s="978" t="s">
        <v>883</v>
      </c>
      <c r="D955" s="595" t="s">
        <v>1175</v>
      </c>
      <c r="E955" s="596"/>
      <c r="F955" s="671"/>
      <c r="G955" s="597"/>
      <c r="H955" s="682"/>
      <c r="I955" s="592">
        <v>584.19000000000005</v>
      </c>
      <c r="J955" s="592">
        <f t="shared" si="943"/>
        <v>584.19000000000005</v>
      </c>
      <c r="K955" s="593">
        <f t="shared" si="928"/>
        <v>711.02</v>
      </c>
      <c r="L955" s="594" t="s">
        <v>21</v>
      </c>
      <c r="M955" s="92"/>
      <c r="N955" s="92"/>
      <c r="O955" s="93">
        <f t="shared" si="944"/>
        <v>0</v>
      </c>
      <c r="P955" s="93">
        <f t="shared" si="945"/>
        <v>0</v>
      </c>
      <c r="Q955" s="94"/>
      <c r="R955" s="92">
        <f t="shared" si="946"/>
        <v>0</v>
      </c>
      <c r="S955" s="92">
        <f t="shared" si="947"/>
        <v>0</v>
      </c>
      <c r="T955" s="93">
        <f t="shared" si="948"/>
        <v>0</v>
      </c>
      <c r="U955" s="95">
        <f t="shared" si="949"/>
        <v>0</v>
      </c>
      <c r="V955" s="94"/>
      <c r="X955" s="580" t="str">
        <f t="shared" si="950"/>
        <v/>
      </c>
      <c r="Y955" s="580" t="str">
        <f t="shared" si="951"/>
        <v/>
      </c>
      <c r="Z955" s="580" t="str">
        <f t="shared" si="952"/>
        <v/>
      </c>
    </row>
    <row r="956" spans="1:26" ht="38.25" hidden="1" x14ac:dyDescent="0.2">
      <c r="A956" s="97">
        <v>100602</v>
      </c>
      <c r="B956" s="1031">
        <v>100602</v>
      </c>
      <c r="C956" s="978" t="s">
        <v>883</v>
      </c>
      <c r="D956" s="595" t="s">
        <v>1176</v>
      </c>
      <c r="E956" s="596"/>
      <c r="F956" s="671"/>
      <c r="G956" s="597"/>
      <c r="H956" s="682"/>
      <c r="I956" s="592">
        <v>738.82</v>
      </c>
      <c r="J956" s="592">
        <f t="shared" si="943"/>
        <v>738.82</v>
      </c>
      <c r="K956" s="593">
        <f t="shared" si="928"/>
        <v>899.22</v>
      </c>
      <c r="L956" s="594" t="s">
        <v>21</v>
      </c>
      <c r="M956" s="92"/>
      <c r="N956" s="92"/>
      <c r="O956" s="93">
        <f t="shared" si="944"/>
        <v>0</v>
      </c>
      <c r="P956" s="93">
        <f t="shared" si="945"/>
        <v>0</v>
      </c>
      <c r="Q956" s="94"/>
      <c r="R956" s="92">
        <f t="shared" si="946"/>
        <v>0</v>
      </c>
      <c r="S956" s="92">
        <f t="shared" si="947"/>
        <v>0</v>
      </c>
      <c r="T956" s="93">
        <f t="shared" si="948"/>
        <v>0</v>
      </c>
      <c r="U956" s="95">
        <f t="shared" si="949"/>
        <v>0</v>
      </c>
      <c r="V956" s="94"/>
      <c r="X956" s="580" t="str">
        <f t="shared" si="950"/>
        <v/>
      </c>
      <c r="Y956" s="580" t="str">
        <f t="shared" si="951"/>
        <v/>
      </c>
      <c r="Z956" s="580" t="str">
        <f t="shared" si="952"/>
        <v/>
      </c>
    </row>
    <row r="957" spans="1:26" ht="38.25" hidden="1" x14ac:dyDescent="0.2">
      <c r="A957" s="1008">
        <v>100603</v>
      </c>
      <c r="B957" s="1010">
        <v>100603</v>
      </c>
      <c r="C957" s="978" t="s">
        <v>883</v>
      </c>
      <c r="D957" s="595" t="s">
        <v>1177</v>
      </c>
      <c r="E957" s="596"/>
      <c r="F957" s="671"/>
      <c r="G957" s="597"/>
      <c r="H957" s="682"/>
      <c r="I957" s="592">
        <v>1137.1600000000001</v>
      </c>
      <c r="J957" s="592">
        <f t="shared" si="943"/>
        <v>1137.1600000000001</v>
      </c>
      <c r="K957" s="593">
        <f t="shared" si="928"/>
        <v>1384.04</v>
      </c>
      <c r="L957" s="594" t="s">
        <v>21</v>
      </c>
      <c r="M957" s="92"/>
      <c r="N957" s="92"/>
      <c r="O957" s="93">
        <f t="shared" si="944"/>
        <v>0</v>
      </c>
      <c r="P957" s="93">
        <f t="shared" si="945"/>
        <v>0</v>
      </c>
      <c r="Q957" s="94"/>
      <c r="R957" s="92">
        <f t="shared" si="946"/>
        <v>0</v>
      </c>
      <c r="S957" s="92">
        <f t="shared" si="947"/>
        <v>0</v>
      </c>
      <c r="T957" s="93">
        <f t="shared" si="948"/>
        <v>0</v>
      </c>
      <c r="U957" s="95">
        <f t="shared" si="949"/>
        <v>0</v>
      </c>
      <c r="V957" s="94"/>
      <c r="X957" s="580" t="str">
        <f t="shared" si="950"/>
        <v/>
      </c>
      <c r="Y957" s="580" t="str">
        <f t="shared" si="951"/>
        <v/>
      </c>
      <c r="Z957" s="580" t="str">
        <f t="shared" si="952"/>
        <v/>
      </c>
    </row>
    <row r="958" spans="1:26" ht="38.25" hidden="1" x14ac:dyDescent="0.2">
      <c r="A958" s="97">
        <v>100604</v>
      </c>
      <c r="B958" s="1031">
        <v>100604</v>
      </c>
      <c r="C958" s="978" t="s">
        <v>883</v>
      </c>
      <c r="D958" s="595" t="s">
        <v>1178</v>
      </c>
      <c r="E958" s="596"/>
      <c r="F958" s="671"/>
      <c r="G958" s="597"/>
      <c r="H958" s="682"/>
      <c r="I958" s="592">
        <v>489.13</v>
      </c>
      <c r="J958" s="592">
        <f t="shared" si="943"/>
        <v>489.13</v>
      </c>
      <c r="K958" s="593">
        <f t="shared" si="928"/>
        <v>595.32000000000005</v>
      </c>
      <c r="L958" s="594" t="s">
        <v>21</v>
      </c>
      <c r="M958" s="92"/>
      <c r="N958" s="92"/>
      <c r="O958" s="93">
        <f t="shared" si="944"/>
        <v>0</v>
      </c>
      <c r="P958" s="93">
        <f t="shared" si="945"/>
        <v>0</v>
      </c>
      <c r="Q958" s="94"/>
      <c r="R958" s="92">
        <f t="shared" si="946"/>
        <v>0</v>
      </c>
      <c r="S958" s="92">
        <f t="shared" si="947"/>
        <v>0</v>
      </c>
      <c r="T958" s="93">
        <f t="shared" si="948"/>
        <v>0</v>
      </c>
      <c r="U958" s="95">
        <f t="shared" si="949"/>
        <v>0</v>
      </c>
      <c r="V958" s="94"/>
      <c r="X958" s="580" t="str">
        <f t="shared" si="950"/>
        <v/>
      </c>
      <c r="Y958" s="580" t="str">
        <f t="shared" si="951"/>
        <v/>
      </c>
      <c r="Z958" s="580" t="str">
        <f t="shared" si="952"/>
        <v/>
      </c>
    </row>
    <row r="959" spans="1:26" ht="38.25" hidden="1" x14ac:dyDescent="0.2">
      <c r="A959" s="97">
        <v>100605</v>
      </c>
      <c r="B959" s="1031">
        <v>100605</v>
      </c>
      <c r="C959" s="978" t="s">
        <v>883</v>
      </c>
      <c r="D959" s="595" t="s">
        <v>1179</v>
      </c>
      <c r="E959" s="596"/>
      <c r="F959" s="671"/>
      <c r="G959" s="597"/>
      <c r="H959" s="682"/>
      <c r="I959" s="592">
        <v>775.7</v>
      </c>
      <c r="J959" s="592">
        <f t="shared" si="943"/>
        <v>775.7</v>
      </c>
      <c r="K959" s="593">
        <f t="shared" si="928"/>
        <v>944.1</v>
      </c>
      <c r="L959" s="594" t="s">
        <v>21</v>
      </c>
      <c r="M959" s="92"/>
      <c r="N959" s="92"/>
      <c r="O959" s="93">
        <f t="shared" si="944"/>
        <v>0</v>
      </c>
      <c r="P959" s="93">
        <f t="shared" si="945"/>
        <v>0</v>
      </c>
      <c r="Q959" s="94"/>
      <c r="R959" s="92">
        <f t="shared" si="946"/>
        <v>0</v>
      </c>
      <c r="S959" s="92">
        <f t="shared" si="947"/>
        <v>0</v>
      </c>
      <c r="T959" s="93">
        <f t="shared" si="948"/>
        <v>0</v>
      </c>
      <c r="U959" s="95">
        <f t="shared" si="949"/>
        <v>0</v>
      </c>
      <c r="V959" s="94"/>
      <c r="X959" s="580" t="str">
        <f t="shared" si="950"/>
        <v/>
      </c>
      <c r="Y959" s="580" t="str">
        <f t="shared" si="951"/>
        <v/>
      </c>
      <c r="Z959" s="580" t="str">
        <f t="shared" si="952"/>
        <v/>
      </c>
    </row>
    <row r="960" spans="1:26" ht="38.25" hidden="1" x14ac:dyDescent="0.2">
      <c r="A960" s="97">
        <v>100606</v>
      </c>
      <c r="B960" s="1031">
        <v>100606</v>
      </c>
      <c r="C960" s="978" t="s">
        <v>883</v>
      </c>
      <c r="D960" s="595" t="s">
        <v>1180</v>
      </c>
      <c r="E960" s="596"/>
      <c r="F960" s="671"/>
      <c r="G960" s="597"/>
      <c r="H960" s="682"/>
      <c r="I960" s="592">
        <v>1184.51</v>
      </c>
      <c r="J960" s="592">
        <f t="shared" si="943"/>
        <v>1184.51</v>
      </c>
      <c r="K960" s="593">
        <f t="shared" si="928"/>
        <v>1441.67</v>
      </c>
      <c r="L960" s="594" t="s">
        <v>21</v>
      </c>
      <c r="M960" s="92"/>
      <c r="N960" s="92"/>
      <c r="O960" s="93">
        <f t="shared" si="944"/>
        <v>0</v>
      </c>
      <c r="P960" s="93">
        <f t="shared" si="945"/>
        <v>0</v>
      </c>
      <c r="Q960" s="94"/>
      <c r="R960" s="92">
        <f t="shared" si="946"/>
        <v>0</v>
      </c>
      <c r="S960" s="92">
        <f t="shared" si="947"/>
        <v>0</v>
      </c>
      <c r="T960" s="93">
        <f t="shared" si="948"/>
        <v>0</v>
      </c>
      <c r="U960" s="95">
        <f t="shared" si="949"/>
        <v>0</v>
      </c>
      <c r="V960" s="94"/>
      <c r="X960" s="580" t="str">
        <f t="shared" si="950"/>
        <v/>
      </c>
      <c r="Y960" s="580" t="str">
        <f t="shared" si="951"/>
        <v/>
      </c>
      <c r="Z960" s="580" t="str">
        <f t="shared" si="952"/>
        <v/>
      </c>
    </row>
    <row r="961" spans="1:26" ht="38.25" hidden="1" x14ac:dyDescent="0.2">
      <c r="A961" s="1008">
        <v>100607</v>
      </c>
      <c r="B961" s="1010">
        <v>100607</v>
      </c>
      <c r="C961" s="978" t="s">
        <v>883</v>
      </c>
      <c r="D961" s="595" t="s">
        <v>1181</v>
      </c>
      <c r="E961" s="596"/>
      <c r="F961" s="671"/>
      <c r="G961" s="597"/>
      <c r="H961" s="682"/>
      <c r="I961" s="592">
        <v>502.91</v>
      </c>
      <c r="J961" s="592">
        <f t="shared" si="943"/>
        <v>502.91</v>
      </c>
      <c r="K961" s="593">
        <f t="shared" si="928"/>
        <v>612.09</v>
      </c>
      <c r="L961" s="594" t="s">
        <v>21</v>
      </c>
      <c r="M961" s="92"/>
      <c r="N961" s="92"/>
      <c r="O961" s="93">
        <f t="shared" si="944"/>
        <v>0</v>
      </c>
      <c r="P961" s="93">
        <f t="shared" si="945"/>
        <v>0</v>
      </c>
      <c r="Q961" s="94"/>
      <c r="R961" s="92">
        <f t="shared" si="946"/>
        <v>0</v>
      </c>
      <c r="S961" s="92">
        <f t="shared" si="947"/>
        <v>0</v>
      </c>
      <c r="T961" s="93">
        <f t="shared" si="948"/>
        <v>0</v>
      </c>
      <c r="U961" s="95">
        <f t="shared" si="949"/>
        <v>0</v>
      </c>
      <c r="V961" s="94"/>
      <c r="X961" s="580" t="str">
        <f t="shared" si="950"/>
        <v/>
      </c>
      <c r="Y961" s="580" t="str">
        <f t="shared" si="951"/>
        <v/>
      </c>
      <c r="Z961" s="580" t="str">
        <f t="shared" si="952"/>
        <v/>
      </c>
    </row>
    <row r="962" spans="1:26" ht="38.25" hidden="1" x14ac:dyDescent="0.2">
      <c r="A962" s="97">
        <v>100608</v>
      </c>
      <c r="B962" s="1031">
        <v>100608</v>
      </c>
      <c r="C962" s="978" t="s">
        <v>883</v>
      </c>
      <c r="D962" s="595" t="s">
        <v>1182</v>
      </c>
      <c r="E962" s="596"/>
      <c r="F962" s="671"/>
      <c r="G962" s="597"/>
      <c r="H962" s="682"/>
      <c r="I962" s="592">
        <v>793.93</v>
      </c>
      <c r="J962" s="592">
        <f t="shared" si="943"/>
        <v>793.93</v>
      </c>
      <c r="K962" s="593">
        <f t="shared" si="928"/>
        <v>966.29</v>
      </c>
      <c r="L962" s="594" t="s">
        <v>21</v>
      </c>
      <c r="M962" s="92"/>
      <c r="N962" s="92"/>
      <c r="O962" s="93">
        <f t="shared" si="944"/>
        <v>0</v>
      </c>
      <c r="P962" s="93">
        <f t="shared" si="945"/>
        <v>0</v>
      </c>
      <c r="Q962" s="94"/>
      <c r="R962" s="92">
        <f t="shared" si="946"/>
        <v>0</v>
      </c>
      <c r="S962" s="92">
        <f t="shared" si="947"/>
        <v>0</v>
      </c>
      <c r="T962" s="93">
        <f t="shared" si="948"/>
        <v>0</v>
      </c>
      <c r="U962" s="95">
        <f t="shared" si="949"/>
        <v>0</v>
      </c>
      <c r="V962" s="94"/>
      <c r="X962" s="580" t="str">
        <f t="shared" si="950"/>
        <v/>
      </c>
      <c r="Y962" s="580" t="str">
        <f t="shared" si="951"/>
        <v/>
      </c>
      <c r="Z962" s="580" t="str">
        <f t="shared" si="952"/>
        <v/>
      </c>
    </row>
    <row r="963" spans="1:26" ht="38.25" hidden="1" x14ac:dyDescent="0.2">
      <c r="A963" s="97">
        <v>100609</v>
      </c>
      <c r="B963" s="1031">
        <v>100609</v>
      </c>
      <c r="C963" s="978" t="s">
        <v>883</v>
      </c>
      <c r="D963" s="595" t="s">
        <v>1183</v>
      </c>
      <c r="E963" s="596"/>
      <c r="F963" s="671"/>
      <c r="G963" s="597"/>
      <c r="H963" s="682"/>
      <c r="I963" s="592">
        <v>1209.8399999999999</v>
      </c>
      <c r="J963" s="592">
        <f t="shared" si="943"/>
        <v>1209.8399999999999</v>
      </c>
      <c r="K963" s="593">
        <f t="shared" si="928"/>
        <v>1472.5</v>
      </c>
      <c r="L963" s="594" t="s">
        <v>21</v>
      </c>
      <c r="M963" s="92"/>
      <c r="N963" s="92"/>
      <c r="O963" s="93">
        <f t="shared" si="944"/>
        <v>0</v>
      </c>
      <c r="P963" s="93">
        <f t="shared" si="945"/>
        <v>0</v>
      </c>
      <c r="Q963" s="94"/>
      <c r="R963" s="92">
        <f t="shared" si="946"/>
        <v>0</v>
      </c>
      <c r="S963" s="92">
        <f t="shared" si="947"/>
        <v>0</v>
      </c>
      <c r="T963" s="93">
        <f t="shared" si="948"/>
        <v>0</v>
      </c>
      <c r="U963" s="95">
        <f t="shared" si="949"/>
        <v>0</v>
      </c>
      <c r="V963" s="94"/>
      <c r="X963" s="580" t="str">
        <f t="shared" si="950"/>
        <v/>
      </c>
      <c r="Y963" s="580" t="str">
        <f t="shared" si="951"/>
        <v/>
      </c>
      <c r="Z963" s="580" t="str">
        <f t="shared" si="952"/>
        <v/>
      </c>
    </row>
    <row r="964" spans="1:26" ht="38.25" hidden="1" x14ac:dyDescent="0.2">
      <c r="A964" s="1008">
        <v>100610</v>
      </c>
      <c r="B964" s="1010">
        <v>100610</v>
      </c>
      <c r="C964" s="978" t="s">
        <v>883</v>
      </c>
      <c r="D964" s="595" t="s">
        <v>1184</v>
      </c>
      <c r="E964" s="596"/>
      <c r="F964" s="671"/>
      <c r="G964" s="597"/>
      <c r="H964" s="682"/>
      <c r="I964" s="592">
        <v>516.59</v>
      </c>
      <c r="J964" s="592">
        <f t="shared" si="943"/>
        <v>516.59</v>
      </c>
      <c r="K964" s="593">
        <f t="shared" si="928"/>
        <v>628.74</v>
      </c>
      <c r="L964" s="594" t="s">
        <v>21</v>
      </c>
      <c r="M964" s="92"/>
      <c r="N964" s="92"/>
      <c r="O964" s="93">
        <f t="shared" si="944"/>
        <v>0</v>
      </c>
      <c r="P964" s="93">
        <f t="shared" si="945"/>
        <v>0</v>
      </c>
      <c r="Q964" s="94"/>
      <c r="R964" s="92">
        <f t="shared" si="946"/>
        <v>0</v>
      </c>
      <c r="S964" s="92">
        <f t="shared" si="947"/>
        <v>0</v>
      </c>
      <c r="T964" s="93">
        <f t="shared" si="948"/>
        <v>0</v>
      </c>
      <c r="U964" s="95">
        <f t="shared" si="949"/>
        <v>0</v>
      </c>
      <c r="V964" s="94"/>
      <c r="X964" s="580" t="str">
        <f t="shared" si="950"/>
        <v/>
      </c>
      <c r="Y964" s="580" t="str">
        <f t="shared" si="951"/>
        <v/>
      </c>
      <c r="Z964" s="580" t="str">
        <f t="shared" si="952"/>
        <v/>
      </c>
    </row>
    <row r="965" spans="1:26" ht="38.25" hidden="1" x14ac:dyDescent="0.2">
      <c r="A965" s="1008">
        <v>100611</v>
      </c>
      <c r="B965" s="1010">
        <v>100611</v>
      </c>
      <c r="C965" s="978" t="s">
        <v>883</v>
      </c>
      <c r="D965" s="595" t="s">
        <v>1185</v>
      </c>
      <c r="E965" s="596"/>
      <c r="F965" s="671"/>
      <c r="G965" s="597"/>
      <c r="H965" s="682"/>
      <c r="I965" s="592">
        <v>647.64</v>
      </c>
      <c r="J965" s="592">
        <f t="shared" si="943"/>
        <v>647.64</v>
      </c>
      <c r="K965" s="593">
        <f t="shared" si="928"/>
        <v>788.24</v>
      </c>
      <c r="L965" s="594" t="s">
        <v>21</v>
      </c>
      <c r="M965" s="92"/>
      <c r="N965" s="92"/>
      <c r="O965" s="93">
        <f t="shared" si="944"/>
        <v>0</v>
      </c>
      <c r="P965" s="93">
        <f t="shared" si="945"/>
        <v>0</v>
      </c>
      <c r="Q965" s="94"/>
      <c r="R965" s="92">
        <f t="shared" si="946"/>
        <v>0</v>
      </c>
      <c r="S965" s="92">
        <f t="shared" si="947"/>
        <v>0</v>
      </c>
      <c r="T965" s="93">
        <f t="shared" si="948"/>
        <v>0</v>
      </c>
      <c r="U965" s="95">
        <f t="shared" si="949"/>
        <v>0</v>
      </c>
      <c r="V965" s="94"/>
      <c r="X965" s="580" t="str">
        <f t="shared" si="950"/>
        <v/>
      </c>
      <c r="Y965" s="580" t="str">
        <f t="shared" si="951"/>
        <v/>
      </c>
      <c r="Z965" s="580" t="str">
        <f t="shared" si="952"/>
        <v/>
      </c>
    </row>
    <row r="966" spans="1:26" ht="38.25" hidden="1" x14ac:dyDescent="0.2">
      <c r="A966" s="97">
        <v>100612</v>
      </c>
      <c r="B966" s="1031">
        <v>100612</v>
      </c>
      <c r="C966" s="978" t="s">
        <v>883</v>
      </c>
      <c r="D966" s="595" t="s">
        <v>1186</v>
      </c>
      <c r="E966" s="596"/>
      <c r="F966" s="671"/>
      <c r="G966" s="597"/>
      <c r="H966" s="682"/>
      <c r="I966" s="592">
        <v>811.79</v>
      </c>
      <c r="J966" s="592">
        <f t="shared" si="943"/>
        <v>811.79</v>
      </c>
      <c r="K966" s="593">
        <f t="shared" si="928"/>
        <v>988.03</v>
      </c>
      <c r="L966" s="594" t="s">
        <v>21</v>
      </c>
      <c r="M966" s="92"/>
      <c r="N966" s="92"/>
      <c r="O966" s="93">
        <f t="shared" si="944"/>
        <v>0</v>
      </c>
      <c r="P966" s="93">
        <f t="shared" si="945"/>
        <v>0</v>
      </c>
      <c r="Q966" s="94"/>
      <c r="R966" s="92">
        <f t="shared" si="946"/>
        <v>0</v>
      </c>
      <c r="S966" s="92">
        <f t="shared" si="947"/>
        <v>0</v>
      </c>
      <c r="T966" s="93">
        <f t="shared" si="948"/>
        <v>0</v>
      </c>
      <c r="U966" s="95">
        <f t="shared" si="949"/>
        <v>0</v>
      </c>
      <c r="V966" s="94"/>
      <c r="X966" s="580" t="str">
        <f t="shared" si="950"/>
        <v/>
      </c>
      <c r="Y966" s="580" t="str">
        <f t="shared" si="951"/>
        <v/>
      </c>
      <c r="Z966" s="580" t="str">
        <f t="shared" si="952"/>
        <v/>
      </c>
    </row>
    <row r="967" spans="1:26" ht="38.25" hidden="1" x14ac:dyDescent="0.2">
      <c r="A967" s="97">
        <v>100613</v>
      </c>
      <c r="B967" s="1031">
        <v>100613</v>
      </c>
      <c r="C967" s="978" t="s">
        <v>883</v>
      </c>
      <c r="D967" s="595" t="s">
        <v>1187</v>
      </c>
      <c r="E967" s="596"/>
      <c r="F967" s="671"/>
      <c r="G967" s="597"/>
      <c r="H967" s="682"/>
      <c r="I967" s="592">
        <v>1234.67</v>
      </c>
      <c r="J967" s="592">
        <f t="shared" si="943"/>
        <v>1234.67</v>
      </c>
      <c r="K967" s="593">
        <f t="shared" si="928"/>
        <v>1502.72</v>
      </c>
      <c r="L967" s="594" t="s">
        <v>21</v>
      </c>
      <c r="M967" s="92"/>
      <c r="N967" s="92"/>
      <c r="O967" s="93">
        <f t="shared" si="944"/>
        <v>0</v>
      </c>
      <c r="P967" s="93">
        <f t="shared" si="945"/>
        <v>0</v>
      </c>
      <c r="Q967" s="94"/>
      <c r="R967" s="92">
        <f t="shared" si="946"/>
        <v>0</v>
      </c>
      <c r="S967" s="92">
        <f t="shared" si="947"/>
        <v>0</v>
      </c>
      <c r="T967" s="93">
        <f t="shared" si="948"/>
        <v>0</v>
      </c>
      <c r="U967" s="95">
        <f t="shared" si="949"/>
        <v>0</v>
      </c>
      <c r="V967" s="94"/>
      <c r="X967" s="580" t="str">
        <f t="shared" si="950"/>
        <v/>
      </c>
      <c r="Y967" s="580" t="str">
        <f t="shared" si="951"/>
        <v/>
      </c>
      <c r="Z967" s="580" t="str">
        <f t="shared" si="952"/>
        <v/>
      </c>
    </row>
    <row r="968" spans="1:26" ht="38.25" hidden="1" x14ac:dyDescent="0.2">
      <c r="A968" s="97">
        <v>100614</v>
      </c>
      <c r="B968" s="1031">
        <v>100614</v>
      </c>
      <c r="C968" s="978" t="s">
        <v>883</v>
      </c>
      <c r="D968" s="595" t="s">
        <v>1188</v>
      </c>
      <c r="E968" s="596"/>
      <c r="F968" s="671"/>
      <c r="G968" s="597"/>
      <c r="H968" s="682"/>
      <c r="I968" s="592">
        <v>678.75</v>
      </c>
      <c r="J968" s="592">
        <f t="shared" si="943"/>
        <v>678.75</v>
      </c>
      <c r="K968" s="593">
        <f t="shared" si="928"/>
        <v>826.11</v>
      </c>
      <c r="L968" s="594" t="s">
        <v>21</v>
      </c>
      <c r="M968" s="92"/>
      <c r="N968" s="92"/>
      <c r="O968" s="93">
        <f t="shared" si="944"/>
        <v>0</v>
      </c>
      <c r="P968" s="93">
        <f t="shared" si="945"/>
        <v>0</v>
      </c>
      <c r="Q968" s="94"/>
      <c r="R968" s="92">
        <f t="shared" si="946"/>
        <v>0</v>
      </c>
      <c r="S968" s="92">
        <f t="shared" si="947"/>
        <v>0</v>
      </c>
      <c r="T968" s="93">
        <f t="shared" si="948"/>
        <v>0</v>
      </c>
      <c r="U968" s="95">
        <f t="shared" si="949"/>
        <v>0</v>
      </c>
      <c r="V968" s="94"/>
      <c r="X968" s="580" t="str">
        <f t="shared" si="950"/>
        <v/>
      </c>
      <c r="Y968" s="580" t="str">
        <f t="shared" si="951"/>
        <v/>
      </c>
      <c r="Z968" s="580" t="str">
        <f t="shared" si="952"/>
        <v/>
      </c>
    </row>
    <row r="969" spans="1:26" ht="38.25" hidden="1" x14ac:dyDescent="0.2">
      <c r="A969" s="97">
        <v>100615</v>
      </c>
      <c r="B969" s="1031">
        <v>100615</v>
      </c>
      <c r="C969" s="978" t="s">
        <v>883</v>
      </c>
      <c r="D969" s="595" t="s">
        <v>1189</v>
      </c>
      <c r="E969" s="596"/>
      <c r="F969" s="671"/>
      <c r="G969" s="597"/>
      <c r="H969" s="682"/>
      <c r="I969" s="592">
        <v>847.26</v>
      </c>
      <c r="J969" s="592">
        <f t="shared" si="943"/>
        <v>847.26</v>
      </c>
      <c r="K969" s="593">
        <f t="shared" si="928"/>
        <v>1031.2</v>
      </c>
      <c r="L969" s="594" t="s">
        <v>21</v>
      </c>
      <c r="M969" s="92"/>
      <c r="N969" s="92"/>
      <c r="O969" s="93">
        <f t="shared" si="944"/>
        <v>0</v>
      </c>
      <c r="P969" s="93">
        <f t="shared" si="945"/>
        <v>0</v>
      </c>
      <c r="Q969" s="94"/>
      <c r="R969" s="92">
        <f t="shared" si="946"/>
        <v>0</v>
      </c>
      <c r="S969" s="92">
        <f t="shared" si="947"/>
        <v>0</v>
      </c>
      <c r="T969" s="93">
        <f t="shared" si="948"/>
        <v>0</v>
      </c>
      <c r="U969" s="95">
        <f t="shared" si="949"/>
        <v>0</v>
      </c>
      <c r="V969" s="94"/>
      <c r="X969" s="580" t="str">
        <f t="shared" si="950"/>
        <v/>
      </c>
      <c r="Y969" s="580" t="str">
        <f t="shared" si="951"/>
        <v/>
      </c>
      <c r="Z969" s="580" t="str">
        <f t="shared" si="952"/>
        <v/>
      </c>
    </row>
    <row r="970" spans="1:26" ht="38.25" hidden="1" x14ac:dyDescent="0.2">
      <c r="A970" s="97">
        <v>100616</v>
      </c>
      <c r="B970" s="1031">
        <v>100616</v>
      </c>
      <c r="C970" s="978" t="s">
        <v>883</v>
      </c>
      <c r="D970" s="595" t="s">
        <v>1190</v>
      </c>
      <c r="E970" s="596"/>
      <c r="F970" s="671"/>
      <c r="G970" s="597"/>
      <c r="H970" s="682"/>
      <c r="I970" s="592">
        <v>1286.8499999999999</v>
      </c>
      <c r="J970" s="592">
        <f t="shared" si="943"/>
        <v>1286.8499999999999</v>
      </c>
      <c r="K970" s="593">
        <f t="shared" si="928"/>
        <v>1566.23</v>
      </c>
      <c r="L970" s="594" t="s">
        <v>21</v>
      </c>
      <c r="M970" s="92"/>
      <c r="N970" s="92"/>
      <c r="O970" s="93">
        <f t="shared" si="944"/>
        <v>0</v>
      </c>
      <c r="P970" s="93">
        <f t="shared" si="945"/>
        <v>0</v>
      </c>
      <c r="Q970" s="94"/>
      <c r="R970" s="92">
        <f t="shared" si="946"/>
        <v>0</v>
      </c>
      <c r="S970" s="92">
        <f t="shared" si="947"/>
        <v>0</v>
      </c>
      <c r="T970" s="93">
        <f t="shared" si="948"/>
        <v>0</v>
      </c>
      <c r="U970" s="95">
        <f t="shared" si="949"/>
        <v>0</v>
      </c>
      <c r="V970" s="94"/>
      <c r="X970" s="580" t="str">
        <f t="shared" si="950"/>
        <v/>
      </c>
      <c r="Y970" s="580" t="str">
        <f t="shared" si="951"/>
        <v/>
      </c>
      <c r="Z970" s="580" t="str">
        <f t="shared" si="952"/>
        <v/>
      </c>
    </row>
    <row r="971" spans="1:26" ht="38.25" hidden="1" x14ac:dyDescent="0.2">
      <c r="A971" s="97">
        <v>100617</v>
      </c>
      <c r="B971" s="1031">
        <v>100617</v>
      </c>
      <c r="C971" s="978" t="s">
        <v>883</v>
      </c>
      <c r="D971" s="595" t="s">
        <v>1191</v>
      </c>
      <c r="E971" s="596"/>
      <c r="F971" s="671"/>
      <c r="G971" s="597"/>
      <c r="H971" s="682"/>
      <c r="I971" s="592">
        <v>882.62</v>
      </c>
      <c r="J971" s="592">
        <f t="shared" si="943"/>
        <v>882.62</v>
      </c>
      <c r="K971" s="593">
        <f t="shared" si="928"/>
        <v>1074.24</v>
      </c>
      <c r="L971" s="594" t="s">
        <v>21</v>
      </c>
      <c r="M971" s="92"/>
      <c r="N971" s="92"/>
      <c r="O971" s="93">
        <f t="shared" si="944"/>
        <v>0</v>
      </c>
      <c r="P971" s="93">
        <f t="shared" si="945"/>
        <v>0</v>
      </c>
      <c r="Q971" s="94"/>
      <c r="R971" s="92">
        <f t="shared" si="946"/>
        <v>0</v>
      </c>
      <c r="S971" s="92">
        <f t="shared" si="947"/>
        <v>0</v>
      </c>
      <c r="T971" s="93">
        <f t="shared" si="948"/>
        <v>0</v>
      </c>
      <c r="U971" s="95">
        <f t="shared" si="949"/>
        <v>0</v>
      </c>
      <c r="V971" s="94"/>
      <c r="X971" s="580" t="str">
        <f t="shared" si="950"/>
        <v/>
      </c>
      <c r="Y971" s="580" t="str">
        <f t="shared" si="951"/>
        <v/>
      </c>
      <c r="Z971" s="580" t="str">
        <f t="shared" si="952"/>
        <v/>
      </c>
    </row>
    <row r="972" spans="1:26" ht="38.25" hidden="1" x14ac:dyDescent="0.2">
      <c r="A972" s="97">
        <v>100618</v>
      </c>
      <c r="B972" s="1031">
        <v>100618</v>
      </c>
      <c r="C972" s="978" t="s">
        <v>883</v>
      </c>
      <c r="D972" s="595" t="s">
        <v>1192</v>
      </c>
      <c r="E972" s="596"/>
      <c r="F972" s="671"/>
      <c r="G972" s="597"/>
      <c r="H972" s="682"/>
      <c r="I972" s="592">
        <v>1342.07</v>
      </c>
      <c r="J972" s="592">
        <f t="shared" si="943"/>
        <v>1342.07</v>
      </c>
      <c r="K972" s="593">
        <f t="shared" ref="K972:K1035" si="953">IF(ISBLANK(I972),0,ROUND(J972*(1+$F$10)*(1+$F$11*E972),2))</f>
        <v>1633.43</v>
      </c>
      <c r="L972" s="594" t="s">
        <v>21</v>
      </c>
      <c r="M972" s="92"/>
      <c r="N972" s="92"/>
      <c r="O972" s="93">
        <f t="shared" si="944"/>
        <v>0</v>
      </c>
      <c r="P972" s="93">
        <f t="shared" si="945"/>
        <v>0</v>
      </c>
      <c r="Q972" s="94"/>
      <c r="R972" s="92">
        <f t="shared" si="946"/>
        <v>0</v>
      </c>
      <c r="S972" s="92">
        <f t="shared" si="947"/>
        <v>0</v>
      </c>
      <c r="T972" s="93">
        <f t="shared" si="948"/>
        <v>0</v>
      </c>
      <c r="U972" s="95">
        <f t="shared" si="949"/>
        <v>0</v>
      </c>
      <c r="V972" s="94"/>
      <c r="X972" s="580" t="str">
        <f t="shared" si="950"/>
        <v/>
      </c>
      <c r="Y972" s="580" t="str">
        <f t="shared" si="951"/>
        <v/>
      </c>
      <c r="Z972" s="580" t="str">
        <f t="shared" si="952"/>
        <v/>
      </c>
    </row>
    <row r="973" spans="1:26" ht="25.5" hidden="1" x14ac:dyDescent="0.2">
      <c r="A973" s="97">
        <v>97660</v>
      </c>
      <c r="B973" s="1031">
        <v>97660</v>
      </c>
      <c r="C973" s="978" t="s">
        <v>883</v>
      </c>
      <c r="D973" s="595" t="s">
        <v>1193</v>
      </c>
      <c r="E973" s="596"/>
      <c r="F973" s="671"/>
      <c r="G973" s="597"/>
      <c r="H973" s="682"/>
      <c r="I973" s="592">
        <v>0.6</v>
      </c>
      <c r="J973" s="592">
        <f t="shared" si="943"/>
        <v>0.6</v>
      </c>
      <c r="K973" s="593">
        <f t="shared" si="953"/>
        <v>0.73</v>
      </c>
      <c r="L973" s="594" t="s">
        <v>21</v>
      </c>
      <c r="M973" s="92"/>
      <c r="N973" s="92"/>
      <c r="O973" s="93">
        <f t="shared" si="944"/>
        <v>0</v>
      </c>
      <c r="P973" s="93">
        <f t="shared" si="945"/>
        <v>0</v>
      </c>
      <c r="Q973" s="94"/>
      <c r="R973" s="92">
        <f t="shared" si="946"/>
        <v>0</v>
      </c>
      <c r="S973" s="92">
        <f t="shared" si="947"/>
        <v>0</v>
      </c>
      <c r="T973" s="93">
        <f t="shared" si="948"/>
        <v>0</v>
      </c>
      <c r="U973" s="95">
        <f t="shared" si="949"/>
        <v>0</v>
      </c>
      <c r="V973" s="94"/>
      <c r="X973" s="580" t="str">
        <f t="shared" si="950"/>
        <v/>
      </c>
      <c r="Y973" s="580" t="str">
        <f t="shared" si="951"/>
        <v/>
      </c>
      <c r="Z973" s="580" t="str">
        <f t="shared" si="952"/>
        <v/>
      </c>
    </row>
    <row r="974" spans="1:26" ht="25.5" hidden="1" x14ac:dyDescent="0.2">
      <c r="A974" s="97">
        <v>90447</v>
      </c>
      <c r="B974" s="1031">
        <v>90447</v>
      </c>
      <c r="C974" s="978" t="s">
        <v>883</v>
      </c>
      <c r="D974" s="595" t="s">
        <v>1194</v>
      </c>
      <c r="E974" s="596"/>
      <c r="F974" s="671"/>
      <c r="G974" s="597"/>
      <c r="H974" s="682"/>
      <c r="I974" s="592">
        <v>6.15</v>
      </c>
      <c r="J974" s="592">
        <f t="shared" si="943"/>
        <v>6.15</v>
      </c>
      <c r="K974" s="593">
        <f t="shared" si="953"/>
        <v>7.49</v>
      </c>
      <c r="L974" s="594" t="s">
        <v>19</v>
      </c>
      <c r="M974" s="92"/>
      <c r="N974" s="92"/>
      <c r="O974" s="93">
        <f t="shared" si="944"/>
        <v>0</v>
      </c>
      <c r="P974" s="93">
        <f t="shared" si="945"/>
        <v>0</v>
      </c>
      <c r="Q974" s="94"/>
      <c r="R974" s="92">
        <f t="shared" si="946"/>
        <v>0</v>
      </c>
      <c r="S974" s="92">
        <f t="shared" si="947"/>
        <v>0</v>
      </c>
      <c r="T974" s="93">
        <f t="shared" si="948"/>
        <v>0</v>
      </c>
      <c r="U974" s="95">
        <f t="shared" si="949"/>
        <v>0</v>
      </c>
      <c r="V974" s="94"/>
      <c r="X974" s="580" t="str">
        <f t="shared" si="950"/>
        <v/>
      </c>
      <c r="Y974" s="580" t="str">
        <f t="shared" si="951"/>
        <v/>
      </c>
      <c r="Z974" s="580" t="str">
        <f t="shared" si="952"/>
        <v/>
      </c>
    </row>
    <row r="975" spans="1:26" hidden="1" x14ac:dyDescent="0.2">
      <c r="A975" s="97">
        <v>90456</v>
      </c>
      <c r="B975" s="1031">
        <v>90456</v>
      </c>
      <c r="C975" s="978" t="s">
        <v>883</v>
      </c>
      <c r="D975" s="595" t="s">
        <v>1195</v>
      </c>
      <c r="E975" s="596"/>
      <c r="F975" s="671"/>
      <c r="G975" s="597"/>
      <c r="H975" s="682"/>
      <c r="I975" s="592">
        <v>3.98</v>
      </c>
      <c r="J975" s="592">
        <f t="shared" si="943"/>
        <v>3.98</v>
      </c>
      <c r="K975" s="593">
        <f t="shared" si="953"/>
        <v>4.84</v>
      </c>
      <c r="L975" s="594" t="s">
        <v>21</v>
      </c>
      <c r="M975" s="92"/>
      <c r="N975" s="92"/>
      <c r="O975" s="93">
        <f t="shared" si="944"/>
        <v>0</v>
      </c>
      <c r="P975" s="93">
        <f t="shared" si="945"/>
        <v>0</v>
      </c>
      <c r="Q975" s="94"/>
      <c r="R975" s="92">
        <f t="shared" si="946"/>
        <v>0</v>
      </c>
      <c r="S975" s="92">
        <f t="shared" si="947"/>
        <v>0</v>
      </c>
      <c r="T975" s="93">
        <f t="shared" si="948"/>
        <v>0</v>
      </c>
      <c r="U975" s="95">
        <f t="shared" si="949"/>
        <v>0</v>
      </c>
      <c r="V975" s="94"/>
      <c r="X975" s="580" t="str">
        <f t="shared" si="950"/>
        <v/>
      </c>
      <c r="Y975" s="580" t="str">
        <f t="shared" si="951"/>
        <v/>
      </c>
      <c r="Z975" s="580" t="str">
        <f t="shared" si="952"/>
        <v/>
      </c>
    </row>
    <row r="976" spans="1:26" ht="25.5" hidden="1" x14ac:dyDescent="0.2">
      <c r="A976" s="97">
        <v>90457</v>
      </c>
      <c r="B976" s="1031">
        <v>90457</v>
      </c>
      <c r="C976" s="978" t="s">
        <v>883</v>
      </c>
      <c r="D976" s="595" t="s">
        <v>1196</v>
      </c>
      <c r="E976" s="596"/>
      <c r="F976" s="671"/>
      <c r="G976" s="597"/>
      <c r="H976" s="682"/>
      <c r="I976" s="592">
        <v>9.09</v>
      </c>
      <c r="J976" s="592">
        <f t="shared" si="943"/>
        <v>9.09</v>
      </c>
      <c r="K976" s="593">
        <f t="shared" si="953"/>
        <v>11.06</v>
      </c>
      <c r="L976" s="594" t="s">
        <v>21</v>
      </c>
      <c r="M976" s="92"/>
      <c r="N976" s="92"/>
      <c r="O976" s="93">
        <f t="shared" si="944"/>
        <v>0</v>
      </c>
      <c r="P976" s="93">
        <f t="shared" si="945"/>
        <v>0</v>
      </c>
      <c r="Q976" s="94"/>
      <c r="R976" s="92">
        <f t="shared" si="946"/>
        <v>0</v>
      </c>
      <c r="S976" s="92">
        <f t="shared" si="947"/>
        <v>0</v>
      </c>
      <c r="T976" s="93">
        <f t="shared" si="948"/>
        <v>0</v>
      </c>
      <c r="U976" s="95">
        <f t="shared" si="949"/>
        <v>0</v>
      </c>
      <c r="V976" s="94"/>
      <c r="X976" s="580" t="str">
        <f t="shared" si="950"/>
        <v/>
      </c>
      <c r="Y976" s="580" t="str">
        <f t="shared" si="951"/>
        <v/>
      </c>
      <c r="Z976" s="580" t="str">
        <f t="shared" si="952"/>
        <v/>
      </c>
    </row>
    <row r="977" spans="1:26" ht="25.5" hidden="1" x14ac:dyDescent="0.2">
      <c r="A977" s="97">
        <v>90458</v>
      </c>
      <c r="B977" s="1031">
        <v>90458</v>
      </c>
      <c r="C977" s="978" t="s">
        <v>883</v>
      </c>
      <c r="D977" s="595" t="s">
        <v>1197</v>
      </c>
      <c r="E977" s="596"/>
      <c r="F977" s="671"/>
      <c r="G977" s="597"/>
      <c r="H977" s="682"/>
      <c r="I977" s="592">
        <v>25.8</v>
      </c>
      <c r="J977" s="592">
        <f t="shared" si="943"/>
        <v>25.8</v>
      </c>
      <c r="K977" s="593">
        <f t="shared" si="953"/>
        <v>31.4</v>
      </c>
      <c r="L977" s="594" t="s">
        <v>21</v>
      </c>
      <c r="M977" s="92"/>
      <c r="N977" s="92"/>
      <c r="O977" s="93">
        <f t="shared" si="944"/>
        <v>0</v>
      </c>
      <c r="P977" s="93">
        <f t="shared" si="945"/>
        <v>0</v>
      </c>
      <c r="Q977" s="94"/>
      <c r="R977" s="92">
        <f t="shared" si="946"/>
        <v>0</v>
      </c>
      <c r="S977" s="92">
        <f t="shared" si="947"/>
        <v>0</v>
      </c>
      <c r="T977" s="93">
        <f t="shared" si="948"/>
        <v>0</v>
      </c>
      <c r="U977" s="95">
        <f t="shared" si="949"/>
        <v>0</v>
      </c>
      <c r="V977" s="94"/>
      <c r="X977" s="580" t="str">
        <f t="shared" si="950"/>
        <v/>
      </c>
      <c r="Y977" s="580" t="str">
        <f t="shared" si="951"/>
        <v/>
      </c>
      <c r="Z977" s="580" t="str">
        <f t="shared" si="952"/>
        <v/>
      </c>
    </row>
    <row r="978" spans="1:26" ht="25.5" hidden="1" x14ac:dyDescent="0.2">
      <c r="A978" s="97">
        <v>101938</v>
      </c>
      <c r="B978" s="1031">
        <v>101938</v>
      </c>
      <c r="C978" s="978" t="s">
        <v>883</v>
      </c>
      <c r="D978" s="595" t="s">
        <v>1198</v>
      </c>
      <c r="E978" s="596"/>
      <c r="F978" s="671"/>
      <c r="G978" s="597"/>
      <c r="H978" s="682"/>
      <c r="I978" s="592">
        <v>78.09</v>
      </c>
      <c r="J978" s="592">
        <f t="shared" si="943"/>
        <v>78.09</v>
      </c>
      <c r="K978" s="593">
        <f t="shared" si="953"/>
        <v>95.04</v>
      </c>
      <c r="L978" s="594" t="s">
        <v>21</v>
      </c>
      <c r="M978" s="92"/>
      <c r="N978" s="92"/>
      <c r="O978" s="93">
        <f t="shared" si="944"/>
        <v>0</v>
      </c>
      <c r="P978" s="93">
        <f t="shared" si="945"/>
        <v>0</v>
      </c>
      <c r="Q978" s="94"/>
      <c r="R978" s="92">
        <f t="shared" si="946"/>
        <v>0</v>
      </c>
      <c r="S978" s="92">
        <f t="shared" si="947"/>
        <v>0</v>
      </c>
      <c r="T978" s="93">
        <f t="shared" si="948"/>
        <v>0</v>
      </c>
      <c r="U978" s="95">
        <f t="shared" si="949"/>
        <v>0</v>
      </c>
      <c r="V978" s="94"/>
      <c r="X978" s="580" t="str">
        <f t="shared" si="950"/>
        <v/>
      </c>
      <c r="Y978" s="580" t="str">
        <f t="shared" si="951"/>
        <v/>
      </c>
      <c r="Z978" s="580" t="str">
        <f t="shared" si="952"/>
        <v/>
      </c>
    </row>
    <row r="979" spans="1:26" ht="25.5" hidden="1" x14ac:dyDescent="0.2">
      <c r="A979" s="97">
        <v>101489</v>
      </c>
      <c r="B979" s="1031">
        <v>101489</v>
      </c>
      <c r="C979" s="978" t="s">
        <v>883</v>
      </c>
      <c r="D979" s="595" t="s">
        <v>1199</v>
      </c>
      <c r="E979" s="596"/>
      <c r="F979" s="671"/>
      <c r="G979" s="597"/>
      <c r="H979" s="682"/>
      <c r="I979" s="592">
        <v>1077</v>
      </c>
      <c r="J979" s="592">
        <f t="shared" si="943"/>
        <v>1077</v>
      </c>
      <c r="K979" s="593">
        <f t="shared" si="953"/>
        <v>1310.82</v>
      </c>
      <c r="L979" s="594" t="s">
        <v>21</v>
      </c>
      <c r="M979" s="92"/>
      <c r="N979" s="92"/>
      <c r="O979" s="93">
        <f t="shared" si="944"/>
        <v>0</v>
      </c>
      <c r="P979" s="93">
        <f t="shared" si="945"/>
        <v>0</v>
      </c>
      <c r="Q979" s="94"/>
      <c r="R979" s="92">
        <f t="shared" si="946"/>
        <v>0</v>
      </c>
      <c r="S979" s="92">
        <f t="shared" si="947"/>
        <v>0</v>
      </c>
      <c r="T979" s="93">
        <f t="shared" si="948"/>
        <v>0</v>
      </c>
      <c r="U979" s="95">
        <f t="shared" si="949"/>
        <v>0</v>
      </c>
      <c r="V979" s="94"/>
      <c r="X979" s="580" t="str">
        <f t="shared" si="950"/>
        <v/>
      </c>
      <c r="Y979" s="580" t="str">
        <f t="shared" si="951"/>
        <v/>
      </c>
      <c r="Z979" s="580" t="str">
        <f t="shared" si="952"/>
        <v/>
      </c>
    </row>
    <row r="980" spans="1:26" ht="25.5" hidden="1" x14ac:dyDescent="0.2">
      <c r="A980" s="97">
        <v>101490</v>
      </c>
      <c r="B980" s="1031">
        <v>101490</v>
      </c>
      <c r="C980" s="978" t="s">
        <v>883</v>
      </c>
      <c r="D980" s="595" t="s">
        <v>1200</v>
      </c>
      <c r="E980" s="596"/>
      <c r="F980" s="671"/>
      <c r="G980" s="597"/>
      <c r="H980" s="682"/>
      <c r="I980" s="592">
        <v>1154.6600000000001</v>
      </c>
      <c r="J980" s="592">
        <f t="shared" si="943"/>
        <v>1154.6600000000001</v>
      </c>
      <c r="K980" s="593">
        <f t="shared" si="953"/>
        <v>1405.34</v>
      </c>
      <c r="L980" s="594" t="s">
        <v>21</v>
      </c>
      <c r="M980" s="92"/>
      <c r="N980" s="92"/>
      <c r="O980" s="93">
        <f t="shared" si="944"/>
        <v>0</v>
      </c>
      <c r="P980" s="93">
        <f t="shared" si="945"/>
        <v>0</v>
      </c>
      <c r="Q980" s="94"/>
      <c r="R980" s="92">
        <f t="shared" si="946"/>
        <v>0</v>
      </c>
      <c r="S980" s="92">
        <f t="shared" si="947"/>
        <v>0</v>
      </c>
      <c r="T980" s="93">
        <f t="shared" si="948"/>
        <v>0</v>
      </c>
      <c r="U980" s="95">
        <f t="shared" si="949"/>
        <v>0</v>
      </c>
      <c r="V980" s="94"/>
      <c r="X980" s="580" t="str">
        <f t="shared" si="950"/>
        <v/>
      </c>
      <c r="Y980" s="580" t="str">
        <f t="shared" si="951"/>
        <v/>
      </c>
      <c r="Z980" s="580" t="str">
        <f t="shared" si="952"/>
        <v/>
      </c>
    </row>
    <row r="981" spans="1:26" ht="25.5" hidden="1" x14ac:dyDescent="0.2">
      <c r="A981" s="97">
        <v>101491</v>
      </c>
      <c r="B981" s="1031">
        <v>101491</v>
      </c>
      <c r="C981" s="978" t="s">
        <v>883</v>
      </c>
      <c r="D981" s="595" t="s">
        <v>1201</v>
      </c>
      <c r="E981" s="596"/>
      <c r="F981" s="671"/>
      <c r="G981" s="597"/>
      <c r="H981" s="682"/>
      <c r="I981" s="592">
        <v>1179.8499999999999</v>
      </c>
      <c r="J981" s="592">
        <f t="shared" si="943"/>
        <v>1179.8499999999999</v>
      </c>
      <c r="K981" s="593">
        <f t="shared" si="953"/>
        <v>1436</v>
      </c>
      <c r="L981" s="594" t="s">
        <v>21</v>
      </c>
      <c r="M981" s="92"/>
      <c r="N981" s="92"/>
      <c r="O981" s="93">
        <f t="shared" si="944"/>
        <v>0</v>
      </c>
      <c r="P981" s="93">
        <f t="shared" si="945"/>
        <v>0</v>
      </c>
      <c r="Q981" s="94"/>
      <c r="R981" s="92">
        <f t="shared" si="946"/>
        <v>0</v>
      </c>
      <c r="S981" s="92">
        <f t="shared" si="947"/>
        <v>0</v>
      </c>
      <c r="T981" s="93">
        <f t="shared" si="948"/>
        <v>0</v>
      </c>
      <c r="U981" s="95">
        <f t="shared" si="949"/>
        <v>0</v>
      </c>
      <c r="V981" s="94"/>
      <c r="X981" s="580" t="str">
        <f t="shared" si="950"/>
        <v/>
      </c>
      <c r="Y981" s="580" t="str">
        <f t="shared" si="951"/>
        <v/>
      </c>
      <c r="Z981" s="580" t="str">
        <f t="shared" si="952"/>
        <v/>
      </c>
    </row>
    <row r="982" spans="1:26" ht="25.5" hidden="1" x14ac:dyDescent="0.2">
      <c r="A982" s="97">
        <v>101492</v>
      </c>
      <c r="B982" s="1031">
        <v>101492</v>
      </c>
      <c r="C982" s="978" t="s">
        <v>883</v>
      </c>
      <c r="D982" s="595" t="s">
        <v>1202</v>
      </c>
      <c r="E982" s="596"/>
      <c r="F982" s="671"/>
      <c r="G982" s="597"/>
      <c r="H982" s="682"/>
      <c r="I982" s="592">
        <v>1293.6099999999999</v>
      </c>
      <c r="J982" s="592">
        <f t="shared" ref="J982:J1045" si="954">IF(ISBLANK(I982),"",SUM(H982:I982))</f>
        <v>1293.6099999999999</v>
      </c>
      <c r="K982" s="593">
        <f t="shared" si="953"/>
        <v>1574.45</v>
      </c>
      <c r="L982" s="594" t="s">
        <v>21</v>
      </c>
      <c r="M982" s="92"/>
      <c r="N982" s="92"/>
      <c r="O982" s="93">
        <f t="shared" ref="O982:O1045" si="955">IF(ISBLANK(M982),0,ROUND(K982*M982,2))</f>
        <v>0</v>
      </c>
      <c r="P982" s="93">
        <f t="shared" ref="P982:P1045" si="956">IF(ISBLANK(N982),0,ROUND(M982*N982,2))</f>
        <v>0</v>
      </c>
      <c r="Q982" s="94"/>
      <c r="R982" s="92">
        <f t="shared" ref="R982:R1045" si="957">M982</f>
        <v>0</v>
      </c>
      <c r="S982" s="92">
        <f t="shared" ref="S982:S1045" si="958">N982</f>
        <v>0</v>
      </c>
      <c r="T982" s="93">
        <f t="shared" ref="T982:T1045" si="959">IF(ISBLANK(R982),0,ROUND(K982*R982,2))</f>
        <v>0</v>
      </c>
      <c r="U982" s="95">
        <f t="shared" ref="U982:U1045" si="960">IF(ISBLANK(R982),0,ROUND(R982*S982,2))</f>
        <v>0</v>
      </c>
      <c r="V982" s="94"/>
      <c r="X982" s="580" t="str">
        <f t="shared" ref="X982:X1045" si="961">IF(W982="X","x",IF(W982="xx","x",IF(W982="xy","x",IF(W982="y","x",IF(OR(P982&gt;0,U982&gt;0),"x","")))))</f>
        <v/>
      </c>
      <c r="Y982" s="580" t="str">
        <f t="shared" ref="Y982:Y1045" si="962">IF(W982="X","x",IF(W982="y","x",IF(W982="xx","x",IF(U982&gt;0,"x",""))))</f>
        <v/>
      </c>
      <c r="Z982" s="580" t="str">
        <f t="shared" ref="Z982:Z1045" si="963">IF(W982="X","x",IF(U982&gt;0,"x",""))</f>
        <v/>
      </c>
    </row>
    <row r="983" spans="1:26" ht="25.5" hidden="1" x14ac:dyDescent="0.2">
      <c r="A983" s="97">
        <v>101493</v>
      </c>
      <c r="B983" s="1031">
        <v>101493</v>
      </c>
      <c r="C983" s="978" t="s">
        <v>883</v>
      </c>
      <c r="D983" s="595" t="s">
        <v>1203</v>
      </c>
      <c r="E983" s="596"/>
      <c r="F983" s="671"/>
      <c r="G983" s="597"/>
      <c r="H983" s="682"/>
      <c r="I983" s="592">
        <v>1061.6099999999999</v>
      </c>
      <c r="J983" s="592">
        <f t="shared" si="954"/>
        <v>1061.6099999999999</v>
      </c>
      <c r="K983" s="593">
        <f t="shared" si="953"/>
        <v>1292.0899999999999</v>
      </c>
      <c r="L983" s="594" t="s">
        <v>21</v>
      </c>
      <c r="M983" s="92"/>
      <c r="N983" s="92"/>
      <c r="O983" s="93">
        <f t="shared" si="955"/>
        <v>0</v>
      </c>
      <c r="P983" s="93">
        <f t="shared" si="956"/>
        <v>0</v>
      </c>
      <c r="Q983" s="94"/>
      <c r="R983" s="92">
        <f t="shared" si="957"/>
        <v>0</v>
      </c>
      <c r="S983" s="92">
        <f t="shared" si="958"/>
        <v>0</v>
      </c>
      <c r="T983" s="93">
        <f t="shared" si="959"/>
        <v>0</v>
      </c>
      <c r="U983" s="95">
        <f t="shared" si="960"/>
        <v>0</v>
      </c>
      <c r="V983" s="94"/>
      <c r="X983" s="580" t="str">
        <f t="shared" si="961"/>
        <v/>
      </c>
      <c r="Y983" s="580" t="str">
        <f t="shared" si="962"/>
        <v/>
      </c>
      <c r="Z983" s="580" t="str">
        <f t="shared" si="963"/>
        <v/>
      </c>
    </row>
    <row r="984" spans="1:26" ht="25.5" hidden="1" x14ac:dyDescent="0.2">
      <c r="A984" s="97">
        <v>101494</v>
      </c>
      <c r="B984" s="1031">
        <v>101494</v>
      </c>
      <c r="C984" s="978" t="s">
        <v>883</v>
      </c>
      <c r="D984" s="595" t="s">
        <v>1204</v>
      </c>
      <c r="E984" s="596"/>
      <c r="F984" s="671"/>
      <c r="G984" s="597"/>
      <c r="H984" s="682"/>
      <c r="I984" s="592">
        <v>1139.27</v>
      </c>
      <c r="J984" s="592">
        <f t="shared" si="954"/>
        <v>1139.27</v>
      </c>
      <c r="K984" s="593">
        <f t="shared" si="953"/>
        <v>1386.61</v>
      </c>
      <c r="L984" s="594" t="s">
        <v>21</v>
      </c>
      <c r="M984" s="92"/>
      <c r="N984" s="92"/>
      <c r="O984" s="93">
        <f t="shared" si="955"/>
        <v>0</v>
      </c>
      <c r="P984" s="93">
        <f t="shared" si="956"/>
        <v>0</v>
      </c>
      <c r="Q984" s="94"/>
      <c r="R984" s="92">
        <f t="shared" si="957"/>
        <v>0</v>
      </c>
      <c r="S984" s="92">
        <f t="shared" si="958"/>
        <v>0</v>
      </c>
      <c r="T984" s="93">
        <f t="shared" si="959"/>
        <v>0</v>
      </c>
      <c r="U984" s="95">
        <f t="shared" si="960"/>
        <v>0</v>
      </c>
      <c r="V984" s="94"/>
      <c r="X984" s="580" t="str">
        <f t="shared" si="961"/>
        <v/>
      </c>
      <c r="Y984" s="580" t="str">
        <f t="shared" si="962"/>
        <v/>
      </c>
      <c r="Z984" s="580" t="str">
        <f t="shared" si="963"/>
        <v/>
      </c>
    </row>
    <row r="985" spans="1:26" ht="25.5" hidden="1" x14ac:dyDescent="0.2">
      <c r="A985" s="97">
        <v>101495</v>
      </c>
      <c r="B985" s="1031">
        <v>101495</v>
      </c>
      <c r="C985" s="978" t="s">
        <v>883</v>
      </c>
      <c r="D985" s="595" t="s">
        <v>1205</v>
      </c>
      <c r="E985" s="596"/>
      <c r="F985" s="671"/>
      <c r="G985" s="597"/>
      <c r="H985" s="682"/>
      <c r="I985" s="592">
        <v>1164.46</v>
      </c>
      <c r="J985" s="592">
        <f t="shared" si="954"/>
        <v>1164.46</v>
      </c>
      <c r="K985" s="593">
        <f t="shared" si="953"/>
        <v>1417.26</v>
      </c>
      <c r="L985" s="594" t="s">
        <v>21</v>
      </c>
      <c r="M985" s="92"/>
      <c r="N985" s="92"/>
      <c r="O985" s="93">
        <f t="shared" si="955"/>
        <v>0</v>
      </c>
      <c r="P985" s="93">
        <f t="shared" si="956"/>
        <v>0</v>
      </c>
      <c r="Q985" s="94"/>
      <c r="R985" s="92">
        <f t="shared" si="957"/>
        <v>0</v>
      </c>
      <c r="S985" s="92">
        <f t="shared" si="958"/>
        <v>0</v>
      </c>
      <c r="T985" s="93">
        <f t="shared" si="959"/>
        <v>0</v>
      </c>
      <c r="U985" s="95">
        <f t="shared" si="960"/>
        <v>0</v>
      </c>
      <c r="V985" s="94"/>
      <c r="X985" s="580" t="str">
        <f t="shared" si="961"/>
        <v/>
      </c>
      <c r="Y985" s="580" t="str">
        <f t="shared" si="962"/>
        <v/>
      </c>
      <c r="Z985" s="580" t="str">
        <f t="shared" si="963"/>
        <v/>
      </c>
    </row>
    <row r="986" spans="1:26" ht="25.5" hidden="1" x14ac:dyDescent="0.2">
      <c r="A986" s="97">
        <v>101496</v>
      </c>
      <c r="B986" s="1031">
        <v>101496</v>
      </c>
      <c r="C986" s="978" t="s">
        <v>883</v>
      </c>
      <c r="D986" s="595" t="s">
        <v>1206</v>
      </c>
      <c r="E986" s="596"/>
      <c r="F986" s="671"/>
      <c r="G986" s="597"/>
      <c r="H986" s="682"/>
      <c r="I986" s="592">
        <v>1278.22</v>
      </c>
      <c r="J986" s="592">
        <f t="shared" si="954"/>
        <v>1278.22</v>
      </c>
      <c r="K986" s="593">
        <f t="shared" si="953"/>
        <v>1555.72</v>
      </c>
      <c r="L986" s="594" t="s">
        <v>21</v>
      </c>
      <c r="M986" s="92"/>
      <c r="N986" s="92"/>
      <c r="O986" s="93">
        <f t="shared" si="955"/>
        <v>0</v>
      </c>
      <c r="P986" s="93">
        <f t="shared" si="956"/>
        <v>0</v>
      </c>
      <c r="Q986" s="94"/>
      <c r="R986" s="92">
        <f t="shared" si="957"/>
        <v>0</v>
      </c>
      <c r="S986" s="92">
        <f t="shared" si="958"/>
        <v>0</v>
      </c>
      <c r="T986" s="93">
        <f t="shared" si="959"/>
        <v>0</v>
      </c>
      <c r="U986" s="95">
        <f t="shared" si="960"/>
        <v>0</v>
      </c>
      <c r="V986" s="94"/>
      <c r="X986" s="580" t="str">
        <f t="shared" si="961"/>
        <v/>
      </c>
      <c r="Y986" s="580" t="str">
        <f t="shared" si="962"/>
        <v/>
      </c>
      <c r="Z986" s="580" t="str">
        <f t="shared" si="963"/>
        <v/>
      </c>
    </row>
    <row r="987" spans="1:26" ht="25.5" hidden="1" x14ac:dyDescent="0.2">
      <c r="A987" s="97">
        <v>101497</v>
      </c>
      <c r="B987" s="1031">
        <v>101497</v>
      </c>
      <c r="C987" s="978" t="s">
        <v>883</v>
      </c>
      <c r="D987" s="595" t="s">
        <v>1207</v>
      </c>
      <c r="E987" s="596"/>
      <c r="F987" s="671"/>
      <c r="G987" s="597"/>
      <c r="H987" s="682"/>
      <c r="I987" s="592">
        <v>1278.9000000000001</v>
      </c>
      <c r="J987" s="592">
        <f t="shared" si="954"/>
        <v>1278.9000000000001</v>
      </c>
      <c r="K987" s="593">
        <f t="shared" si="953"/>
        <v>1556.55</v>
      </c>
      <c r="L987" s="594" t="s">
        <v>21</v>
      </c>
      <c r="M987" s="92"/>
      <c r="N987" s="92"/>
      <c r="O987" s="93">
        <f t="shared" si="955"/>
        <v>0</v>
      </c>
      <c r="P987" s="93">
        <f t="shared" si="956"/>
        <v>0</v>
      </c>
      <c r="Q987" s="94"/>
      <c r="R987" s="92">
        <f t="shared" si="957"/>
        <v>0</v>
      </c>
      <c r="S987" s="92">
        <f t="shared" si="958"/>
        <v>0</v>
      </c>
      <c r="T987" s="93">
        <f t="shared" si="959"/>
        <v>0</v>
      </c>
      <c r="U987" s="95">
        <f t="shared" si="960"/>
        <v>0</v>
      </c>
      <c r="V987" s="94"/>
      <c r="X987" s="580" t="str">
        <f t="shared" si="961"/>
        <v/>
      </c>
      <c r="Y987" s="580" t="str">
        <f t="shared" si="962"/>
        <v/>
      </c>
      <c r="Z987" s="580" t="str">
        <f t="shared" si="963"/>
        <v/>
      </c>
    </row>
    <row r="988" spans="1:26" ht="25.5" hidden="1" x14ac:dyDescent="0.2">
      <c r="A988" s="97">
        <v>101498</v>
      </c>
      <c r="B988" s="1031">
        <v>101498</v>
      </c>
      <c r="C988" s="978" t="s">
        <v>883</v>
      </c>
      <c r="D988" s="595" t="s">
        <v>1208</v>
      </c>
      <c r="E988" s="596"/>
      <c r="F988" s="671"/>
      <c r="G988" s="597"/>
      <c r="H988" s="682"/>
      <c r="I988" s="592">
        <v>1396.45</v>
      </c>
      <c r="J988" s="592">
        <f t="shared" si="954"/>
        <v>1396.45</v>
      </c>
      <c r="K988" s="593">
        <f t="shared" si="953"/>
        <v>1699.62</v>
      </c>
      <c r="L988" s="594" t="s">
        <v>21</v>
      </c>
      <c r="M988" s="92"/>
      <c r="N988" s="92"/>
      <c r="O988" s="93">
        <f t="shared" si="955"/>
        <v>0</v>
      </c>
      <c r="P988" s="93">
        <f t="shared" si="956"/>
        <v>0</v>
      </c>
      <c r="Q988" s="94"/>
      <c r="R988" s="92">
        <f t="shared" si="957"/>
        <v>0</v>
      </c>
      <c r="S988" s="92">
        <f t="shared" si="958"/>
        <v>0</v>
      </c>
      <c r="T988" s="93">
        <f t="shared" si="959"/>
        <v>0</v>
      </c>
      <c r="U988" s="95">
        <f t="shared" si="960"/>
        <v>0</v>
      </c>
      <c r="V988" s="94"/>
      <c r="X988" s="580" t="str">
        <f t="shared" si="961"/>
        <v/>
      </c>
      <c r="Y988" s="580" t="str">
        <f t="shared" si="962"/>
        <v/>
      </c>
      <c r="Z988" s="580" t="str">
        <f t="shared" si="963"/>
        <v/>
      </c>
    </row>
    <row r="989" spans="1:26" ht="25.5" hidden="1" x14ac:dyDescent="0.2">
      <c r="A989" s="97">
        <v>101499</v>
      </c>
      <c r="B989" s="1031">
        <v>101499</v>
      </c>
      <c r="C989" s="978" t="s">
        <v>883</v>
      </c>
      <c r="D989" s="595" t="s">
        <v>1209</v>
      </c>
      <c r="E989" s="596"/>
      <c r="F989" s="671"/>
      <c r="G989" s="597"/>
      <c r="H989" s="682"/>
      <c r="I989" s="592">
        <v>1434.57</v>
      </c>
      <c r="J989" s="592">
        <f t="shared" si="954"/>
        <v>1434.57</v>
      </c>
      <c r="K989" s="593">
        <f t="shared" si="953"/>
        <v>1746.02</v>
      </c>
      <c r="L989" s="594" t="s">
        <v>21</v>
      </c>
      <c r="M989" s="92"/>
      <c r="N989" s="92"/>
      <c r="O989" s="93">
        <f t="shared" si="955"/>
        <v>0</v>
      </c>
      <c r="P989" s="93">
        <f t="shared" si="956"/>
        <v>0</v>
      </c>
      <c r="Q989" s="94"/>
      <c r="R989" s="92">
        <f t="shared" si="957"/>
        <v>0</v>
      </c>
      <c r="S989" s="92">
        <f t="shared" si="958"/>
        <v>0</v>
      </c>
      <c r="T989" s="93">
        <f t="shared" si="959"/>
        <v>0</v>
      </c>
      <c r="U989" s="95">
        <f t="shared" si="960"/>
        <v>0</v>
      </c>
      <c r="V989" s="94"/>
      <c r="X989" s="580" t="str">
        <f t="shared" si="961"/>
        <v/>
      </c>
      <c r="Y989" s="580" t="str">
        <f t="shared" si="962"/>
        <v/>
      </c>
      <c r="Z989" s="580" t="str">
        <f t="shared" si="963"/>
        <v/>
      </c>
    </row>
    <row r="990" spans="1:26" ht="25.5" hidden="1" x14ac:dyDescent="0.2">
      <c r="A990" s="97">
        <v>101500</v>
      </c>
      <c r="B990" s="1031">
        <v>101500</v>
      </c>
      <c r="C990" s="978" t="s">
        <v>883</v>
      </c>
      <c r="D990" s="595" t="s">
        <v>1210</v>
      </c>
      <c r="E990" s="596"/>
      <c r="F990" s="671"/>
      <c r="G990" s="597"/>
      <c r="H990" s="682"/>
      <c r="I990" s="592">
        <v>1593.31</v>
      </c>
      <c r="J990" s="592">
        <f t="shared" si="954"/>
        <v>1593.31</v>
      </c>
      <c r="K990" s="593">
        <f t="shared" si="953"/>
        <v>1939.22</v>
      </c>
      <c r="L990" s="594" t="s">
        <v>21</v>
      </c>
      <c r="M990" s="92"/>
      <c r="N990" s="92"/>
      <c r="O990" s="93">
        <f t="shared" si="955"/>
        <v>0</v>
      </c>
      <c r="P990" s="93">
        <f t="shared" si="956"/>
        <v>0</v>
      </c>
      <c r="Q990" s="94"/>
      <c r="R990" s="92">
        <f t="shared" si="957"/>
        <v>0</v>
      </c>
      <c r="S990" s="92">
        <f t="shared" si="958"/>
        <v>0</v>
      </c>
      <c r="T990" s="93">
        <f t="shared" si="959"/>
        <v>0</v>
      </c>
      <c r="U990" s="95">
        <f t="shared" si="960"/>
        <v>0</v>
      </c>
      <c r="V990" s="94"/>
      <c r="X990" s="580" t="str">
        <f t="shared" si="961"/>
        <v/>
      </c>
      <c r="Y990" s="580" t="str">
        <f t="shared" si="962"/>
        <v/>
      </c>
      <c r="Z990" s="580" t="str">
        <f t="shared" si="963"/>
        <v/>
      </c>
    </row>
    <row r="991" spans="1:26" ht="25.5" hidden="1" x14ac:dyDescent="0.2">
      <c r="A991" s="97">
        <v>101501</v>
      </c>
      <c r="B991" s="1031">
        <v>101501</v>
      </c>
      <c r="C991" s="978" t="s">
        <v>883</v>
      </c>
      <c r="D991" s="595" t="s">
        <v>1211</v>
      </c>
      <c r="E991" s="596"/>
      <c r="F991" s="671"/>
      <c r="G991" s="597"/>
      <c r="H991" s="682"/>
      <c r="I991" s="592">
        <v>1269.47</v>
      </c>
      <c r="J991" s="592">
        <f t="shared" si="954"/>
        <v>1269.47</v>
      </c>
      <c r="K991" s="593">
        <f t="shared" si="953"/>
        <v>1545.07</v>
      </c>
      <c r="L991" s="594" t="s">
        <v>21</v>
      </c>
      <c r="M991" s="92"/>
      <c r="N991" s="92"/>
      <c r="O991" s="93">
        <f t="shared" si="955"/>
        <v>0</v>
      </c>
      <c r="P991" s="93">
        <f t="shared" si="956"/>
        <v>0</v>
      </c>
      <c r="Q991" s="94"/>
      <c r="R991" s="92">
        <f t="shared" si="957"/>
        <v>0</v>
      </c>
      <c r="S991" s="92">
        <f t="shared" si="958"/>
        <v>0</v>
      </c>
      <c r="T991" s="93">
        <f t="shared" si="959"/>
        <v>0</v>
      </c>
      <c r="U991" s="95">
        <f t="shared" si="960"/>
        <v>0</v>
      </c>
      <c r="V991" s="94"/>
      <c r="X991" s="580" t="str">
        <f t="shared" si="961"/>
        <v/>
      </c>
      <c r="Y991" s="580" t="str">
        <f t="shared" si="962"/>
        <v/>
      </c>
      <c r="Z991" s="580" t="str">
        <f t="shared" si="963"/>
        <v/>
      </c>
    </row>
    <row r="992" spans="1:26" ht="25.5" hidden="1" x14ac:dyDescent="0.2">
      <c r="A992" s="97">
        <v>101502</v>
      </c>
      <c r="B992" s="1031">
        <v>101502</v>
      </c>
      <c r="C992" s="978" t="s">
        <v>883</v>
      </c>
      <c r="D992" s="595" t="s">
        <v>1212</v>
      </c>
      <c r="E992" s="596"/>
      <c r="F992" s="671"/>
      <c r="G992" s="597"/>
      <c r="H992" s="682"/>
      <c r="I992" s="592">
        <v>1387.02</v>
      </c>
      <c r="J992" s="592">
        <f t="shared" si="954"/>
        <v>1387.02</v>
      </c>
      <c r="K992" s="593">
        <f t="shared" si="953"/>
        <v>1688.14</v>
      </c>
      <c r="L992" s="594" t="s">
        <v>21</v>
      </c>
      <c r="M992" s="92"/>
      <c r="N992" s="92"/>
      <c r="O992" s="93">
        <f t="shared" si="955"/>
        <v>0</v>
      </c>
      <c r="P992" s="93">
        <f t="shared" si="956"/>
        <v>0</v>
      </c>
      <c r="Q992" s="94"/>
      <c r="R992" s="92">
        <f t="shared" si="957"/>
        <v>0</v>
      </c>
      <c r="S992" s="92">
        <f t="shared" si="958"/>
        <v>0</v>
      </c>
      <c r="T992" s="93">
        <f t="shared" si="959"/>
        <v>0</v>
      </c>
      <c r="U992" s="95">
        <f t="shared" si="960"/>
        <v>0</v>
      </c>
      <c r="V992" s="94"/>
      <c r="X992" s="580" t="str">
        <f t="shared" si="961"/>
        <v/>
      </c>
      <c r="Y992" s="580" t="str">
        <f t="shared" si="962"/>
        <v/>
      </c>
      <c r="Z992" s="580" t="str">
        <f t="shared" si="963"/>
        <v/>
      </c>
    </row>
    <row r="993" spans="1:26" ht="25.5" hidden="1" x14ac:dyDescent="0.2">
      <c r="A993" s="97">
        <v>101503</v>
      </c>
      <c r="B993" s="1031">
        <v>101503</v>
      </c>
      <c r="C993" s="978" t="s">
        <v>883</v>
      </c>
      <c r="D993" s="595" t="s">
        <v>1213</v>
      </c>
      <c r="E993" s="596"/>
      <c r="F993" s="671"/>
      <c r="G993" s="597"/>
      <c r="H993" s="682"/>
      <c r="I993" s="592">
        <v>1425.14</v>
      </c>
      <c r="J993" s="592">
        <f t="shared" si="954"/>
        <v>1425.14</v>
      </c>
      <c r="K993" s="593">
        <f t="shared" si="953"/>
        <v>1734.54</v>
      </c>
      <c r="L993" s="594" t="s">
        <v>21</v>
      </c>
      <c r="M993" s="92"/>
      <c r="N993" s="92"/>
      <c r="O993" s="93">
        <f t="shared" si="955"/>
        <v>0</v>
      </c>
      <c r="P993" s="93">
        <f t="shared" si="956"/>
        <v>0</v>
      </c>
      <c r="Q993" s="94"/>
      <c r="R993" s="92">
        <f t="shared" si="957"/>
        <v>0</v>
      </c>
      <c r="S993" s="92">
        <f t="shared" si="958"/>
        <v>0</v>
      </c>
      <c r="T993" s="93">
        <f t="shared" si="959"/>
        <v>0</v>
      </c>
      <c r="U993" s="95">
        <f t="shared" si="960"/>
        <v>0</v>
      </c>
      <c r="V993" s="94"/>
      <c r="X993" s="580" t="str">
        <f t="shared" si="961"/>
        <v/>
      </c>
      <c r="Y993" s="580" t="str">
        <f t="shared" si="962"/>
        <v/>
      </c>
      <c r="Z993" s="580" t="str">
        <f t="shared" si="963"/>
        <v/>
      </c>
    </row>
    <row r="994" spans="1:26" ht="25.5" hidden="1" x14ac:dyDescent="0.2">
      <c r="A994" s="97">
        <v>101504</v>
      </c>
      <c r="B994" s="1031">
        <v>101504</v>
      </c>
      <c r="C994" s="978" t="s">
        <v>883</v>
      </c>
      <c r="D994" s="595" t="s">
        <v>1214</v>
      </c>
      <c r="E994" s="596"/>
      <c r="F994" s="671"/>
      <c r="G994" s="597"/>
      <c r="H994" s="682"/>
      <c r="I994" s="592">
        <v>1583.88</v>
      </c>
      <c r="J994" s="592">
        <f t="shared" si="954"/>
        <v>1583.88</v>
      </c>
      <c r="K994" s="593">
        <f t="shared" si="953"/>
        <v>1927.74</v>
      </c>
      <c r="L994" s="594" t="s">
        <v>21</v>
      </c>
      <c r="M994" s="92"/>
      <c r="N994" s="92"/>
      <c r="O994" s="93">
        <f t="shared" si="955"/>
        <v>0</v>
      </c>
      <c r="P994" s="93">
        <f t="shared" si="956"/>
        <v>0</v>
      </c>
      <c r="Q994" s="94"/>
      <c r="R994" s="92">
        <f t="shared" si="957"/>
        <v>0</v>
      </c>
      <c r="S994" s="92">
        <f t="shared" si="958"/>
        <v>0</v>
      </c>
      <c r="T994" s="93">
        <f t="shared" si="959"/>
        <v>0</v>
      </c>
      <c r="U994" s="95">
        <f t="shared" si="960"/>
        <v>0</v>
      </c>
      <c r="V994" s="94"/>
      <c r="X994" s="580" t="str">
        <f t="shared" si="961"/>
        <v/>
      </c>
      <c r="Y994" s="580" t="str">
        <f t="shared" si="962"/>
        <v/>
      </c>
      <c r="Z994" s="580" t="str">
        <f t="shared" si="963"/>
        <v/>
      </c>
    </row>
    <row r="995" spans="1:26" ht="25.5" hidden="1" x14ac:dyDescent="0.2">
      <c r="A995" s="97">
        <v>101505</v>
      </c>
      <c r="B995" s="1031">
        <v>101505</v>
      </c>
      <c r="C995" s="978" t="s">
        <v>883</v>
      </c>
      <c r="D995" s="595" t="s">
        <v>1215</v>
      </c>
      <c r="E995" s="596"/>
      <c r="F995" s="671"/>
      <c r="G995" s="597"/>
      <c r="H995" s="682"/>
      <c r="I995" s="592">
        <v>1376.8</v>
      </c>
      <c r="J995" s="592">
        <f t="shared" si="954"/>
        <v>1376.8</v>
      </c>
      <c r="K995" s="593">
        <f t="shared" si="953"/>
        <v>1675.7</v>
      </c>
      <c r="L995" s="594" t="s">
        <v>21</v>
      </c>
      <c r="M995" s="92"/>
      <c r="N995" s="92"/>
      <c r="O995" s="93">
        <f t="shared" si="955"/>
        <v>0</v>
      </c>
      <c r="P995" s="93">
        <f t="shared" si="956"/>
        <v>0</v>
      </c>
      <c r="Q995" s="94"/>
      <c r="R995" s="92">
        <f t="shared" si="957"/>
        <v>0</v>
      </c>
      <c r="S995" s="92">
        <f t="shared" si="958"/>
        <v>0</v>
      </c>
      <c r="T995" s="93">
        <f t="shared" si="959"/>
        <v>0</v>
      </c>
      <c r="U995" s="95">
        <f t="shared" si="960"/>
        <v>0</v>
      </c>
      <c r="V995" s="94"/>
      <c r="X995" s="580" t="str">
        <f t="shared" si="961"/>
        <v/>
      </c>
      <c r="Y995" s="580" t="str">
        <f t="shared" si="962"/>
        <v/>
      </c>
      <c r="Z995" s="580" t="str">
        <f t="shared" si="963"/>
        <v/>
      </c>
    </row>
    <row r="996" spans="1:26" ht="25.5" hidden="1" x14ac:dyDescent="0.2">
      <c r="A996" s="97">
        <v>101506</v>
      </c>
      <c r="B996" s="1031">
        <v>101506</v>
      </c>
      <c r="C996" s="978" t="s">
        <v>883</v>
      </c>
      <c r="D996" s="595" t="s">
        <v>1216</v>
      </c>
      <c r="E996" s="596"/>
      <c r="F996" s="671"/>
      <c r="G996" s="597"/>
      <c r="H996" s="682"/>
      <c r="I996" s="592">
        <v>1533.53</v>
      </c>
      <c r="J996" s="592">
        <f t="shared" si="954"/>
        <v>1533.53</v>
      </c>
      <c r="K996" s="593">
        <f t="shared" si="953"/>
        <v>1866.46</v>
      </c>
      <c r="L996" s="594" t="s">
        <v>21</v>
      </c>
      <c r="M996" s="92"/>
      <c r="N996" s="92"/>
      <c r="O996" s="93">
        <f t="shared" si="955"/>
        <v>0</v>
      </c>
      <c r="P996" s="93">
        <f t="shared" si="956"/>
        <v>0</v>
      </c>
      <c r="Q996" s="94"/>
      <c r="R996" s="92">
        <f t="shared" si="957"/>
        <v>0</v>
      </c>
      <c r="S996" s="92">
        <f t="shared" si="958"/>
        <v>0</v>
      </c>
      <c r="T996" s="93">
        <f t="shared" si="959"/>
        <v>0</v>
      </c>
      <c r="U996" s="95">
        <f t="shared" si="960"/>
        <v>0</v>
      </c>
      <c r="V996" s="94"/>
      <c r="X996" s="580" t="str">
        <f t="shared" si="961"/>
        <v/>
      </c>
      <c r="Y996" s="580" t="str">
        <f t="shared" si="962"/>
        <v/>
      </c>
      <c r="Z996" s="580" t="str">
        <f t="shared" si="963"/>
        <v/>
      </c>
    </row>
    <row r="997" spans="1:26" ht="25.5" hidden="1" x14ac:dyDescent="0.2">
      <c r="A997" s="97">
        <v>101507</v>
      </c>
      <c r="B997" s="1031">
        <v>101507</v>
      </c>
      <c r="C997" s="978" t="s">
        <v>883</v>
      </c>
      <c r="D997" s="595" t="s">
        <v>1217</v>
      </c>
      <c r="E997" s="596"/>
      <c r="F997" s="671"/>
      <c r="G997" s="597"/>
      <c r="H997" s="682"/>
      <c r="I997" s="592">
        <v>1584.37</v>
      </c>
      <c r="J997" s="592">
        <f t="shared" si="954"/>
        <v>1584.37</v>
      </c>
      <c r="K997" s="593">
        <f t="shared" si="953"/>
        <v>1928.34</v>
      </c>
      <c r="L997" s="594" t="s">
        <v>21</v>
      </c>
      <c r="M997" s="92"/>
      <c r="N997" s="92"/>
      <c r="O997" s="93">
        <f t="shared" si="955"/>
        <v>0</v>
      </c>
      <c r="P997" s="93">
        <f t="shared" si="956"/>
        <v>0</v>
      </c>
      <c r="Q997" s="94"/>
      <c r="R997" s="92">
        <f t="shared" si="957"/>
        <v>0</v>
      </c>
      <c r="S997" s="92">
        <f t="shared" si="958"/>
        <v>0</v>
      </c>
      <c r="T997" s="93">
        <f t="shared" si="959"/>
        <v>0</v>
      </c>
      <c r="U997" s="95">
        <f t="shared" si="960"/>
        <v>0</v>
      </c>
      <c r="V997" s="94"/>
      <c r="X997" s="580" t="str">
        <f t="shared" si="961"/>
        <v/>
      </c>
      <c r="Y997" s="580" t="str">
        <f t="shared" si="962"/>
        <v/>
      </c>
      <c r="Z997" s="580" t="str">
        <f t="shared" si="963"/>
        <v/>
      </c>
    </row>
    <row r="998" spans="1:26" ht="25.5" hidden="1" x14ac:dyDescent="0.2">
      <c r="A998" s="97">
        <v>101508</v>
      </c>
      <c r="B998" s="1031">
        <v>101508</v>
      </c>
      <c r="C998" s="978" t="s">
        <v>883</v>
      </c>
      <c r="D998" s="595" t="s">
        <v>1218</v>
      </c>
      <c r="E998" s="596"/>
      <c r="F998" s="671"/>
      <c r="G998" s="597"/>
      <c r="H998" s="682"/>
      <c r="I998" s="592">
        <v>1787.28</v>
      </c>
      <c r="J998" s="592">
        <f t="shared" si="954"/>
        <v>1787.28</v>
      </c>
      <c r="K998" s="593">
        <f t="shared" si="953"/>
        <v>2175.3000000000002</v>
      </c>
      <c r="L998" s="594" t="s">
        <v>21</v>
      </c>
      <c r="M998" s="92"/>
      <c r="N998" s="92"/>
      <c r="O998" s="93">
        <f t="shared" si="955"/>
        <v>0</v>
      </c>
      <c r="P998" s="93">
        <f t="shared" si="956"/>
        <v>0</v>
      </c>
      <c r="Q998" s="94"/>
      <c r="R998" s="92">
        <f t="shared" si="957"/>
        <v>0</v>
      </c>
      <c r="S998" s="92">
        <f t="shared" si="958"/>
        <v>0</v>
      </c>
      <c r="T998" s="93">
        <f t="shared" si="959"/>
        <v>0</v>
      </c>
      <c r="U998" s="95">
        <f t="shared" si="960"/>
        <v>0</v>
      </c>
      <c r="V998" s="94"/>
      <c r="X998" s="580" t="str">
        <f t="shared" si="961"/>
        <v/>
      </c>
      <c r="Y998" s="580" t="str">
        <f t="shared" si="962"/>
        <v/>
      </c>
      <c r="Z998" s="580" t="str">
        <f t="shared" si="963"/>
        <v/>
      </c>
    </row>
    <row r="999" spans="1:26" ht="25.5" hidden="1" x14ac:dyDescent="0.2">
      <c r="A999" s="97">
        <v>101509</v>
      </c>
      <c r="B999" s="1031">
        <v>101509</v>
      </c>
      <c r="C999" s="978" t="s">
        <v>883</v>
      </c>
      <c r="D999" s="595" t="s">
        <v>1219</v>
      </c>
      <c r="E999" s="596"/>
      <c r="F999" s="671"/>
      <c r="G999" s="597"/>
      <c r="H999" s="682"/>
      <c r="I999" s="592">
        <v>1545.12</v>
      </c>
      <c r="J999" s="592">
        <f t="shared" si="954"/>
        <v>1545.12</v>
      </c>
      <c r="K999" s="593">
        <f t="shared" si="953"/>
        <v>1880.57</v>
      </c>
      <c r="L999" s="594" t="s">
        <v>21</v>
      </c>
      <c r="M999" s="92"/>
      <c r="N999" s="92"/>
      <c r="O999" s="93">
        <f t="shared" si="955"/>
        <v>0</v>
      </c>
      <c r="P999" s="93">
        <f t="shared" si="956"/>
        <v>0</v>
      </c>
      <c r="Q999" s="94"/>
      <c r="R999" s="92">
        <f t="shared" si="957"/>
        <v>0</v>
      </c>
      <c r="S999" s="92">
        <f t="shared" si="958"/>
        <v>0</v>
      </c>
      <c r="T999" s="93">
        <f t="shared" si="959"/>
        <v>0</v>
      </c>
      <c r="U999" s="95">
        <f t="shared" si="960"/>
        <v>0</v>
      </c>
      <c r="V999" s="94"/>
      <c r="X999" s="580" t="str">
        <f t="shared" si="961"/>
        <v/>
      </c>
      <c r="Y999" s="580" t="str">
        <f t="shared" si="962"/>
        <v/>
      </c>
      <c r="Z999" s="580" t="str">
        <f t="shared" si="963"/>
        <v/>
      </c>
    </row>
    <row r="1000" spans="1:26" ht="25.5" hidden="1" x14ac:dyDescent="0.2">
      <c r="A1000" s="97">
        <v>101510</v>
      </c>
      <c r="B1000" s="1031">
        <v>101510</v>
      </c>
      <c r="C1000" s="978" t="s">
        <v>883</v>
      </c>
      <c r="D1000" s="595" t="s">
        <v>1220</v>
      </c>
      <c r="E1000" s="596"/>
      <c r="F1000" s="671"/>
      <c r="G1000" s="597"/>
      <c r="H1000" s="682"/>
      <c r="I1000" s="592">
        <v>1701.85</v>
      </c>
      <c r="J1000" s="592">
        <f t="shared" si="954"/>
        <v>1701.85</v>
      </c>
      <c r="K1000" s="593">
        <f t="shared" si="953"/>
        <v>2071.3200000000002</v>
      </c>
      <c r="L1000" s="594" t="s">
        <v>21</v>
      </c>
      <c r="M1000" s="92"/>
      <c r="N1000" s="92"/>
      <c r="O1000" s="93">
        <f t="shared" si="955"/>
        <v>0</v>
      </c>
      <c r="P1000" s="93">
        <f t="shared" si="956"/>
        <v>0</v>
      </c>
      <c r="Q1000" s="94"/>
      <c r="R1000" s="92">
        <f t="shared" si="957"/>
        <v>0</v>
      </c>
      <c r="S1000" s="92">
        <f t="shared" si="958"/>
        <v>0</v>
      </c>
      <c r="T1000" s="93">
        <f t="shared" si="959"/>
        <v>0</v>
      </c>
      <c r="U1000" s="95">
        <f t="shared" si="960"/>
        <v>0</v>
      </c>
      <c r="V1000" s="94"/>
      <c r="X1000" s="580" t="str">
        <f t="shared" si="961"/>
        <v/>
      </c>
      <c r="Y1000" s="580" t="str">
        <f t="shared" si="962"/>
        <v/>
      </c>
      <c r="Z1000" s="580" t="str">
        <f t="shared" si="963"/>
        <v/>
      </c>
    </row>
    <row r="1001" spans="1:26" ht="25.5" hidden="1" x14ac:dyDescent="0.2">
      <c r="A1001" s="97">
        <v>101511</v>
      </c>
      <c r="B1001" s="1031">
        <v>101511</v>
      </c>
      <c r="C1001" s="978" t="s">
        <v>883</v>
      </c>
      <c r="D1001" s="595" t="s">
        <v>1221</v>
      </c>
      <c r="E1001" s="596"/>
      <c r="F1001" s="671"/>
      <c r="G1001" s="597"/>
      <c r="H1001" s="682"/>
      <c r="I1001" s="592">
        <v>1752.69</v>
      </c>
      <c r="J1001" s="592">
        <f t="shared" si="954"/>
        <v>1752.69</v>
      </c>
      <c r="K1001" s="593">
        <f t="shared" si="953"/>
        <v>2133.1999999999998</v>
      </c>
      <c r="L1001" s="594" t="s">
        <v>21</v>
      </c>
      <c r="M1001" s="92"/>
      <c r="N1001" s="92"/>
      <c r="O1001" s="93">
        <f t="shared" si="955"/>
        <v>0</v>
      </c>
      <c r="P1001" s="93">
        <f t="shared" si="956"/>
        <v>0</v>
      </c>
      <c r="Q1001" s="94"/>
      <c r="R1001" s="92">
        <f t="shared" si="957"/>
        <v>0</v>
      </c>
      <c r="S1001" s="92">
        <f t="shared" si="958"/>
        <v>0</v>
      </c>
      <c r="T1001" s="93">
        <f t="shared" si="959"/>
        <v>0</v>
      </c>
      <c r="U1001" s="95">
        <f t="shared" si="960"/>
        <v>0</v>
      </c>
      <c r="V1001" s="94"/>
      <c r="X1001" s="580" t="str">
        <f t="shared" si="961"/>
        <v/>
      </c>
      <c r="Y1001" s="580" t="str">
        <f t="shared" si="962"/>
        <v/>
      </c>
      <c r="Z1001" s="580" t="str">
        <f t="shared" si="963"/>
        <v/>
      </c>
    </row>
    <row r="1002" spans="1:26" ht="25.5" hidden="1" x14ac:dyDescent="0.2">
      <c r="A1002" s="97">
        <v>101512</v>
      </c>
      <c r="B1002" s="1031">
        <v>101512</v>
      </c>
      <c r="C1002" s="978" t="s">
        <v>883</v>
      </c>
      <c r="D1002" s="595" t="s">
        <v>1222</v>
      </c>
      <c r="E1002" s="596"/>
      <c r="F1002" s="671"/>
      <c r="G1002" s="597"/>
      <c r="H1002" s="682"/>
      <c r="I1002" s="592">
        <v>1955.6</v>
      </c>
      <c r="J1002" s="592">
        <f t="shared" si="954"/>
        <v>1955.6</v>
      </c>
      <c r="K1002" s="593">
        <f t="shared" si="953"/>
        <v>2380.16</v>
      </c>
      <c r="L1002" s="594" t="s">
        <v>21</v>
      </c>
      <c r="M1002" s="92"/>
      <c r="N1002" s="92"/>
      <c r="O1002" s="93">
        <f t="shared" si="955"/>
        <v>0</v>
      </c>
      <c r="P1002" s="93">
        <f t="shared" si="956"/>
        <v>0</v>
      </c>
      <c r="Q1002" s="94"/>
      <c r="R1002" s="92">
        <f t="shared" si="957"/>
        <v>0</v>
      </c>
      <c r="S1002" s="92">
        <f t="shared" si="958"/>
        <v>0</v>
      </c>
      <c r="T1002" s="93">
        <f t="shared" si="959"/>
        <v>0</v>
      </c>
      <c r="U1002" s="95">
        <f t="shared" si="960"/>
        <v>0</v>
      </c>
      <c r="V1002" s="94"/>
      <c r="X1002" s="580" t="str">
        <f t="shared" si="961"/>
        <v/>
      </c>
      <c r="Y1002" s="580" t="str">
        <f t="shared" si="962"/>
        <v/>
      </c>
      <c r="Z1002" s="580" t="str">
        <f t="shared" si="963"/>
        <v/>
      </c>
    </row>
    <row r="1003" spans="1:26" ht="38.25" hidden="1" x14ac:dyDescent="0.2">
      <c r="A1003" s="97">
        <v>101513</v>
      </c>
      <c r="B1003" s="1031">
        <v>101513</v>
      </c>
      <c r="C1003" s="978" t="s">
        <v>883</v>
      </c>
      <c r="D1003" s="595" t="s">
        <v>1223</v>
      </c>
      <c r="E1003" s="596"/>
      <c r="F1003" s="671"/>
      <c r="G1003" s="597"/>
      <c r="H1003" s="682"/>
      <c r="I1003" s="592">
        <v>599.65</v>
      </c>
      <c r="J1003" s="592">
        <f t="shared" si="954"/>
        <v>599.65</v>
      </c>
      <c r="K1003" s="593">
        <f t="shared" si="953"/>
        <v>729.83</v>
      </c>
      <c r="L1003" s="594" t="s">
        <v>21</v>
      </c>
      <c r="M1003" s="92"/>
      <c r="N1003" s="92"/>
      <c r="O1003" s="93">
        <f t="shared" si="955"/>
        <v>0</v>
      </c>
      <c r="P1003" s="93">
        <f t="shared" si="956"/>
        <v>0</v>
      </c>
      <c r="Q1003" s="94"/>
      <c r="R1003" s="92">
        <f t="shared" si="957"/>
        <v>0</v>
      </c>
      <c r="S1003" s="92">
        <f t="shared" si="958"/>
        <v>0</v>
      </c>
      <c r="T1003" s="93">
        <f t="shared" si="959"/>
        <v>0</v>
      </c>
      <c r="U1003" s="95">
        <f t="shared" si="960"/>
        <v>0</v>
      </c>
      <c r="V1003" s="94"/>
      <c r="X1003" s="580" t="str">
        <f t="shared" si="961"/>
        <v/>
      </c>
      <c r="Y1003" s="580" t="str">
        <f t="shared" si="962"/>
        <v/>
      </c>
      <c r="Z1003" s="580" t="str">
        <f t="shared" si="963"/>
        <v/>
      </c>
    </row>
    <row r="1004" spans="1:26" ht="38.25" hidden="1" x14ac:dyDescent="0.2">
      <c r="A1004" s="97">
        <v>101514</v>
      </c>
      <c r="B1004" s="1031">
        <v>101514</v>
      </c>
      <c r="C1004" s="978" t="s">
        <v>883</v>
      </c>
      <c r="D1004" s="595" t="s">
        <v>1224</v>
      </c>
      <c r="E1004" s="596"/>
      <c r="F1004" s="671"/>
      <c r="G1004" s="597"/>
      <c r="H1004" s="682"/>
      <c r="I1004" s="592">
        <v>692.84</v>
      </c>
      <c r="J1004" s="592">
        <f t="shared" si="954"/>
        <v>692.84</v>
      </c>
      <c r="K1004" s="593">
        <f t="shared" si="953"/>
        <v>843.26</v>
      </c>
      <c r="L1004" s="594" t="s">
        <v>21</v>
      </c>
      <c r="M1004" s="92"/>
      <c r="N1004" s="92"/>
      <c r="O1004" s="93">
        <f t="shared" si="955"/>
        <v>0</v>
      </c>
      <c r="P1004" s="93">
        <f t="shared" si="956"/>
        <v>0</v>
      </c>
      <c r="Q1004" s="94"/>
      <c r="R1004" s="92">
        <f t="shared" si="957"/>
        <v>0</v>
      </c>
      <c r="S1004" s="92">
        <f t="shared" si="958"/>
        <v>0</v>
      </c>
      <c r="T1004" s="93">
        <f t="shared" si="959"/>
        <v>0</v>
      </c>
      <c r="U1004" s="95">
        <f t="shared" si="960"/>
        <v>0</v>
      </c>
      <c r="V1004" s="94"/>
      <c r="X1004" s="580" t="str">
        <f t="shared" si="961"/>
        <v/>
      </c>
      <c r="Y1004" s="580" t="str">
        <f t="shared" si="962"/>
        <v/>
      </c>
      <c r="Z1004" s="580" t="str">
        <f t="shared" si="963"/>
        <v/>
      </c>
    </row>
    <row r="1005" spans="1:26" ht="38.25" hidden="1" x14ac:dyDescent="0.2">
      <c r="A1005" s="97">
        <v>101515</v>
      </c>
      <c r="B1005" s="1031">
        <v>101515</v>
      </c>
      <c r="C1005" s="978" t="s">
        <v>883</v>
      </c>
      <c r="D1005" s="595" t="s">
        <v>1225</v>
      </c>
      <c r="E1005" s="596"/>
      <c r="F1005" s="671"/>
      <c r="G1005" s="597"/>
      <c r="H1005" s="682"/>
      <c r="I1005" s="592">
        <v>723.07</v>
      </c>
      <c r="J1005" s="592">
        <f t="shared" si="954"/>
        <v>723.07</v>
      </c>
      <c r="K1005" s="593">
        <f t="shared" si="953"/>
        <v>880.05</v>
      </c>
      <c r="L1005" s="594" t="s">
        <v>21</v>
      </c>
      <c r="M1005" s="92"/>
      <c r="N1005" s="92"/>
      <c r="O1005" s="93">
        <f t="shared" si="955"/>
        <v>0</v>
      </c>
      <c r="P1005" s="93">
        <f t="shared" si="956"/>
        <v>0</v>
      </c>
      <c r="Q1005" s="94"/>
      <c r="R1005" s="92">
        <f t="shared" si="957"/>
        <v>0</v>
      </c>
      <c r="S1005" s="92">
        <f t="shared" si="958"/>
        <v>0</v>
      </c>
      <c r="T1005" s="93">
        <f t="shared" si="959"/>
        <v>0</v>
      </c>
      <c r="U1005" s="95">
        <f t="shared" si="960"/>
        <v>0</v>
      </c>
      <c r="V1005" s="94"/>
      <c r="X1005" s="580" t="str">
        <f t="shared" si="961"/>
        <v/>
      </c>
      <c r="Y1005" s="580" t="str">
        <f t="shared" si="962"/>
        <v/>
      </c>
      <c r="Z1005" s="580" t="str">
        <f t="shared" si="963"/>
        <v/>
      </c>
    </row>
    <row r="1006" spans="1:26" ht="38.25" hidden="1" x14ac:dyDescent="0.2">
      <c r="A1006" s="97">
        <v>101516</v>
      </c>
      <c r="B1006" s="1031">
        <v>101516</v>
      </c>
      <c r="C1006" s="978" t="s">
        <v>883</v>
      </c>
      <c r="D1006" s="595" t="s">
        <v>1226</v>
      </c>
      <c r="E1006" s="596"/>
      <c r="F1006" s="671"/>
      <c r="G1006" s="597"/>
      <c r="H1006" s="682"/>
      <c r="I1006" s="592">
        <v>828.14</v>
      </c>
      <c r="J1006" s="592">
        <f t="shared" si="954"/>
        <v>828.14</v>
      </c>
      <c r="K1006" s="593">
        <f t="shared" si="953"/>
        <v>1007.93</v>
      </c>
      <c r="L1006" s="594" t="s">
        <v>21</v>
      </c>
      <c r="M1006" s="92"/>
      <c r="N1006" s="92"/>
      <c r="O1006" s="93">
        <f t="shared" si="955"/>
        <v>0</v>
      </c>
      <c r="P1006" s="93">
        <f t="shared" si="956"/>
        <v>0</v>
      </c>
      <c r="Q1006" s="94"/>
      <c r="R1006" s="92">
        <f t="shared" si="957"/>
        <v>0</v>
      </c>
      <c r="S1006" s="92">
        <f t="shared" si="958"/>
        <v>0</v>
      </c>
      <c r="T1006" s="93">
        <f t="shared" si="959"/>
        <v>0</v>
      </c>
      <c r="U1006" s="95">
        <f t="shared" si="960"/>
        <v>0</v>
      </c>
      <c r="V1006" s="94"/>
      <c r="X1006" s="580" t="str">
        <f t="shared" si="961"/>
        <v/>
      </c>
      <c r="Y1006" s="580" t="str">
        <f t="shared" si="962"/>
        <v/>
      </c>
      <c r="Z1006" s="580" t="str">
        <f t="shared" si="963"/>
        <v/>
      </c>
    </row>
    <row r="1007" spans="1:26" ht="38.25" hidden="1" x14ac:dyDescent="0.2">
      <c r="A1007" s="97">
        <v>101517</v>
      </c>
      <c r="B1007" s="1031">
        <v>101517</v>
      </c>
      <c r="C1007" s="978" t="s">
        <v>883</v>
      </c>
      <c r="D1007" s="595" t="s">
        <v>1227</v>
      </c>
      <c r="E1007" s="596"/>
      <c r="F1007" s="671"/>
      <c r="G1007" s="597"/>
      <c r="H1007" s="682"/>
      <c r="I1007" s="592">
        <v>584.26</v>
      </c>
      <c r="J1007" s="592">
        <f t="shared" si="954"/>
        <v>584.26</v>
      </c>
      <c r="K1007" s="593">
        <f t="shared" si="953"/>
        <v>711.1</v>
      </c>
      <c r="L1007" s="594" t="s">
        <v>21</v>
      </c>
      <c r="M1007" s="92"/>
      <c r="N1007" s="92"/>
      <c r="O1007" s="93">
        <f t="shared" si="955"/>
        <v>0</v>
      </c>
      <c r="P1007" s="93">
        <f t="shared" si="956"/>
        <v>0</v>
      </c>
      <c r="Q1007" s="94"/>
      <c r="R1007" s="92">
        <f t="shared" si="957"/>
        <v>0</v>
      </c>
      <c r="S1007" s="92">
        <f t="shared" si="958"/>
        <v>0</v>
      </c>
      <c r="T1007" s="93">
        <f t="shared" si="959"/>
        <v>0</v>
      </c>
      <c r="U1007" s="95">
        <f t="shared" si="960"/>
        <v>0</v>
      </c>
      <c r="V1007" s="94"/>
      <c r="X1007" s="580" t="str">
        <f t="shared" si="961"/>
        <v/>
      </c>
      <c r="Y1007" s="580" t="str">
        <f t="shared" si="962"/>
        <v/>
      </c>
      <c r="Z1007" s="580" t="str">
        <f t="shared" si="963"/>
        <v/>
      </c>
    </row>
    <row r="1008" spans="1:26" ht="38.25" hidden="1" x14ac:dyDescent="0.2">
      <c r="A1008" s="97">
        <v>101518</v>
      </c>
      <c r="B1008" s="1031">
        <v>101518</v>
      </c>
      <c r="C1008" s="978" t="s">
        <v>883</v>
      </c>
      <c r="D1008" s="595" t="s">
        <v>1228</v>
      </c>
      <c r="E1008" s="596"/>
      <c r="F1008" s="671"/>
      <c r="G1008" s="597"/>
      <c r="H1008" s="682"/>
      <c r="I1008" s="592">
        <v>677.45</v>
      </c>
      <c r="J1008" s="592">
        <f t="shared" si="954"/>
        <v>677.45</v>
      </c>
      <c r="K1008" s="593">
        <f t="shared" si="953"/>
        <v>824.52</v>
      </c>
      <c r="L1008" s="594" t="s">
        <v>21</v>
      </c>
      <c r="M1008" s="92"/>
      <c r="N1008" s="92"/>
      <c r="O1008" s="93">
        <f t="shared" si="955"/>
        <v>0</v>
      </c>
      <c r="P1008" s="93">
        <f t="shared" si="956"/>
        <v>0</v>
      </c>
      <c r="Q1008" s="94"/>
      <c r="R1008" s="92">
        <f t="shared" si="957"/>
        <v>0</v>
      </c>
      <c r="S1008" s="92">
        <f t="shared" si="958"/>
        <v>0</v>
      </c>
      <c r="T1008" s="93">
        <f t="shared" si="959"/>
        <v>0</v>
      </c>
      <c r="U1008" s="95">
        <f t="shared" si="960"/>
        <v>0</v>
      </c>
      <c r="V1008" s="94"/>
      <c r="X1008" s="580" t="str">
        <f t="shared" si="961"/>
        <v/>
      </c>
      <c r="Y1008" s="580" t="str">
        <f t="shared" si="962"/>
        <v/>
      </c>
      <c r="Z1008" s="580" t="str">
        <f t="shared" si="963"/>
        <v/>
      </c>
    </row>
    <row r="1009" spans="1:26" ht="38.25" hidden="1" x14ac:dyDescent="0.2">
      <c r="A1009" s="97">
        <v>101519</v>
      </c>
      <c r="B1009" s="1031">
        <v>101519</v>
      </c>
      <c r="C1009" s="978" t="s">
        <v>883</v>
      </c>
      <c r="D1009" s="595" t="s">
        <v>1229</v>
      </c>
      <c r="E1009" s="596"/>
      <c r="F1009" s="671"/>
      <c r="G1009" s="597"/>
      <c r="H1009" s="682"/>
      <c r="I1009" s="592">
        <v>707.68</v>
      </c>
      <c r="J1009" s="592">
        <f t="shared" si="954"/>
        <v>707.68</v>
      </c>
      <c r="K1009" s="593">
        <f t="shared" si="953"/>
        <v>861.32</v>
      </c>
      <c r="L1009" s="594" t="s">
        <v>21</v>
      </c>
      <c r="M1009" s="92"/>
      <c r="N1009" s="92"/>
      <c r="O1009" s="93">
        <f t="shared" si="955"/>
        <v>0</v>
      </c>
      <c r="P1009" s="93">
        <f t="shared" si="956"/>
        <v>0</v>
      </c>
      <c r="Q1009" s="94"/>
      <c r="R1009" s="92">
        <f t="shared" si="957"/>
        <v>0</v>
      </c>
      <c r="S1009" s="92">
        <f t="shared" si="958"/>
        <v>0</v>
      </c>
      <c r="T1009" s="93">
        <f t="shared" si="959"/>
        <v>0</v>
      </c>
      <c r="U1009" s="95">
        <f t="shared" si="960"/>
        <v>0</v>
      </c>
      <c r="V1009" s="94"/>
      <c r="X1009" s="580" t="str">
        <f t="shared" si="961"/>
        <v/>
      </c>
      <c r="Y1009" s="580" t="str">
        <f t="shared" si="962"/>
        <v/>
      </c>
      <c r="Z1009" s="580" t="str">
        <f t="shared" si="963"/>
        <v/>
      </c>
    </row>
    <row r="1010" spans="1:26" ht="38.25" hidden="1" x14ac:dyDescent="0.2">
      <c r="A1010" s="97">
        <v>101520</v>
      </c>
      <c r="B1010" s="1031">
        <v>101520</v>
      </c>
      <c r="C1010" s="978" t="s">
        <v>883</v>
      </c>
      <c r="D1010" s="595" t="s">
        <v>1230</v>
      </c>
      <c r="E1010" s="596"/>
      <c r="F1010" s="671"/>
      <c r="G1010" s="597"/>
      <c r="H1010" s="682"/>
      <c r="I1010" s="592">
        <v>812.75</v>
      </c>
      <c r="J1010" s="592">
        <f t="shared" si="954"/>
        <v>812.75</v>
      </c>
      <c r="K1010" s="593">
        <f t="shared" si="953"/>
        <v>989.2</v>
      </c>
      <c r="L1010" s="594" t="s">
        <v>21</v>
      </c>
      <c r="M1010" s="92"/>
      <c r="N1010" s="92"/>
      <c r="O1010" s="93">
        <f t="shared" si="955"/>
        <v>0</v>
      </c>
      <c r="P1010" s="93">
        <f t="shared" si="956"/>
        <v>0</v>
      </c>
      <c r="Q1010" s="94"/>
      <c r="R1010" s="92">
        <f t="shared" si="957"/>
        <v>0</v>
      </c>
      <c r="S1010" s="92">
        <f t="shared" si="958"/>
        <v>0</v>
      </c>
      <c r="T1010" s="93">
        <f t="shared" si="959"/>
        <v>0</v>
      </c>
      <c r="U1010" s="95">
        <f t="shared" si="960"/>
        <v>0</v>
      </c>
      <c r="V1010" s="94"/>
      <c r="X1010" s="580" t="str">
        <f t="shared" si="961"/>
        <v/>
      </c>
      <c r="Y1010" s="580" t="str">
        <f t="shared" si="962"/>
        <v/>
      </c>
      <c r="Z1010" s="580" t="str">
        <f t="shared" si="963"/>
        <v/>
      </c>
    </row>
    <row r="1011" spans="1:26" ht="38.25" hidden="1" x14ac:dyDescent="0.2">
      <c r="A1011" s="97">
        <v>101521</v>
      </c>
      <c r="B1011" s="1031">
        <v>101521</v>
      </c>
      <c r="C1011" s="978" t="s">
        <v>883</v>
      </c>
      <c r="D1011" s="595" t="s">
        <v>1231</v>
      </c>
      <c r="E1011" s="596"/>
      <c r="F1011" s="671"/>
      <c r="G1011" s="597"/>
      <c r="H1011" s="682"/>
      <c r="I1011" s="592">
        <v>814.38</v>
      </c>
      <c r="J1011" s="592">
        <f t="shared" si="954"/>
        <v>814.38</v>
      </c>
      <c r="K1011" s="593">
        <f t="shared" si="953"/>
        <v>991.18</v>
      </c>
      <c r="L1011" s="594" t="s">
        <v>21</v>
      </c>
      <c r="M1011" s="92"/>
      <c r="N1011" s="92"/>
      <c r="O1011" s="93">
        <f t="shared" si="955"/>
        <v>0</v>
      </c>
      <c r="P1011" s="93">
        <f t="shared" si="956"/>
        <v>0</v>
      </c>
      <c r="Q1011" s="94"/>
      <c r="R1011" s="92">
        <f t="shared" si="957"/>
        <v>0</v>
      </c>
      <c r="S1011" s="92">
        <f t="shared" si="958"/>
        <v>0</v>
      </c>
      <c r="T1011" s="93">
        <f t="shared" si="959"/>
        <v>0</v>
      </c>
      <c r="U1011" s="95">
        <f t="shared" si="960"/>
        <v>0</v>
      </c>
      <c r="V1011" s="94"/>
      <c r="X1011" s="580" t="str">
        <f t="shared" si="961"/>
        <v/>
      </c>
      <c r="Y1011" s="580" t="str">
        <f t="shared" si="962"/>
        <v/>
      </c>
      <c r="Z1011" s="580" t="str">
        <f t="shared" si="963"/>
        <v/>
      </c>
    </row>
    <row r="1012" spans="1:26" ht="38.25" hidden="1" x14ac:dyDescent="0.2">
      <c r="A1012" s="97">
        <v>101522</v>
      </c>
      <c r="B1012" s="1031">
        <v>101522</v>
      </c>
      <c r="C1012" s="978" t="s">
        <v>883</v>
      </c>
      <c r="D1012" s="595" t="s">
        <v>1232</v>
      </c>
      <c r="E1012" s="596"/>
      <c r="F1012" s="671"/>
      <c r="G1012" s="597"/>
      <c r="H1012" s="682"/>
      <c r="I1012" s="592">
        <v>954.17</v>
      </c>
      <c r="J1012" s="592">
        <f t="shared" si="954"/>
        <v>954.17</v>
      </c>
      <c r="K1012" s="593">
        <f t="shared" si="953"/>
        <v>1161.32</v>
      </c>
      <c r="L1012" s="594" t="s">
        <v>21</v>
      </c>
      <c r="M1012" s="92"/>
      <c r="N1012" s="92"/>
      <c r="O1012" s="93">
        <f t="shared" si="955"/>
        <v>0</v>
      </c>
      <c r="P1012" s="93">
        <f t="shared" si="956"/>
        <v>0</v>
      </c>
      <c r="Q1012" s="94"/>
      <c r="R1012" s="92">
        <f t="shared" si="957"/>
        <v>0</v>
      </c>
      <c r="S1012" s="92">
        <f t="shared" si="958"/>
        <v>0</v>
      </c>
      <c r="T1012" s="93">
        <f t="shared" si="959"/>
        <v>0</v>
      </c>
      <c r="U1012" s="95">
        <f t="shared" si="960"/>
        <v>0</v>
      </c>
      <c r="V1012" s="94"/>
      <c r="X1012" s="580" t="str">
        <f t="shared" si="961"/>
        <v/>
      </c>
      <c r="Y1012" s="580" t="str">
        <f t="shared" si="962"/>
        <v/>
      </c>
      <c r="Z1012" s="580" t="str">
        <f t="shared" si="963"/>
        <v/>
      </c>
    </row>
    <row r="1013" spans="1:26" ht="38.25" hidden="1" x14ac:dyDescent="0.2">
      <c r="A1013" s="97">
        <v>101523</v>
      </c>
      <c r="B1013" s="1031">
        <v>101523</v>
      </c>
      <c r="C1013" s="978" t="s">
        <v>883</v>
      </c>
      <c r="D1013" s="595" t="s">
        <v>1233</v>
      </c>
      <c r="E1013" s="596"/>
      <c r="F1013" s="671"/>
      <c r="G1013" s="597"/>
      <c r="H1013" s="682"/>
      <c r="I1013" s="592">
        <v>999.51</v>
      </c>
      <c r="J1013" s="592">
        <f t="shared" si="954"/>
        <v>999.51</v>
      </c>
      <c r="K1013" s="593">
        <f t="shared" si="953"/>
        <v>1216.5</v>
      </c>
      <c r="L1013" s="594" t="s">
        <v>21</v>
      </c>
      <c r="M1013" s="92"/>
      <c r="N1013" s="92"/>
      <c r="O1013" s="93">
        <f t="shared" si="955"/>
        <v>0</v>
      </c>
      <c r="P1013" s="93">
        <f t="shared" si="956"/>
        <v>0</v>
      </c>
      <c r="Q1013" s="94"/>
      <c r="R1013" s="92">
        <f t="shared" si="957"/>
        <v>0</v>
      </c>
      <c r="S1013" s="92">
        <f t="shared" si="958"/>
        <v>0</v>
      </c>
      <c r="T1013" s="93">
        <f t="shared" si="959"/>
        <v>0</v>
      </c>
      <c r="U1013" s="95">
        <f t="shared" si="960"/>
        <v>0</v>
      </c>
      <c r="V1013" s="94"/>
      <c r="X1013" s="580" t="str">
        <f t="shared" si="961"/>
        <v/>
      </c>
      <c r="Y1013" s="580" t="str">
        <f t="shared" si="962"/>
        <v/>
      </c>
      <c r="Z1013" s="580" t="str">
        <f t="shared" si="963"/>
        <v/>
      </c>
    </row>
    <row r="1014" spans="1:26" ht="38.25" hidden="1" x14ac:dyDescent="0.2">
      <c r="A1014" s="97">
        <v>101524</v>
      </c>
      <c r="B1014" s="1031">
        <v>101524</v>
      </c>
      <c r="C1014" s="978" t="s">
        <v>883</v>
      </c>
      <c r="D1014" s="595" t="s">
        <v>1234</v>
      </c>
      <c r="E1014" s="596"/>
      <c r="F1014" s="671"/>
      <c r="G1014" s="597"/>
      <c r="H1014" s="682"/>
      <c r="I1014" s="592">
        <v>1157.1199999999999</v>
      </c>
      <c r="J1014" s="592">
        <f t="shared" si="954"/>
        <v>1157.1199999999999</v>
      </c>
      <c r="K1014" s="593">
        <f t="shared" si="953"/>
        <v>1408.33</v>
      </c>
      <c r="L1014" s="594" t="s">
        <v>21</v>
      </c>
      <c r="M1014" s="92"/>
      <c r="N1014" s="92"/>
      <c r="O1014" s="93">
        <f t="shared" si="955"/>
        <v>0</v>
      </c>
      <c r="P1014" s="93">
        <f t="shared" si="956"/>
        <v>0</v>
      </c>
      <c r="Q1014" s="94"/>
      <c r="R1014" s="92">
        <f t="shared" si="957"/>
        <v>0</v>
      </c>
      <c r="S1014" s="92">
        <f t="shared" si="958"/>
        <v>0</v>
      </c>
      <c r="T1014" s="93">
        <f t="shared" si="959"/>
        <v>0</v>
      </c>
      <c r="U1014" s="95">
        <f t="shared" si="960"/>
        <v>0</v>
      </c>
      <c r="V1014" s="94"/>
      <c r="X1014" s="580" t="str">
        <f t="shared" si="961"/>
        <v/>
      </c>
      <c r="Y1014" s="580" t="str">
        <f t="shared" si="962"/>
        <v/>
      </c>
      <c r="Z1014" s="580" t="str">
        <f t="shared" si="963"/>
        <v/>
      </c>
    </row>
    <row r="1015" spans="1:26" ht="38.25" hidden="1" x14ac:dyDescent="0.2">
      <c r="A1015" s="97">
        <v>101525</v>
      </c>
      <c r="B1015" s="1031">
        <v>101525</v>
      </c>
      <c r="C1015" s="978" t="s">
        <v>883</v>
      </c>
      <c r="D1015" s="595" t="s">
        <v>1235</v>
      </c>
      <c r="E1015" s="596"/>
      <c r="F1015" s="671"/>
      <c r="G1015" s="597"/>
      <c r="H1015" s="682"/>
      <c r="I1015" s="592">
        <v>804.94</v>
      </c>
      <c r="J1015" s="592">
        <f t="shared" si="954"/>
        <v>804.94</v>
      </c>
      <c r="K1015" s="593">
        <f t="shared" si="953"/>
        <v>979.69</v>
      </c>
      <c r="L1015" s="594" t="s">
        <v>21</v>
      </c>
      <c r="M1015" s="92"/>
      <c r="N1015" s="92"/>
      <c r="O1015" s="93">
        <f t="shared" si="955"/>
        <v>0</v>
      </c>
      <c r="P1015" s="93">
        <f t="shared" si="956"/>
        <v>0</v>
      </c>
      <c r="Q1015" s="94"/>
      <c r="R1015" s="92">
        <f t="shared" si="957"/>
        <v>0</v>
      </c>
      <c r="S1015" s="92">
        <f t="shared" si="958"/>
        <v>0</v>
      </c>
      <c r="T1015" s="93">
        <f t="shared" si="959"/>
        <v>0</v>
      </c>
      <c r="U1015" s="95">
        <f t="shared" si="960"/>
        <v>0</v>
      </c>
      <c r="V1015" s="94"/>
      <c r="X1015" s="580" t="str">
        <f t="shared" si="961"/>
        <v/>
      </c>
      <c r="Y1015" s="580" t="str">
        <f t="shared" si="962"/>
        <v/>
      </c>
      <c r="Z1015" s="580" t="str">
        <f t="shared" si="963"/>
        <v/>
      </c>
    </row>
    <row r="1016" spans="1:26" ht="38.25" hidden="1" x14ac:dyDescent="0.2">
      <c r="A1016" s="97">
        <v>101526</v>
      </c>
      <c r="B1016" s="1031">
        <v>101526</v>
      </c>
      <c r="C1016" s="978" t="s">
        <v>883</v>
      </c>
      <c r="D1016" s="595" t="s">
        <v>1236</v>
      </c>
      <c r="E1016" s="596"/>
      <c r="F1016" s="671"/>
      <c r="G1016" s="597"/>
      <c r="H1016" s="682"/>
      <c r="I1016" s="592">
        <v>944.73</v>
      </c>
      <c r="J1016" s="592">
        <f t="shared" si="954"/>
        <v>944.73</v>
      </c>
      <c r="K1016" s="593">
        <f t="shared" si="953"/>
        <v>1149.83</v>
      </c>
      <c r="L1016" s="594" t="s">
        <v>21</v>
      </c>
      <c r="M1016" s="92"/>
      <c r="N1016" s="92"/>
      <c r="O1016" s="93">
        <f t="shared" si="955"/>
        <v>0</v>
      </c>
      <c r="P1016" s="93">
        <f t="shared" si="956"/>
        <v>0</v>
      </c>
      <c r="Q1016" s="94"/>
      <c r="R1016" s="92">
        <f t="shared" si="957"/>
        <v>0</v>
      </c>
      <c r="S1016" s="92">
        <f t="shared" si="958"/>
        <v>0</v>
      </c>
      <c r="T1016" s="93">
        <f t="shared" si="959"/>
        <v>0</v>
      </c>
      <c r="U1016" s="95">
        <f t="shared" si="960"/>
        <v>0</v>
      </c>
      <c r="V1016" s="94"/>
      <c r="X1016" s="580" t="str">
        <f t="shared" si="961"/>
        <v/>
      </c>
      <c r="Y1016" s="580" t="str">
        <f t="shared" si="962"/>
        <v/>
      </c>
      <c r="Z1016" s="580" t="str">
        <f t="shared" si="963"/>
        <v/>
      </c>
    </row>
    <row r="1017" spans="1:26" ht="38.25" hidden="1" x14ac:dyDescent="0.2">
      <c r="A1017" s="97">
        <v>101527</v>
      </c>
      <c r="B1017" s="1031">
        <v>101527</v>
      </c>
      <c r="C1017" s="978" t="s">
        <v>883</v>
      </c>
      <c r="D1017" s="595" t="s">
        <v>1237</v>
      </c>
      <c r="E1017" s="596"/>
      <c r="F1017" s="671"/>
      <c r="G1017" s="597"/>
      <c r="H1017" s="682"/>
      <c r="I1017" s="592">
        <v>990.07</v>
      </c>
      <c r="J1017" s="592">
        <f t="shared" si="954"/>
        <v>990.07</v>
      </c>
      <c r="K1017" s="593">
        <f t="shared" si="953"/>
        <v>1205.01</v>
      </c>
      <c r="L1017" s="594" t="s">
        <v>21</v>
      </c>
      <c r="M1017" s="92"/>
      <c r="N1017" s="92"/>
      <c r="O1017" s="93">
        <f t="shared" si="955"/>
        <v>0</v>
      </c>
      <c r="P1017" s="93">
        <f t="shared" si="956"/>
        <v>0</v>
      </c>
      <c r="Q1017" s="94"/>
      <c r="R1017" s="92">
        <f t="shared" si="957"/>
        <v>0</v>
      </c>
      <c r="S1017" s="92">
        <f t="shared" si="958"/>
        <v>0</v>
      </c>
      <c r="T1017" s="93">
        <f t="shared" si="959"/>
        <v>0</v>
      </c>
      <c r="U1017" s="95">
        <f t="shared" si="960"/>
        <v>0</v>
      </c>
      <c r="V1017" s="94"/>
      <c r="X1017" s="580" t="str">
        <f t="shared" si="961"/>
        <v/>
      </c>
      <c r="Y1017" s="580" t="str">
        <f t="shared" si="962"/>
        <v/>
      </c>
      <c r="Z1017" s="580" t="str">
        <f t="shared" si="963"/>
        <v/>
      </c>
    </row>
    <row r="1018" spans="1:26" ht="38.25" hidden="1" x14ac:dyDescent="0.2">
      <c r="A1018" s="97">
        <v>101528</v>
      </c>
      <c r="B1018" s="1031">
        <v>101528</v>
      </c>
      <c r="C1018" s="978" t="s">
        <v>883</v>
      </c>
      <c r="D1018" s="595" t="s">
        <v>1238</v>
      </c>
      <c r="E1018" s="596"/>
      <c r="F1018" s="671"/>
      <c r="G1018" s="597"/>
      <c r="H1018" s="682"/>
      <c r="I1018" s="592">
        <v>1147.68</v>
      </c>
      <c r="J1018" s="592">
        <f t="shared" si="954"/>
        <v>1147.68</v>
      </c>
      <c r="K1018" s="593">
        <f t="shared" si="953"/>
        <v>1396.84</v>
      </c>
      <c r="L1018" s="594" t="s">
        <v>21</v>
      </c>
      <c r="M1018" s="92"/>
      <c r="N1018" s="92"/>
      <c r="O1018" s="93">
        <f t="shared" si="955"/>
        <v>0</v>
      </c>
      <c r="P1018" s="93">
        <f t="shared" si="956"/>
        <v>0</v>
      </c>
      <c r="Q1018" s="94"/>
      <c r="R1018" s="92">
        <f t="shared" si="957"/>
        <v>0</v>
      </c>
      <c r="S1018" s="92">
        <f t="shared" si="958"/>
        <v>0</v>
      </c>
      <c r="T1018" s="93">
        <f t="shared" si="959"/>
        <v>0</v>
      </c>
      <c r="U1018" s="95">
        <f t="shared" si="960"/>
        <v>0</v>
      </c>
      <c r="V1018" s="94"/>
      <c r="X1018" s="580" t="str">
        <f t="shared" si="961"/>
        <v/>
      </c>
      <c r="Y1018" s="580" t="str">
        <f t="shared" si="962"/>
        <v/>
      </c>
      <c r="Z1018" s="580" t="str">
        <f t="shared" si="963"/>
        <v/>
      </c>
    </row>
    <row r="1019" spans="1:26" ht="38.25" hidden="1" x14ac:dyDescent="0.2">
      <c r="A1019" s="97">
        <v>101529</v>
      </c>
      <c r="B1019" s="1031">
        <v>101529</v>
      </c>
      <c r="C1019" s="978" t="s">
        <v>883</v>
      </c>
      <c r="D1019" s="595" t="s">
        <v>1239</v>
      </c>
      <c r="E1019" s="596"/>
      <c r="F1019" s="671"/>
      <c r="G1019" s="597"/>
      <c r="H1019" s="682"/>
      <c r="I1019" s="592">
        <v>926.47</v>
      </c>
      <c r="J1019" s="592">
        <f t="shared" si="954"/>
        <v>926.47</v>
      </c>
      <c r="K1019" s="593">
        <f t="shared" si="953"/>
        <v>1127.6099999999999</v>
      </c>
      <c r="L1019" s="594" t="s">
        <v>21</v>
      </c>
      <c r="M1019" s="92"/>
      <c r="N1019" s="92"/>
      <c r="O1019" s="93">
        <f t="shared" si="955"/>
        <v>0</v>
      </c>
      <c r="P1019" s="93">
        <f t="shared" si="956"/>
        <v>0</v>
      </c>
      <c r="Q1019" s="94"/>
      <c r="R1019" s="92">
        <f t="shared" si="957"/>
        <v>0</v>
      </c>
      <c r="S1019" s="92">
        <f t="shared" si="958"/>
        <v>0</v>
      </c>
      <c r="T1019" s="93">
        <f t="shared" si="959"/>
        <v>0</v>
      </c>
      <c r="U1019" s="95">
        <f t="shared" si="960"/>
        <v>0</v>
      </c>
      <c r="V1019" s="94"/>
      <c r="X1019" s="580" t="str">
        <f t="shared" si="961"/>
        <v/>
      </c>
      <c r="Y1019" s="580" t="str">
        <f t="shared" si="962"/>
        <v/>
      </c>
      <c r="Z1019" s="580" t="str">
        <f t="shared" si="963"/>
        <v/>
      </c>
    </row>
    <row r="1020" spans="1:26" ht="38.25" hidden="1" x14ac:dyDescent="0.2">
      <c r="A1020" s="97">
        <v>101530</v>
      </c>
      <c r="B1020" s="1031">
        <v>101530</v>
      </c>
      <c r="C1020" s="978" t="s">
        <v>883</v>
      </c>
      <c r="D1020" s="595" t="s">
        <v>1240</v>
      </c>
      <c r="E1020" s="596"/>
      <c r="F1020" s="671"/>
      <c r="G1020" s="597"/>
      <c r="H1020" s="682"/>
      <c r="I1020" s="592">
        <v>1112.8499999999999</v>
      </c>
      <c r="J1020" s="592">
        <f t="shared" si="954"/>
        <v>1112.8499999999999</v>
      </c>
      <c r="K1020" s="593">
        <f t="shared" si="953"/>
        <v>1354.45</v>
      </c>
      <c r="L1020" s="594" t="s">
        <v>21</v>
      </c>
      <c r="M1020" s="92"/>
      <c r="N1020" s="92"/>
      <c r="O1020" s="93">
        <f t="shared" si="955"/>
        <v>0</v>
      </c>
      <c r="P1020" s="93">
        <f t="shared" si="956"/>
        <v>0</v>
      </c>
      <c r="Q1020" s="94"/>
      <c r="R1020" s="92">
        <f t="shared" si="957"/>
        <v>0</v>
      </c>
      <c r="S1020" s="92">
        <f t="shared" si="958"/>
        <v>0</v>
      </c>
      <c r="T1020" s="93">
        <f t="shared" si="959"/>
        <v>0</v>
      </c>
      <c r="U1020" s="95">
        <f t="shared" si="960"/>
        <v>0</v>
      </c>
      <c r="V1020" s="94"/>
      <c r="X1020" s="580" t="str">
        <f t="shared" si="961"/>
        <v/>
      </c>
      <c r="Y1020" s="580" t="str">
        <f t="shared" si="962"/>
        <v/>
      </c>
      <c r="Z1020" s="580" t="str">
        <f t="shared" si="963"/>
        <v/>
      </c>
    </row>
    <row r="1021" spans="1:26" ht="38.25" hidden="1" x14ac:dyDescent="0.2">
      <c r="A1021" s="97">
        <v>101531</v>
      </c>
      <c r="B1021" s="1031">
        <v>101531</v>
      </c>
      <c r="C1021" s="978" t="s">
        <v>883</v>
      </c>
      <c r="D1021" s="595" t="s">
        <v>1241</v>
      </c>
      <c r="E1021" s="596"/>
      <c r="F1021" s="671"/>
      <c r="G1021" s="597"/>
      <c r="H1021" s="682"/>
      <c r="I1021" s="592">
        <v>1173.31</v>
      </c>
      <c r="J1021" s="592">
        <f t="shared" si="954"/>
        <v>1173.31</v>
      </c>
      <c r="K1021" s="593">
        <f t="shared" si="953"/>
        <v>1428.04</v>
      </c>
      <c r="L1021" s="594" t="s">
        <v>21</v>
      </c>
      <c r="M1021" s="92"/>
      <c r="N1021" s="92"/>
      <c r="O1021" s="93">
        <f t="shared" si="955"/>
        <v>0</v>
      </c>
      <c r="P1021" s="93">
        <f t="shared" si="956"/>
        <v>0</v>
      </c>
      <c r="Q1021" s="94"/>
      <c r="R1021" s="92">
        <f t="shared" si="957"/>
        <v>0</v>
      </c>
      <c r="S1021" s="92">
        <f t="shared" si="958"/>
        <v>0</v>
      </c>
      <c r="T1021" s="93">
        <f t="shared" si="959"/>
        <v>0</v>
      </c>
      <c r="U1021" s="95">
        <f t="shared" si="960"/>
        <v>0</v>
      </c>
      <c r="V1021" s="94"/>
      <c r="X1021" s="580" t="str">
        <f t="shared" si="961"/>
        <v/>
      </c>
      <c r="Y1021" s="580" t="str">
        <f t="shared" si="962"/>
        <v/>
      </c>
      <c r="Z1021" s="580" t="str">
        <f t="shared" si="963"/>
        <v/>
      </c>
    </row>
    <row r="1022" spans="1:26" ht="38.25" hidden="1" x14ac:dyDescent="0.2">
      <c r="A1022" s="97">
        <v>101532</v>
      </c>
      <c r="B1022" s="1031">
        <v>101532</v>
      </c>
      <c r="C1022" s="978" t="s">
        <v>883</v>
      </c>
      <c r="D1022" s="595" t="s">
        <v>1242</v>
      </c>
      <c r="E1022" s="596"/>
      <c r="F1022" s="671"/>
      <c r="G1022" s="597"/>
      <c r="H1022" s="682"/>
      <c r="I1022" s="592">
        <v>1383.45</v>
      </c>
      <c r="J1022" s="592">
        <f t="shared" si="954"/>
        <v>1383.45</v>
      </c>
      <c r="K1022" s="593">
        <f t="shared" si="953"/>
        <v>1683.8</v>
      </c>
      <c r="L1022" s="594" t="s">
        <v>21</v>
      </c>
      <c r="M1022" s="92"/>
      <c r="N1022" s="92"/>
      <c r="O1022" s="93">
        <f t="shared" si="955"/>
        <v>0</v>
      </c>
      <c r="P1022" s="93">
        <f t="shared" si="956"/>
        <v>0</v>
      </c>
      <c r="Q1022" s="94"/>
      <c r="R1022" s="92">
        <f t="shared" si="957"/>
        <v>0</v>
      </c>
      <c r="S1022" s="92">
        <f t="shared" si="958"/>
        <v>0</v>
      </c>
      <c r="T1022" s="93">
        <f t="shared" si="959"/>
        <v>0</v>
      </c>
      <c r="U1022" s="95">
        <f t="shared" si="960"/>
        <v>0</v>
      </c>
      <c r="V1022" s="94"/>
      <c r="X1022" s="580" t="str">
        <f t="shared" si="961"/>
        <v/>
      </c>
      <c r="Y1022" s="580" t="str">
        <f t="shared" si="962"/>
        <v/>
      </c>
      <c r="Z1022" s="580" t="str">
        <f t="shared" si="963"/>
        <v/>
      </c>
    </row>
    <row r="1023" spans="1:26" ht="25.5" hidden="1" x14ac:dyDescent="0.2">
      <c r="A1023" s="97">
        <v>101533</v>
      </c>
      <c r="B1023" s="1031">
        <v>101533</v>
      </c>
      <c r="C1023" s="978" t="s">
        <v>883</v>
      </c>
      <c r="D1023" s="595" t="s">
        <v>1243</v>
      </c>
      <c r="E1023" s="596"/>
      <c r="F1023" s="671"/>
      <c r="G1023" s="597"/>
      <c r="H1023" s="682"/>
      <c r="I1023" s="592">
        <v>1094.78</v>
      </c>
      <c r="J1023" s="592">
        <f t="shared" si="954"/>
        <v>1094.78</v>
      </c>
      <c r="K1023" s="593">
        <f t="shared" si="953"/>
        <v>1332.46</v>
      </c>
      <c r="L1023" s="594" t="s">
        <v>21</v>
      </c>
      <c r="M1023" s="92"/>
      <c r="N1023" s="92"/>
      <c r="O1023" s="93">
        <f t="shared" si="955"/>
        <v>0</v>
      </c>
      <c r="P1023" s="93">
        <f t="shared" si="956"/>
        <v>0</v>
      </c>
      <c r="Q1023" s="94"/>
      <c r="R1023" s="92">
        <f t="shared" si="957"/>
        <v>0</v>
      </c>
      <c r="S1023" s="92">
        <f t="shared" si="958"/>
        <v>0</v>
      </c>
      <c r="T1023" s="93">
        <f t="shared" si="959"/>
        <v>0</v>
      </c>
      <c r="U1023" s="95">
        <f t="shared" si="960"/>
        <v>0</v>
      </c>
      <c r="V1023" s="94"/>
      <c r="X1023" s="580" t="str">
        <f t="shared" si="961"/>
        <v/>
      </c>
      <c r="Y1023" s="580" t="str">
        <f t="shared" si="962"/>
        <v/>
      </c>
      <c r="Z1023" s="580" t="str">
        <f t="shared" si="963"/>
        <v/>
      </c>
    </row>
    <row r="1024" spans="1:26" ht="25.5" hidden="1" x14ac:dyDescent="0.2">
      <c r="A1024" s="97">
        <v>101534</v>
      </c>
      <c r="B1024" s="1031">
        <v>101534</v>
      </c>
      <c r="C1024" s="978" t="s">
        <v>883</v>
      </c>
      <c r="D1024" s="595" t="s">
        <v>1244</v>
      </c>
      <c r="E1024" s="596"/>
      <c r="F1024" s="671"/>
      <c r="G1024" s="597"/>
      <c r="H1024" s="682"/>
      <c r="I1024" s="592">
        <v>1281.1600000000001</v>
      </c>
      <c r="J1024" s="592">
        <f t="shared" si="954"/>
        <v>1281.1600000000001</v>
      </c>
      <c r="K1024" s="593">
        <f t="shared" si="953"/>
        <v>1559.3</v>
      </c>
      <c r="L1024" s="594" t="s">
        <v>21</v>
      </c>
      <c r="M1024" s="92"/>
      <c r="N1024" s="92"/>
      <c r="O1024" s="93">
        <f t="shared" si="955"/>
        <v>0</v>
      </c>
      <c r="P1024" s="93">
        <f t="shared" si="956"/>
        <v>0</v>
      </c>
      <c r="Q1024" s="94"/>
      <c r="R1024" s="92">
        <f t="shared" si="957"/>
        <v>0</v>
      </c>
      <c r="S1024" s="92">
        <f t="shared" si="958"/>
        <v>0</v>
      </c>
      <c r="T1024" s="93">
        <f t="shared" si="959"/>
        <v>0</v>
      </c>
      <c r="U1024" s="95">
        <f t="shared" si="960"/>
        <v>0</v>
      </c>
      <c r="V1024" s="94"/>
      <c r="X1024" s="580" t="str">
        <f t="shared" si="961"/>
        <v/>
      </c>
      <c r="Y1024" s="580" t="str">
        <f t="shared" si="962"/>
        <v/>
      </c>
      <c r="Z1024" s="580" t="str">
        <f t="shared" si="963"/>
        <v/>
      </c>
    </row>
    <row r="1025" spans="1:26" ht="25.5" hidden="1" x14ac:dyDescent="0.2">
      <c r="A1025" s="97">
        <v>101535</v>
      </c>
      <c r="B1025" s="1031">
        <v>101535</v>
      </c>
      <c r="C1025" s="978" t="s">
        <v>883</v>
      </c>
      <c r="D1025" s="595" t="s">
        <v>1245</v>
      </c>
      <c r="E1025" s="596"/>
      <c r="F1025" s="671"/>
      <c r="G1025" s="597"/>
      <c r="H1025" s="682"/>
      <c r="I1025" s="592">
        <v>1341.62</v>
      </c>
      <c r="J1025" s="592">
        <f t="shared" si="954"/>
        <v>1341.62</v>
      </c>
      <c r="K1025" s="593">
        <f t="shared" si="953"/>
        <v>1632.89</v>
      </c>
      <c r="L1025" s="594" t="s">
        <v>21</v>
      </c>
      <c r="M1025" s="92"/>
      <c r="N1025" s="92"/>
      <c r="O1025" s="93">
        <f t="shared" si="955"/>
        <v>0</v>
      </c>
      <c r="P1025" s="93">
        <f t="shared" si="956"/>
        <v>0</v>
      </c>
      <c r="Q1025" s="94"/>
      <c r="R1025" s="92">
        <f t="shared" si="957"/>
        <v>0</v>
      </c>
      <c r="S1025" s="92">
        <f t="shared" si="958"/>
        <v>0</v>
      </c>
      <c r="T1025" s="93">
        <f t="shared" si="959"/>
        <v>0</v>
      </c>
      <c r="U1025" s="95">
        <f t="shared" si="960"/>
        <v>0</v>
      </c>
      <c r="V1025" s="94"/>
      <c r="X1025" s="580" t="str">
        <f t="shared" si="961"/>
        <v/>
      </c>
      <c r="Y1025" s="580" t="str">
        <f t="shared" si="962"/>
        <v/>
      </c>
      <c r="Z1025" s="580" t="str">
        <f t="shared" si="963"/>
        <v/>
      </c>
    </row>
    <row r="1026" spans="1:26" ht="25.5" hidden="1" x14ac:dyDescent="0.2">
      <c r="A1026" s="97">
        <v>101536</v>
      </c>
      <c r="B1026" s="1031">
        <v>101536</v>
      </c>
      <c r="C1026" s="978" t="s">
        <v>883</v>
      </c>
      <c r="D1026" s="595" t="s">
        <v>1246</v>
      </c>
      <c r="E1026" s="596"/>
      <c r="F1026" s="671"/>
      <c r="G1026" s="597"/>
      <c r="H1026" s="682"/>
      <c r="I1026" s="592">
        <v>1551.76</v>
      </c>
      <c r="J1026" s="592">
        <f t="shared" si="954"/>
        <v>1551.76</v>
      </c>
      <c r="K1026" s="593">
        <f t="shared" si="953"/>
        <v>1888.65</v>
      </c>
      <c r="L1026" s="594" t="s">
        <v>21</v>
      </c>
      <c r="M1026" s="92"/>
      <c r="N1026" s="92"/>
      <c r="O1026" s="93">
        <f t="shared" si="955"/>
        <v>0</v>
      </c>
      <c r="P1026" s="93">
        <f t="shared" si="956"/>
        <v>0</v>
      </c>
      <c r="Q1026" s="94"/>
      <c r="R1026" s="92">
        <f t="shared" si="957"/>
        <v>0</v>
      </c>
      <c r="S1026" s="92">
        <f t="shared" si="958"/>
        <v>0</v>
      </c>
      <c r="T1026" s="93">
        <f t="shared" si="959"/>
        <v>0</v>
      </c>
      <c r="U1026" s="95">
        <f t="shared" si="960"/>
        <v>0</v>
      </c>
      <c r="V1026" s="94"/>
      <c r="X1026" s="580" t="str">
        <f t="shared" si="961"/>
        <v/>
      </c>
      <c r="Y1026" s="580" t="str">
        <f t="shared" si="962"/>
        <v/>
      </c>
      <c r="Z1026" s="580" t="str">
        <f t="shared" si="963"/>
        <v/>
      </c>
    </row>
    <row r="1027" spans="1:26" ht="25.5" hidden="1" x14ac:dyDescent="0.2">
      <c r="A1027" s="97" t="s">
        <v>1247</v>
      </c>
      <c r="B1027" s="1031" t="s">
        <v>1247</v>
      </c>
      <c r="C1027" s="978" t="s">
        <v>1825</v>
      </c>
      <c r="D1027" s="595" t="s">
        <v>1244</v>
      </c>
      <c r="E1027" s="596"/>
      <c r="F1027" s="671"/>
      <c r="G1027" s="597"/>
      <c r="H1027" s="682"/>
      <c r="I1027" s="592">
        <v>1465.21</v>
      </c>
      <c r="J1027" s="592">
        <f t="shared" si="954"/>
        <v>1465.21</v>
      </c>
      <c r="K1027" s="593">
        <f t="shared" si="953"/>
        <v>1783.31</v>
      </c>
      <c r="L1027" s="594" t="s">
        <v>21</v>
      </c>
      <c r="M1027" s="92"/>
      <c r="N1027" s="92"/>
      <c r="O1027" s="93">
        <f t="shared" si="955"/>
        <v>0</v>
      </c>
      <c r="P1027" s="93">
        <f t="shared" si="956"/>
        <v>0</v>
      </c>
      <c r="Q1027" s="94"/>
      <c r="R1027" s="92">
        <f t="shared" si="957"/>
        <v>0</v>
      </c>
      <c r="S1027" s="92">
        <f t="shared" si="958"/>
        <v>0</v>
      </c>
      <c r="T1027" s="93">
        <f t="shared" si="959"/>
        <v>0</v>
      </c>
      <c r="U1027" s="95">
        <f t="shared" si="960"/>
        <v>0</v>
      </c>
      <c r="V1027" s="94"/>
      <c r="X1027" s="580" t="str">
        <f t="shared" si="961"/>
        <v/>
      </c>
      <c r="Y1027" s="580" t="str">
        <f t="shared" si="962"/>
        <v/>
      </c>
      <c r="Z1027" s="580" t="str">
        <f t="shared" si="963"/>
        <v/>
      </c>
    </row>
    <row r="1028" spans="1:26" ht="25.5" hidden="1" x14ac:dyDescent="0.2">
      <c r="A1028" s="97" t="s">
        <v>1248</v>
      </c>
      <c r="B1028" s="1031" t="s">
        <v>1248</v>
      </c>
      <c r="C1028" s="978" t="s">
        <v>1825</v>
      </c>
      <c r="D1028" s="595" t="s">
        <v>1245</v>
      </c>
      <c r="E1028" s="596"/>
      <c r="F1028" s="671"/>
      <c r="G1028" s="597"/>
      <c r="H1028" s="682"/>
      <c r="I1028" s="592">
        <v>1638.59</v>
      </c>
      <c r="J1028" s="592">
        <f t="shared" si="954"/>
        <v>1638.59</v>
      </c>
      <c r="K1028" s="593">
        <f t="shared" si="953"/>
        <v>1994.33</v>
      </c>
      <c r="L1028" s="594" t="s">
        <v>21</v>
      </c>
      <c r="M1028" s="92"/>
      <c r="N1028" s="92"/>
      <c r="O1028" s="93">
        <f t="shared" si="955"/>
        <v>0</v>
      </c>
      <c r="P1028" s="93">
        <f t="shared" si="956"/>
        <v>0</v>
      </c>
      <c r="Q1028" s="94"/>
      <c r="R1028" s="92">
        <f t="shared" si="957"/>
        <v>0</v>
      </c>
      <c r="S1028" s="92">
        <f t="shared" si="958"/>
        <v>0</v>
      </c>
      <c r="T1028" s="93">
        <f t="shared" si="959"/>
        <v>0</v>
      </c>
      <c r="U1028" s="95">
        <f t="shared" si="960"/>
        <v>0</v>
      </c>
      <c r="V1028" s="94"/>
      <c r="X1028" s="580" t="str">
        <f t="shared" si="961"/>
        <v/>
      </c>
      <c r="Y1028" s="580" t="str">
        <f t="shared" si="962"/>
        <v/>
      </c>
      <c r="Z1028" s="580" t="str">
        <f t="shared" si="963"/>
        <v/>
      </c>
    </row>
    <row r="1029" spans="1:26" ht="25.5" hidden="1" x14ac:dyDescent="0.2">
      <c r="A1029" s="97" t="s">
        <v>1249</v>
      </c>
      <c r="B1029" s="1031" t="s">
        <v>1249</v>
      </c>
      <c r="C1029" s="978" t="s">
        <v>1825</v>
      </c>
      <c r="D1029" s="595" t="s">
        <v>1246</v>
      </c>
      <c r="E1029" s="596"/>
      <c r="F1029" s="671"/>
      <c r="G1029" s="597"/>
      <c r="H1029" s="682"/>
      <c r="I1029" s="592">
        <v>2025.2</v>
      </c>
      <c r="J1029" s="592">
        <f t="shared" si="954"/>
        <v>2025.2</v>
      </c>
      <c r="K1029" s="593">
        <f t="shared" si="953"/>
        <v>2464.87</v>
      </c>
      <c r="L1029" s="594" t="s">
        <v>21</v>
      </c>
      <c r="M1029" s="92"/>
      <c r="N1029" s="92"/>
      <c r="O1029" s="93">
        <f t="shared" si="955"/>
        <v>0</v>
      </c>
      <c r="P1029" s="93">
        <f t="shared" si="956"/>
        <v>0</v>
      </c>
      <c r="Q1029" s="94"/>
      <c r="R1029" s="92">
        <f t="shared" si="957"/>
        <v>0</v>
      </c>
      <c r="S1029" s="92">
        <f t="shared" si="958"/>
        <v>0</v>
      </c>
      <c r="T1029" s="93">
        <f t="shared" si="959"/>
        <v>0</v>
      </c>
      <c r="U1029" s="95">
        <f t="shared" si="960"/>
        <v>0</v>
      </c>
      <c r="V1029" s="94"/>
      <c r="X1029" s="580" t="str">
        <f t="shared" si="961"/>
        <v/>
      </c>
      <c r="Y1029" s="580" t="str">
        <f t="shared" si="962"/>
        <v/>
      </c>
      <c r="Z1029" s="580" t="str">
        <f t="shared" si="963"/>
        <v/>
      </c>
    </row>
    <row r="1030" spans="1:26" hidden="1" x14ac:dyDescent="0.2">
      <c r="A1030" s="97" t="s">
        <v>1250</v>
      </c>
      <c r="B1030" s="1031" t="s">
        <v>1250</v>
      </c>
      <c r="C1030" s="978" t="s">
        <v>1825</v>
      </c>
      <c r="D1030" s="595" t="s">
        <v>1251</v>
      </c>
      <c r="E1030" s="596"/>
      <c r="F1030" s="671"/>
      <c r="G1030" s="597"/>
      <c r="H1030" s="682"/>
      <c r="I1030" s="592">
        <v>2332.25</v>
      </c>
      <c r="J1030" s="592">
        <f t="shared" si="954"/>
        <v>2332.25</v>
      </c>
      <c r="K1030" s="593">
        <f t="shared" si="953"/>
        <v>2838.58</v>
      </c>
      <c r="L1030" s="594" t="s">
        <v>21</v>
      </c>
      <c r="M1030" s="92"/>
      <c r="N1030" s="92"/>
      <c r="O1030" s="93">
        <f t="shared" si="955"/>
        <v>0</v>
      </c>
      <c r="P1030" s="93">
        <f t="shared" si="956"/>
        <v>0</v>
      </c>
      <c r="Q1030" s="94"/>
      <c r="R1030" s="92">
        <f t="shared" si="957"/>
        <v>0</v>
      </c>
      <c r="S1030" s="92">
        <f t="shared" si="958"/>
        <v>0</v>
      </c>
      <c r="T1030" s="93">
        <f t="shared" si="959"/>
        <v>0</v>
      </c>
      <c r="U1030" s="95">
        <f t="shared" si="960"/>
        <v>0</v>
      </c>
      <c r="V1030" s="94"/>
      <c r="X1030" s="580" t="str">
        <f t="shared" si="961"/>
        <v/>
      </c>
      <c r="Y1030" s="580" t="str">
        <f t="shared" si="962"/>
        <v/>
      </c>
      <c r="Z1030" s="580" t="str">
        <f t="shared" si="963"/>
        <v/>
      </c>
    </row>
    <row r="1031" spans="1:26" hidden="1" x14ac:dyDescent="0.2">
      <c r="A1031" s="97" t="s">
        <v>1252</v>
      </c>
      <c r="B1031" s="1031" t="s">
        <v>1252</v>
      </c>
      <c r="C1031" s="978" t="s">
        <v>1825</v>
      </c>
      <c r="D1031" s="595" t="s">
        <v>1253</v>
      </c>
      <c r="E1031" s="596"/>
      <c r="F1031" s="671"/>
      <c r="G1031" s="597"/>
      <c r="H1031" s="682"/>
      <c r="I1031" s="592">
        <v>3687.03</v>
      </c>
      <c r="J1031" s="592">
        <f t="shared" si="954"/>
        <v>3687.03</v>
      </c>
      <c r="K1031" s="593">
        <f t="shared" si="953"/>
        <v>4487.4799999999996</v>
      </c>
      <c r="L1031" s="594" t="s">
        <v>21</v>
      </c>
      <c r="M1031" s="92"/>
      <c r="N1031" s="92"/>
      <c r="O1031" s="93">
        <f t="shared" si="955"/>
        <v>0</v>
      </c>
      <c r="P1031" s="93">
        <f t="shared" si="956"/>
        <v>0</v>
      </c>
      <c r="Q1031" s="94"/>
      <c r="R1031" s="92">
        <f t="shared" si="957"/>
        <v>0</v>
      </c>
      <c r="S1031" s="92">
        <f t="shared" si="958"/>
        <v>0</v>
      </c>
      <c r="T1031" s="93">
        <f t="shared" si="959"/>
        <v>0</v>
      </c>
      <c r="U1031" s="95">
        <f t="shared" si="960"/>
        <v>0</v>
      </c>
      <c r="V1031" s="94"/>
      <c r="X1031" s="580" t="str">
        <f t="shared" si="961"/>
        <v/>
      </c>
      <c r="Y1031" s="580" t="str">
        <f t="shared" si="962"/>
        <v/>
      </c>
      <c r="Z1031" s="580" t="str">
        <f t="shared" si="963"/>
        <v/>
      </c>
    </row>
    <row r="1032" spans="1:26" hidden="1" x14ac:dyDescent="0.2">
      <c r="A1032" s="97" t="s">
        <v>1254</v>
      </c>
      <c r="B1032" s="1031" t="s">
        <v>1254</v>
      </c>
      <c r="C1032" s="978" t="s">
        <v>1825</v>
      </c>
      <c r="D1032" s="595" t="s">
        <v>1255</v>
      </c>
      <c r="E1032" s="596"/>
      <c r="F1032" s="671"/>
      <c r="G1032" s="597"/>
      <c r="H1032" s="682"/>
      <c r="I1032" s="592">
        <v>4630.3</v>
      </c>
      <c r="J1032" s="592">
        <f t="shared" si="954"/>
        <v>4630.3</v>
      </c>
      <c r="K1032" s="593">
        <f t="shared" si="953"/>
        <v>5635.54</v>
      </c>
      <c r="L1032" s="594" t="s">
        <v>21</v>
      </c>
      <c r="M1032" s="92"/>
      <c r="N1032" s="92"/>
      <c r="O1032" s="93">
        <f t="shared" si="955"/>
        <v>0</v>
      </c>
      <c r="P1032" s="93">
        <f t="shared" si="956"/>
        <v>0</v>
      </c>
      <c r="Q1032" s="94"/>
      <c r="R1032" s="92">
        <f t="shared" si="957"/>
        <v>0</v>
      </c>
      <c r="S1032" s="92">
        <f t="shared" si="958"/>
        <v>0</v>
      </c>
      <c r="T1032" s="93">
        <f t="shared" si="959"/>
        <v>0</v>
      </c>
      <c r="U1032" s="95">
        <f t="shared" si="960"/>
        <v>0</v>
      </c>
      <c r="V1032" s="94"/>
      <c r="X1032" s="580" t="str">
        <f t="shared" si="961"/>
        <v/>
      </c>
      <c r="Y1032" s="580" t="str">
        <f t="shared" si="962"/>
        <v/>
      </c>
      <c r="Z1032" s="580" t="str">
        <f t="shared" si="963"/>
        <v/>
      </c>
    </row>
    <row r="1033" spans="1:26" hidden="1" x14ac:dyDescent="0.2">
      <c r="A1033" s="97">
        <v>96984</v>
      </c>
      <c r="B1033" s="1031">
        <v>96984</v>
      </c>
      <c r="C1033" s="978" t="s">
        <v>883</v>
      </c>
      <c r="D1033" s="595" t="s">
        <v>1256</v>
      </c>
      <c r="E1033" s="596"/>
      <c r="F1033" s="671"/>
      <c r="G1033" s="597"/>
      <c r="H1033" s="682"/>
      <c r="I1033" s="592">
        <v>52.25</v>
      </c>
      <c r="J1033" s="592">
        <f t="shared" si="954"/>
        <v>52.25</v>
      </c>
      <c r="K1033" s="593">
        <f t="shared" si="953"/>
        <v>63.59</v>
      </c>
      <c r="L1033" s="594" t="s">
        <v>21</v>
      </c>
      <c r="M1033" s="92"/>
      <c r="N1033" s="92"/>
      <c r="O1033" s="93">
        <f t="shared" si="955"/>
        <v>0</v>
      </c>
      <c r="P1033" s="93">
        <f t="shared" si="956"/>
        <v>0</v>
      </c>
      <c r="Q1033" s="94"/>
      <c r="R1033" s="92">
        <f t="shared" si="957"/>
        <v>0</v>
      </c>
      <c r="S1033" s="92">
        <f t="shared" si="958"/>
        <v>0</v>
      </c>
      <c r="T1033" s="93">
        <f t="shared" si="959"/>
        <v>0</v>
      </c>
      <c r="U1033" s="95">
        <f t="shared" si="960"/>
        <v>0</v>
      </c>
      <c r="V1033" s="94"/>
      <c r="X1033" s="580" t="str">
        <f t="shared" si="961"/>
        <v/>
      </c>
      <c r="Y1033" s="580" t="str">
        <f t="shared" si="962"/>
        <v/>
      </c>
      <c r="Z1033" s="580" t="str">
        <f t="shared" si="963"/>
        <v/>
      </c>
    </row>
    <row r="1034" spans="1:26" ht="25.5" hidden="1" x14ac:dyDescent="0.2">
      <c r="A1034" s="97">
        <v>91831</v>
      </c>
      <c r="B1034" s="1031">
        <v>91831</v>
      </c>
      <c r="C1034" s="978" t="s">
        <v>883</v>
      </c>
      <c r="D1034" s="595" t="s">
        <v>1257</v>
      </c>
      <c r="E1034" s="596"/>
      <c r="F1034" s="671"/>
      <c r="G1034" s="597"/>
      <c r="H1034" s="682"/>
      <c r="I1034" s="592">
        <v>7.09</v>
      </c>
      <c r="J1034" s="592">
        <f t="shared" si="954"/>
        <v>7.09</v>
      </c>
      <c r="K1034" s="593">
        <f t="shared" si="953"/>
        <v>8.6300000000000008</v>
      </c>
      <c r="L1034" s="594" t="s">
        <v>19</v>
      </c>
      <c r="M1034" s="92"/>
      <c r="N1034" s="92"/>
      <c r="O1034" s="93">
        <f t="shared" si="955"/>
        <v>0</v>
      </c>
      <c r="P1034" s="93">
        <f t="shared" si="956"/>
        <v>0</v>
      </c>
      <c r="Q1034" s="94"/>
      <c r="R1034" s="92">
        <f t="shared" si="957"/>
        <v>0</v>
      </c>
      <c r="S1034" s="92">
        <f t="shared" si="958"/>
        <v>0</v>
      </c>
      <c r="T1034" s="93">
        <f t="shared" si="959"/>
        <v>0</v>
      </c>
      <c r="U1034" s="95">
        <f t="shared" si="960"/>
        <v>0</v>
      </c>
      <c r="V1034" s="94"/>
      <c r="X1034" s="580" t="str">
        <f t="shared" si="961"/>
        <v/>
      </c>
      <c r="Y1034" s="580" t="str">
        <f t="shared" si="962"/>
        <v/>
      </c>
      <c r="Z1034" s="580" t="str">
        <f t="shared" si="963"/>
        <v/>
      </c>
    </row>
    <row r="1035" spans="1:26" ht="25.5" hidden="1" x14ac:dyDescent="0.2">
      <c r="A1035" s="97">
        <v>91834</v>
      </c>
      <c r="B1035" s="1031">
        <v>91834</v>
      </c>
      <c r="C1035" s="978" t="s">
        <v>883</v>
      </c>
      <c r="D1035" s="595" t="s">
        <v>1258</v>
      </c>
      <c r="E1035" s="596"/>
      <c r="F1035" s="671"/>
      <c r="G1035" s="597"/>
      <c r="H1035" s="682"/>
      <c r="I1035" s="592">
        <v>7.94</v>
      </c>
      <c r="J1035" s="592">
        <f t="shared" si="954"/>
        <v>7.94</v>
      </c>
      <c r="K1035" s="593">
        <f t="shared" si="953"/>
        <v>9.66</v>
      </c>
      <c r="L1035" s="594" t="s">
        <v>19</v>
      </c>
      <c r="M1035" s="92"/>
      <c r="N1035" s="92"/>
      <c r="O1035" s="93">
        <f t="shared" si="955"/>
        <v>0</v>
      </c>
      <c r="P1035" s="93">
        <f t="shared" si="956"/>
        <v>0</v>
      </c>
      <c r="Q1035" s="94"/>
      <c r="R1035" s="92">
        <f t="shared" si="957"/>
        <v>0</v>
      </c>
      <c r="S1035" s="92">
        <f t="shared" si="958"/>
        <v>0</v>
      </c>
      <c r="T1035" s="93">
        <f t="shared" si="959"/>
        <v>0</v>
      </c>
      <c r="U1035" s="95">
        <f t="shared" si="960"/>
        <v>0</v>
      </c>
      <c r="V1035" s="94"/>
      <c r="X1035" s="580" t="str">
        <f t="shared" si="961"/>
        <v/>
      </c>
      <c r="Y1035" s="580" t="str">
        <f t="shared" si="962"/>
        <v/>
      </c>
      <c r="Z1035" s="580" t="str">
        <f t="shared" si="963"/>
        <v/>
      </c>
    </row>
    <row r="1036" spans="1:26" ht="25.5" hidden="1" x14ac:dyDescent="0.2">
      <c r="A1036" s="97">
        <v>91836</v>
      </c>
      <c r="B1036" s="1031">
        <v>91836</v>
      </c>
      <c r="C1036" s="978" t="s">
        <v>883</v>
      </c>
      <c r="D1036" s="595" t="s">
        <v>1259</v>
      </c>
      <c r="E1036" s="596"/>
      <c r="F1036" s="671"/>
      <c r="G1036" s="597"/>
      <c r="H1036" s="682"/>
      <c r="I1036" s="592">
        <v>10.35</v>
      </c>
      <c r="J1036" s="592">
        <f t="shared" si="954"/>
        <v>10.35</v>
      </c>
      <c r="K1036" s="593">
        <f t="shared" ref="K1036:K1099" si="964">IF(ISBLANK(I1036),0,ROUND(J1036*(1+$F$10)*(1+$F$11*E1036),2))</f>
        <v>12.6</v>
      </c>
      <c r="L1036" s="594" t="s">
        <v>19</v>
      </c>
      <c r="M1036" s="92"/>
      <c r="N1036" s="92"/>
      <c r="O1036" s="93">
        <f t="shared" si="955"/>
        <v>0</v>
      </c>
      <c r="P1036" s="93">
        <f t="shared" si="956"/>
        <v>0</v>
      </c>
      <c r="Q1036" s="94"/>
      <c r="R1036" s="92">
        <f t="shared" si="957"/>
        <v>0</v>
      </c>
      <c r="S1036" s="92">
        <f t="shared" si="958"/>
        <v>0</v>
      </c>
      <c r="T1036" s="93">
        <f t="shared" si="959"/>
        <v>0</v>
      </c>
      <c r="U1036" s="95">
        <f t="shared" si="960"/>
        <v>0</v>
      </c>
      <c r="V1036" s="94"/>
      <c r="X1036" s="580" t="str">
        <f t="shared" si="961"/>
        <v/>
      </c>
      <c r="Y1036" s="580" t="str">
        <f t="shared" si="962"/>
        <v/>
      </c>
      <c r="Z1036" s="580" t="str">
        <f t="shared" si="963"/>
        <v/>
      </c>
    </row>
    <row r="1037" spans="1:26" ht="25.5" hidden="1" x14ac:dyDescent="0.2">
      <c r="A1037" s="97">
        <v>91842</v>
      </c>
      <c r="B1037" s="1031">
        <v>91842</v>
      </c>
      <c r="C1037" s="978" t="s">
        <v>883</v>
      </c>
      <c r="D1037" s="595" t="s">
        <v>1260</v>
      </c>
      <c r="E1037" s="596"/>
      <c r="F1037" s="671"/>
      <c r="G1037" s="597"/>
      <c r="H1037" s="682"/>
      <c r="I1037" s="592">
        <v>5.22</v>
      </c>
      <c r="J1037" s="592">
        <f t="shared" si="954"/>
        <v>5.22</v>
      </c>
      <c r="K1037" s="593">
        <f t="shared" si="964"/>
        <v>6.35</v>
      </c>
      <c r="L1037" s="594" t="s">
        <v>19</v>
      </c>
      <c r="M1037" s="92"/>
      <c r="N1037" s="92"/>
      <c r="O1037" s="93">
        <f t="shared" si="955"/>
        <v>0</v>
      </c>
      <c r="P1037" s="93">
        <f t="shared" si="956"/>
        <v>0</v>
      </c>
      <c r="Q1037" s="94"/>
      <c r="R1037" s="92">
        <f t="shared" si="957"/>
        <v>0</v>
      </c>
      <c r="S1037" s="92">
        <f t="shared" si="958"/>
        <v>0</v>
      </c>
      <c r="T1037" s="93">
        <f t="shared" si="959"/>
        <v>0</v>
      </c>
      <c r="U1037" s="95">
        <f t="shared" si="960"/>
        <v>0</v>
      </c>
      <c r="V1037" s="94"/>
      <c r="X1037" s="580" t="str">
        <f t="shared" si="961"/>
        <v/>
      </c>
      <c r="Y1037" s="580" t="str">
        <f t="shared" si="962"/>
        <v/>
      </c>
      <c r="Z1037" s="580" t="str">
        <f t="shared" si="963"/>
        <v/>
      </c>
    </row>
    <row r="1038" spans="1:26" ht="25.5" hidden="1" x14ac:dyDescent="0.2">
      <c r="A1038" s="97">
        <v>91844</v>
      </c>
      <c r="B1038" s="1031">
        <v>91844</v>
      </c>
      <c r="C1038" s="978" t="s">
        <v>883</v>
      </c>
      <c r="D1038" s="595" t="s">
        <v>1261</v>
      </c>
      <c r="E1038" s="596"/>
      <c r="F1038" s="671"/>
      <c r="G1038" s="597"/>
      <c r="H1038" s="682"/>
      <c r="I1038" s="592">
        <v>6.07</v>
      </c>
      <c r="J1038" s="592">
        <f t="shared" si="954"/>
        <v>6.07</v>
      </c>
      <c r="K1038" s="593">
        <f t="shared" si="964"/>
        <v>7.39</v>
      </c>
      <c r="L1038" s="594" t="s">
        <v>19</v>
      </c>
      <c r="M1038" s="92"/>
      <c r="N1038" s="92"/>
      <c r="O1038" s="93">
        <f t="shared" si="955"/>
        <v>0</v>
      </c>
      <c r="P1038" s="93">
        <f t="shared" si="956"/>
        <v>0</v>
      </c>
      <c r="Q1038" s="94"/>
      <c r="R1038" s="92">
        <f t="shared" si="957"/>
        <v>0</v>
      </c>
      <c r="S1038" s="92">
        <f t="shared" si="958"/>
        <v>0</v>
      </c>
      <c r="T1038" s="93">
        <f t="shared" si="959"/>
        <v>0</v>
      </c>
      <c r="U1038" s="95">
        <f t="shared" si="960"/>
        <v>0</v>
      </c>
      <c r="V1038" s="94"/>
      <c r="X1038" s="580" t="str">
        <f t="shared" si="961"/>
        <v/>
      </c>
      <c r="Y1038" s="580" t="str">
        <f t="shared" si="962"/>
        <v/>
      </c>
      <c r="Z1038" s="580" t="str">
        <f t="shared" si="963"/>
        <v/>
      </c>
    </row>
    <row r="1039" spans="1:26" ht="25.5" hidden="1" x14ac:dyDescent="0.2">
      <c r="A1039" s="97">
        <v>91846</v>
      </c>
      <c r="B1039" s="1031">
        <v>91846</v>
      </c>
      <c r="C1039" s="978" t="s">
        <v>883</v>
      </c>
      <c r="D1039" s="595" t="s">
        <v>1262</v>
      </c>
      <c r="E1039" s="596"/>
      <c r="F1039" s="671"/>
      <c r="G1039" s="597"/>
      <c r="H1039" s="682"/>
      <c r="I1039" s="592">
        <v>8.48</v>
      </c>
      <c r="J1039" s="592">
        <f t="shared" si="954"/>
        <v>8.48</v>
      </c>
      <c r="K1039" s="593">
        <f t="shared" si="964"/>
        <v>10.32</v>
      </c>
      <c r="L1039" s="594" t="s">
        <v>19</v>
      </c>
      <c r="M1039" s="92"/>
      <c r="N1039" s="92"/>
      <c r="O1039" s="93">
        <f t="shared" si="955"/>
        <v>0</v>
      </c>
      <c r="P1039" s="93">
        <f t="shared" si="956"/>
        <v>0</v>
      </c>
      <c r="Q1039" s="94"/>
      <c r="R1039" s="92">
        <f t="shared" si="957"/>
        <v>0</v>
      </c>
      <c r="S1039" s="92">
        <f t="shared" si="958"/>
        <v>0</v>
      </c>
      <c r="T1039" s="93">
        <f t="shared" si="959"/>
        <v>0</v>
      </c>
      <c r="U1039" s="95">
        <f t="shared" si="960"/>
        <v>0</v>
      </c>
      <c r="V1039" s="94"/>
      <c r="X1039" s="580" t="str">
        <f t="shared" si="961"/>
        <v/>
      </c>
      <c r="Y1039" s="580" t="str">
        <f t="shared" si="962"/>
        <v/>
      </c>
      <c r="Z1039" s="580" t="str">
        <f t="shared" si="963"/>
        <v/>
      </c>
    </row>
    <row r="1040" spans="1:26" ht="25.5" hidden="1" x14ac:dyDescent="0.2">
      <c r="A1040" s="97">
        <v>91852</v>
      </c>
      <c r="B1040" s="1031">
        <v>91852</v>
      </c>
      <c r="C1040" s="978" t="s">
        <v>883</v>
      </c>
      <c r="D1040" s="595" t="s">
        <v>1263</v>
      </c>
      <c r="E1040" s="596"/>
      <c r="F1040" s="671"/>
      <c r="G1040" s="597"/>
      <c r="H1040" s="682"/>
      <c r="I1040" s="592">
        <v>7.61</v>
      </c>
      <c r="J1040" s="592">
        <f t="shared" si="954"/>
        <v>7.61</v>
      </c>
      <c r="K1040" s="593">
        <f t="shared" si="964"/>
        <v>9.26</v>
      </c>
      <c r="L1040" s="594" t="s">
        <v>19</v>
      </c>
      <c r="M1040" s="92"/>
      <c r="N1040" s="92"/>
      <c r="O1040" s="93">
        <f t="shared" si="955"/>
        <v>0</v>
      </c>
      <c r="P1040" s="93">
        <f t="shared" si="956"/>
        <v>0</v>
      </c>
      <c r="Q1040" s="94"/>
      <c r="R1040" s="92">
        <f t="shared" si="957"/>
        <v>0</v>
      </c>
      <c r="S1040" s="92">
        <f t="shared" si="958"/>
        <v>0</v>
      </c>
      <c r="T1040" s="93">
        <f t="shared" si="959"/>
        <v>0</v>
      </c>
      <c r="U1040" s="95">
        <f t="shared" si="960"/>
        <v>0</v>
      </c>
      <c r="V1040" s="94"/>
      <c r="X1040" s="580" t="str">
        <f t="shared" si="961"/>
        <v/>
      </c>
      <c r="Y1040" s="580" t="str">
        <f t="shared" si="962"/>
        <v/>
      </c>
      <c r="Z1040" s="580" t="str">
        <f t="shared" si="963"/>
        <v/>
      </c>
    </row>
    <row r="1041" spans="1:26" ht="25.5" hidden="1" x14ac:dyDescent="0.2">
      <c r="A1041" s="97">
        <v>91854</v>
      </c>
      <c r="B1041" s="1031">
        <v>91854</v>
      </c>
      <c r="C1041" s="978" t="s">
        <v>883</v>
      </c>
      <c r="D1041" s="595" t="s">
        <v>1264</v>
      </c>
      <c r="E1041" s="596"/>
      <c r="F1041" s="671"/>
      <c r="G1041" s="597"/>
      <c r="H1041" s="682"/>
      <c r="I1041" s="592">
        <v>8.44</v>
      </c>
      <c r="J1041" s="592">
        <f t="shared" si="954"/>
        <v>8.44</v>
      </c>
      <c r="K1041" s="593">
        <f t="shared" si="964"/>
        <v>10.27</v>
      </c>
      <c r="L1041" s="594" t="s">
        <v>19</v>
      </c>
      <c r="M1041" s="92"/>
      <c r="N1041" s="92"/>
      <c r="O1041" s="93">
        <f t="shared" si="955"/>
        <v>0</v>
      </c>
      <c r="P1041" s="93">
        <f t="shared" si="956"/>
        <v>0</v>
      </c>
      <c r="Q1041" s="94"/>
      <c r="R1041" s="92">
        <f t="shared" si="957"/>
        <v>0</v>
      </c>
      <c r="S1041" s="92">
        <f t="shared" si="958"/>
        <v>0</v>
      </c>
      <c r="T1041" s="93">
        <f t="shared" si="959"/>
        <v>0</v>
      </c>
      <c r="U1041" s="95">
        <f t="shared" si="960"/>
        <v>0</v>
      </c>
      <c r="V1041" s="94"/>
      <c r="X1041" s="580" t="str">
        <f t="shared" si="961"/>
        <v/>
      </c>
      <c r="Y1041" s="580" t="str">
        <f t="shared" si="962"/>
        <v/>
      </c>
      <c r="Z1041" s="580" t="str">
        <f t="shared" si="963"/>
        <v/>
      </c>
    </row>
    <row r="1042" spans="1:26" ht="25.5" hidden="1" x14ac:dyDescent="0.2">
      <c r="A1042" s="97">
        <v>91856</v>
      </c>
      <c r="B1042" s="1031">
        <v>91856</v>
      </c>
      <c r="C1042" s="978" t="s">
        <v>883</v>
      </c>
      <c r="D1042" s="595" t="s">
        <v>1265</v>
      </c>
      <c r="E1042" s="596"/>
      <c r="F1042" s="671"/>
      <c r="G1042" s="597"/>
      <c r="H1042" s="682"/>
      <c r="I1042" s="592">
        <v>10.73</v>
      </c>
      <c r="J1042" s="592">
        <f t="shared" si="954"/>
        <v>10.73</v>
      </c>
      <c r="K1042" s="593">
        <f t="shared" si="964"/>
        <v>13.06</v>
      </c>
      <c r="L1042" s="594" t="s">
        <v>19</v>
      </c>
      <c r="M1042" s="92"/>
      <c r="N1042" s="92"/>
      <c r="O1042" s="93">
        <f t="shared" si="955"/>
        <v>0</v>
      </c>
      <c r="P1042" s="93">
        <f t="shared" si="956"/>
        <v>0</v>
      </c>
      <c r="Q1042" s="94"/>
      <c r="R1042" s="92">
        <f t="shared" si="957"/>
        <v>0</v>
      </c>
      <c r="S1042" s="92">
        <f t="shared" si="958"/>
        <v>0</v>
      </c>
      <c r="T1042" s="93">
        <f t="shared" si="959"/>
        <v>0</v>
      </c>
      <c r="U1042" s="95">
        <f t="shared" si="960"/>
        <v>0</v>
      </c>
      <c r="V1042" s="94"/>
      <c r="X1042" s="580" t="str">
        <f t="shared" si="961"/>
        <v/>
      </c>
      <c r="Y1042" s="580" t="str">
        <f t="shared" si="962"/>
        <v/>
      </c>
      <c r="Z1042" s="580" t="str">
        <f t="shared" si="963"/>
        <v/>
      </c>
    </row>
    <row r="1043" spans="1:26" ht="25.5" hidden="1" x14ac:dyDescent="0.2">
      <c r="A1043" s="97">
        <v>91833</v>
      </c>
      <c r="B1043" s="1031">
        <v>91833</v>
      </c>
      <c r="C1043" s="978" t="s">
        <v>883</v>
      </c>
      <c r="D1043" s="595" t="s">
        <v>1266</v>
      </c>
      <c r="E1043" s="596"/>
      <c r="F1043" s="671"/>
      <c r="G1043" s="597"/>
      <c r="H1043" s="682"/>
      <c r="I1043" s="592">
        <v>7.52</v>
      </c>
      <c r="J1043" s="592">
        <f t="shared" si="954"/>
        <v>7.52</v>
      </c>
      <c r="K1043" s="593">
        <f t="shared" si="964"/>
        <v>9.15</v>
      </c>
      <c r="L1043" s="594" t="s">
        <v>19</v>
      </c>
      <c r="M1043" s="92"/>
      <c r="N1043" s="92"/>
      <c r="O1043" s="93">
        <f t="shared" si="955"/>
        <v>0</v>
      </c>
      <c r="P1043" s="93">
        <f t="shared" si="956"/>
        <v>0</v>
      </c>
      <c r="Q1043" s="94"/>
      <c r="R1043" s="92">
        <f t="shared" si="957"/>
        <v>0</v>
      </c>
      <c r="S1043" s="92">
        <f t="shared" si="958"/>
        <v>0</v>
      </c>
      <c r="T1043" s="93">
        <f t="shared" si="959"/>
        <v>0</v>
      </c>
      <c r="U1043" s="95">
        <f t="shared" si="960"/>
        <v>0</v>
      </c>
      <c r="V1043" s="94"/>
      <c r="X1043" s="580" t="str">
        <f t="shared" si="961"/>
        <v/>
      </c>
      <c r="Y1043" s="580" t="str">
        <f t="shared" si="962"/>
        <v/>
      </c>
      <c r="Z1043" s="580" t="str">
        <f t="shared" si="963"/>
        <v/>
      </c>
    </row>
    <row r="1044" spans="1:26" ht="25.5" hidden="1" x14ac:dyDescent="0.2">
      <c r="A1044" s="97">
        <v>91835</v>
      </c>
      <c r="B1044" s="1031">
        <v>91835</v>
      </c>
      <c r="C1044" s="978" t="s">
        <v>883</v>
      </c>
      <c r="D1044" s="595" t="s">
        <v>1267</v>
      </c>
      <c r="E1044" s="596"/>
      <c r="F1044" s="671"/>
      <c r="G1044" s="597"/>
      <c r="H1044" s="682"/>
      <c r="I1044" s="592">
        <v>9.0500000000000007</v>
      </c>
      <c r="J1044" s="592">
        <f t="shared" si="954"/>
        <v>9.0500000000000007</v>
      </c>
      <c r="K1044" s="593">
        <f t="shared" si="964"/>
        <v>11.01</v>
      </c>
      <c r="L1044" s="594" t="s">
        <v>19</v>
      </c>
      <c r="M1044" s="92"/>
      <c r="N1044" s="92"/>
      <c r="O1044" s="93">
        <f t="shared" si="955"/>
        <v>0</v>
      </c>
      <c r="P1044" s="93">
        <f t="shared" si="956"/>
        <v>0</v>
      </c>
      <c r="Q1044" s="94"/>
      <c r="R1044" s="92">
        <f t="shared" si="957"/>
        <v>0</v>
      </c>
      <c r="S1044" s="92">
        <f t="shared" si="958"/>
        <v>0</v>
      </c>
      <c r="T1044" s="93">
        <f t="shared" si="959"/>
        <v>0</v>
      </c>
      <c r="U1044" s="95">
        <f t="shared" si="960"/>
        <v>0</v>
      </c>
      <c r="V1044" s="94"/>
      <c r="X1044" s="580" t="str">
        <f t="shared" si="961"/>
        <v/>
      </c>
      <c r="Y1044" s="580" t="str">
        <f t="shared" si="962"/>
        <v/>
      </c>
      <c r="Z1044" s="580" t="str">
        <f t="shared" si="963"/>
        <v/>
      </c>
    </row>
    <row r="1045" spans="1:26" ht="25.5" hidden="1" x14ac:dyDescent="0.2">
      <c r="A1045" s="97">
        <v>91837</v>
      </c>
      <c r="B1045" s="1031">
        <v>91837</v>
      </c>
      <c r="C1045" s="978" t="s">
        <v>883</v>
      </c>
      <c r="D1045" s="595" t="s">
        <v>1268</v>
      </c>
      <c r="E1045" s="596"/>
      <c r="F1045" s="671"/>
      <c r="G1045" s="597"/>
      <c r="H1045" s="682"/>
      <c r="I1045" s="592">
        <v>12.95</v>
      </c>
      <c r="J1045" s="592">
        <f t="shared" si="954"/>
        <v>12.95</v>
      </c>
      <c r="K1045" s="593">
        <f t="shared" si="964"/>
        <v>15.76</v>
      </c>
      <c r="L1045" s="594" t="s">
        <v>19</v>
      </c>
      <c r="M1045" s="92"/>
      <c r="N1045" s="92"/>
      <c r="O1045" s="93">
        <f t="shared" si="955"/>
        <v>0</v>
      </c>
      <c r="P1045" s="93">
        <f t="shared" si="956"/>
        <v>0</v>
      </c>
      <c r="Q1045" s="94"/>
      <c r="R1045" s="92">
        <f t="shared" si="957"/>
        <v>0</v>
      </c>
      <c r="S1045" s="92">
        <f t="shared" si="958"/>
        <v>0</v>
      </c>
      <c r="T1045" s="93">
        <f t="shared" si="959"/>
        <v>0</v>
      </c>
      <c r="U1045" s="95">
        <f t="shared" si="960"/>
        <v>0</v>
      </c>
      <c r="V1045" s="94"/>
      <c r="X1045" s="580" t="str">
        <f t="shared" si="961"/>
        <v/>
      </c>
      <c r="Y1045" s="580" t="str">
        <f t="shared" si="962"/>
        <v/>
      </c>
      <c r="Z1045" s="580" t="str">
        <f t="shared" si="963"/>
        <v/>
      </c>
    </row>
    <row r="1046" spans="1:26" ht="25.5" hidden="1" x14ac:dyDescent="0.2">
      <c r="A1046" s="97">
        <v>91843</v>
      </c>
      <c r="B1046" s="1031">
        <v>91843</v>
      </c>
      <c r="C1046" s="978" t="s">
        <v>883</v>
      </c>
      <c r="D1046" s="595" t="s">
        <v>1269</v>
      </c>
      <c r="E1046" s="596"/>
      <c r="F1046" s="671"/>
      <c r="G1046" s="597"/>
      <c r="H1046" s="682"/>
      <c r="I1046" s="592">
        <v>5.65</v>
      </c>
      <c r="J1046" s="592">
        <f t="shared" ref="J1046:J1109" si="965">IF(ISBLANK(I1046),"",SUM(H1046:I1046))</f>
        <v>5.65</v>
      </c>
      <c r="K1046" s="593">
        <f t="shared" si="964"/>
        <v>6.88</v>
      </c>
      <c r="L1046" s="594" t="s">
        <v>19</v>
      </c>
      <c r="M1046" s="92"/>
      <c r="N1046" s="92"/>
      <c r="O1046" s="93">
        <f t="shared" ref="O1046:O1109" si="966">IF(ISBLANK(M1046),0,ROUND(K1046*M1046,2))</f>
        <v>0</v>
      </c>
      <c r="P1046" s="93">
        <f t="shared" ref="P1046:P1109" si="967">IF(ISBLANK(N1046),0,ROUND(M1046*N1046,2))</f>
        <v>0</v>
      </c>
      <c r="Q1046" s="94"/>
      <c r="R1046" s="92">
        <f t="shared" ref="R1046:R1109" si="968">M1046</f>
        <v>0</v>
      </c>
      <c r="S1046" s="92">
        <f t="shared" ref="S1046:S1109" si="969">N1046</f>
        <v>0</v>
      </c>
      <c r="T1046" s="93">
        <f t="shared" ref="T1046:T1109" si="970">IF(ISBLANK(R1046),0,ROUND(K1046*R1046,2))</f>
        <v>0</v>
      </c>
      <c r="U1046" s="95">
        <f t="shared" ref="U1046:U1109" si="971">IF(ISBLANK(R1046),0,ROUND(R1046*S1046,2))</f>
        <v>0</v>
      </c>
      <c r="V1046" s="94"/>
      <c r="X1046" s="580" t="str">
        <f t="shared" ref="X1046:X1109" si="972">IF(W1046="X","x",IF(W1046="xx","x",IF(W1046="xy","x",IF(W1046="y","x",IF(OR(P1046&gt;0,U1046&gt;0),"x","")))))</f>
        <v/>
      </c>
      <c r="Y1046" s="580" t="str">
        <f t="shared" ref="Y1046:Y1109" si="973">IF(W1046="X","x",IF(W1046="y","x",IF(W1046="xx","x",IF(U1046&gt;0,"x",""))))</f>
        <v/>
      </c>
      <c r="Z1046" s="580" t="str">
        <f t="shared" ref="Z1046:Z1109" si="974">IF(W1046="X","x",IF(U1046&gt;0,"x",""))</f>
        <v/>
      </c>
    </row>
    <row r="1047" spans="1:26" ht="25.5" hidden="1" x14ac:dyDescent="0.2">
      <c r="A1047" s="97">
        <v>91845</v>
      </c>
      <c r="B1047" s="1031">
        <v>91845</v>
      </c>
      <c r="C1047" s="978" t="s">
        <v>883</v>
      </c>
      <c r="D1047" s="595" t="s">
        <v>1270</v>
      </c>
      <c r="E1047" s="596"/>
      <c r="F1047" s="671"/>
      <c r="G1047" s="597"/>
      <c r="H1047" s="682"/>
      <c r="I1047" s="592">
        <v>7.18</v>
      </c>
      <c r="J1047" s="592">
        <f t="shared" si="965"/>
        <v>7.18</v>
      </c>
      <c r="K1047" s="593">
        <f t="shared" si="964"/>
        <v>8.74</v>
      </c>
      <c r="L1047" s="594" t="s">
        <v>19</v>
      </c>
      <c r="M1047" s="92"/>
      <c r="N1047" s="92"/>
      <c r="O1047" s="93">
        <f t="shared" si="966"/>
        <v>0</v>
      </c>
      <c r="P1047" s="93">
        <f t="shared" si="967"/>
        <v>0</v>
      </c>
      <c r="Q1047" s="94"/>
      <c r="R1047" s="92">
        <f t="shared" si="968"/>
        <v>0</v>
      </c>
      <c r="S1047" s="92">
        <f t="shared" si="969"/>
        <v>0</v>
      </c>
      <c r="T1047" s="93">
        <f t="shared" si="970"/>
        <v>0</v>
      </c>
      <c r="U1047" s="95">
        <f t="shared" si="971"/>
        <v>0</v>
      </c>
      <c r="V1047" s="94"/>
      <c r="X1047" s="580" t="str">
        <f t="shared" si="972"/>
        <v/>
      </c>
      <c r="Y1047" s="580" t="str">
        <f t="shared" si="973"/>
        <v/>
      </c>
      <c r="Z1047" s="580" t="str">
        <f t="shared" si="974"/>
        <v/>
      </c>
    </row>
    <row r="1048" spans="1:26" ht="25.5" hidden="1" x14ac:dyDescent="0.2">
      <c r="A1048" s="97">
        <v>91847</v>
      </c>
      <c r="B1048" s="1031">
        <v>91847</v>
      </c>
      <c r="C1048" s="978" t="s">
        <v>883</v>
      </c>
      <c r="D1048" s="595" t="s">
        <v>1271</v>
      </c>
      <c r="E1048" s="596"/>
      <c r="F1048" s="671"/>
      <c r="G1048" s="597"/>
      <c r="H1048" s="682"/>
      <c r="I1048" s="592">
        <v>11.08</v>
      </c>
      <c r="J1048" s="592">
        <f t="shared" si="965"/>
        <v>11.08</v>
      </c>
      <c r="K1048" s="593">
        <f t="shared" si="964"/>
        <v>13.49</v>
      </c>
      <c r="L1048" s="594" t="s">
        <v>19</v>
      </c>
      <c r="M1048" s="92"/>
      <c r="N1048" s="92"/>
      <c r="O1048" s="93">
        <f t="shared" si="966"/>
        <v>0</v>
      </c>
      <c r="P1048" s="93">
        <f t="shared" si="967"/>
        <v>0</v>
      </c>
      <c r="Q1048" s="94"/>
      <c r="R1048" s="92">
        <f t="shared" si="968"/>
        <v>0</v>
      </c>
      <c r="S1048" s="92">
        <f t="shared" si="969"/>
        <v>0</v>
      </c>
      <c r="T1048" s="93">
        <f t="shared" si="970"/>
        <v>0</v>
      </c>
      <c r="U1048" s="95">
        <f t="shared" si="971"/>
        <v>0</v>
      </c>
      <c r="V1048" s="94"/>
      <c r="X1048" s="580" t="str">
        <f t="shared" si="972"/>
        <v/>
      </c>
      <c r="Y1048" s="580" t="str">
        <f t="shared" si="973"/>
        <v/>
      </c>
      <c r="Z1048" s="580" t="str">
        <f t="shared" si="974"/>
        <v/>
      </c>
    </row>
    <row r="1049" spans="1:26" ht="25.5" hidden="1" x14ac:dyDescent="0.2">
      <c r="A1049" s="97">
        <v>91853</v>
      </c>
      <c r="B1049" s="1031">
        <v>91853</v>
      </c>
      <c r="C1049" s="978" t="s">
        <v>883</v>
      </c>
      <c r="D1049" s="595" t="s">
        <v>1272</v>
      </c>
      <c r="E1049" s="596"/>
      <c r="F1049" s="671"/>
      <c r="G1049" s="597"/>
      <c r="H1049" s="682"/>
      <c r="I1049" s="592">
        <v>8</v>
      </c>
      <c r="J1049" s="592">
        <f t="shared" si="965"/>
        <v>8</v>
      </c>
      <c r="K1049" s="593">
        <f t="shared" si="964"/>
        <v>9.74</v>
      </c>
      <c r="L1049" s="594" t="s">
        <v>19</v>
      </c>
      <c r="M1049" s="92"/>
      <c r="N1049" s="92"/>
      <c r="O1049" s="93">
        <f t="shared" si="966"/>
        <v>0</v>
      </c>
      <c r="P1049" s="93">
        <f t="shared" si="967"/>
        <v>0</v>
      </c>
      <c r="Q1049" s="94"/>
      <c r="R1049" s="92">
        <f t="shared" si="968"/>
        <v>0</v>
      </c>
      <c r="S1049" s="92">
        <f t="shared" si="969"/>
        <v>0</v>
      </c>
      <c r="T1049" s="93">
        <f t="shared" si="970"/>
        <v>0</v>
      </c>
      <c r="U1049" s="95">
        <f t="shared" si="971"/>
        <v>0</v>
      </c>
      <c r="V1049" s="94"/>
      <c r="X1049" s="580" t="str">
        <f t="shared" si="972"/>
        <v/>
      </c>
      <c r="Y1049" s="580" t="str">
        <f t="shared" si="973"/>
        <v/>
      </c>
      <c r="Z1049" s="580" t="str">
        <f t="shared" si="974"/>
        <v/>
      </c>
    </row>
    <row r="1050" spans="1:26" ht="25.5" hidden="1" x14ac:dyDescent="0.2">
      <c r="A1050" s="97">
        <v>91855</v>
      </c>
      <c r="B1050" s="1031">
        <v>91855</v>
      </c>
      <c r="C1050" s="978" t="s">
        <v>883</v>
      </c>
      <c r="D1050" s="595" t="s">
        <v>1273</v>
      </c>
      <c r="E1050" s="596"/>
      <c r="F1050" s="671"/>
      <c r="G1050" s="597"/>
      <c r="H1050" s="682"/>
      <c r="I1050" s="592">
        <v>9.4700000000000006</v>
      </c>
      <c r="J1050" s="592">
        <f t="shared" si="965"/>
        <v>9.4700000000000006</v>
      </c>
      <c r="K1050" s="593">
        <f t="shared" si="964"/>
        <v>11.53</v>
      </c>
      <c r="L1050" s="594" t="s">
        <v>19</v>
      </c>
      <c r="M1050" s="92"/>
      <c r="N1050" s="92"/>
      <c r="O1050" s="93">
        <f t="shared" si="966"/>
        <v>0</v>
      </c>
      <c r="P1050" s="93">
        <f t="shared" si="967"/>
        <v>0</v>
      </c>
      <c r="Q1050" s="94"/>
      <c r="R1050" s="92">
        <f t="shared" si="968"/>
        <v>0</v>
      </c>
      <c r="S1050" s="92">
        <f t="shared" si="969"/>
        <v>0</v>
      </c>
      <c r="T1050" s="93">
        <f t="shared" si="970"/>
        <v>0</v>
      </c>
      <c r="U1050" s="95">
        <f t="shared" si="971"/>
        <v>0</v>
      </c>
      <c r="V1050" s="94"/>
      <c r="X1050" s="580" t="str">
        <f t="shared" si="972"/>
        <v/>
      </c>
      <c r="Y1050" s="580" t="str">
        <f t="shared" si="973"/>
        <v/>
      </c>
      <c r="Z1050" s="580" t="str">
        <f t="shared" si="974"/>
        <v/>
      </c>
    </row>
    <row r="1051" spans="1:26" ht="25.5" hidden="1" x14ac:dyDescent="0.2">
      <c r="A1051" s="97">
        <v>91857</v>
      </c>
      <c r="B1051" s="1031">
        <v>91857</v>
      </c>
      <c r="C1051" s="978" t="s">
        <v>883</v>
      </c>
      <c r="D1051" s="595" t="s">
        <v>1274</v>
      </c>
      <c r="E1051" s="596"/>
      <c r="F1051" s="671"/>
      <c r="G1051" s="597"/>
      <c r="H1051" s="682"/>
      <c r="I1051" s="592">
        <v>13.14</v>
      </c>
      <c r="J1051" s="592">
        <f t="shared" si="965"/>
        <v>13.14</v>
      </c>
      <c r="K1051" s="593">
        <f t="shared" si="964"/>
        <v>15.99</v>
      </c>
      <c r="L1051" s="594" t="s">
        <v>19</v>
      </c>
      <c r="M1051" s="92"/>
      <c r="N1051" s="92"/>
      <c r="O1051" s="93">
        <f t="shared" si="966"/>
        <v>0</v>
      </c>
      <c r="P1051" s="93">
        <f t="shared" si="967"/>
        <v>0</v>
      </c>
      <c r="Q1051" s="94"/>
      <c r="R1051" s="92">
        <f t="shared" si="968"/>
        <v>0</v>
      </c>
      <c r="S1051" s="92">
        <f t="shared" si="969"/>
        <v>0</v>
      </c>
      <c r="T1051" s="93">
        <f t="shared" si="970"/>
        <v>0</v>
      </c>
      <c r="U1051" s="95">
        <f t="shared" si="971"/>
        <v>0</v>
      </c>
      <c r="V1051" s="94"/>
      <c r="X1051" s="580" t="str">
        <f t="shared" si="972"/>
        <v/>
      </c>
      <c r="Y1051" s="580" t="str">
        <f t="shared" si="973"/>
        <v/>
      </c>
      <c r="Z1051" s="580" t="str">
        <f t="shared" si="974"/>
        <v/>
      </c>
    </row>
    <row r="1052" spans="1:26" ht="25.5" hidden="1" x14ac:dyDescent="0.2">
      <c r="A1052" s="97">
        <v>91874</v>
      </c>
      <c r="B1052" s="1031">
        <v>91874</v>
      </c>
      <c r="C1052" s="978" t="s">
        <v>883</v>
      </c>
      <c r="D1052" s="595" t="s">
        <v>1275</v>
      </c>
      <c r="E1052" s="596"/>
      <c r="F1052" s="671"/>
      <c r="G1052" s="597"/>
      <c r="H1052" s="682"/>
      <c r="I1052" s="592">
        <v>4.63</v>
      </c>
      <c r="J1052" s="592">
        <f t="shared" si="965"/>
        <v>4.63</v>
      </c>
      <c r="K1052" s="593">
        <f t="shared" si="964"/>
        <v>5.64</v>
      </c>
      <c r="L1052" s="594" t="s">
        <v>21</v>
      </c>
      <c r="M1052" s="92"/>
      <c r="N1052" s="92"/>
      <c r="O1052" s="93">
        <f t="shared" si="966"/>
        <v>0</v>
      </c>
      <c r="P1052" s="93">
        <f t="shared" si="967"/>
        <v>0</v>
      </c>
      <c r="Q1052" s="94"/>
      <c r="R1052" s="92">
        <f t="shared" si="968"/>
        <v>0</v>
      </c>
      <c r="S1052" s="92">
        <f t="shared" si="969"/>
        <v>0</v>
      </c>
      <c r="T1052" s="93">
        <f t="shared" si="970"/>
        <v>0</v>
      </c>
      <c r="U1052" s="95">
        <f t="shared" si="971"/>
        <v>0</v>
      </c>
      <c r="V1052" s="94"/>
      <c r="X1052" s="580" t="str">
        <f t="shared" si="972"/>
        <v/>
      </c>
      <c r="Y1052" s="580" t="str">
        <f t="shared" si="973"/>
        <v/>
      </c>
      <c r="Z1052" s="580" t="str">
        <f t="shared" si="974"/>
        <v/>
      </c>
    </row>
    <row r="1053" spans="1:26" ht="25.5" hidden="1" x14ac:dyDescent="0.2">
      <c r="A1053" s="97">
        <v>91875</v>
      </c>
      <c r="B1053" s="1031">
        <v>91875</v>
      </c>
      <c r="C1053" s="978" t="s">
        <v>883</v>
      </c>
      <c r="D1053" s="595" t="s">
        <v>1276</v>
      </c>
      <c r="E1053" s="596"/>
      <c r="F1053" s="671"/>
      <c r="G1053" s="597"/>
      <c r="H1053" s="682"/>
      <c r="I1053" s="592">
        <v>6.14</v>
      </c>
      <c r="J1053" s="592">
        <f t="shared" si="965"/>
        <v>6.14</v>
      </c>
      <c r="K1053" s="593">
        <f t="shared" si="964"/>
        <v>7.47</v>
      </c>
      <c r="L1053" s="594" t="s">
        <v>21</v>
      </c>
      <c r="M1053" s="92"/>
      <c r="N1053" s="92"/>
      <c r="O1053" s="93">
        <f t="shared" si="966"/>
        <v>0</v>
      </c>
      <c r="P1053" s="93">
        <f t="shared" si="967"/>
        <v>0</v>
      </c>
      <c r="Q1053" s="94"/>
      <c r="R1053" s="92">
        <f t="shared" si="968"/>
        <v>0</v>
      </c>
      <c r="S1053" s="92">
        <f t="shared" si="969"/>
        <v>0</v>
      </c>
      <c r="T1053" s="93">
        <f t="shared" si="970"/>
        <v>0</v>
      </c>
      <c r="U1053" s="95">
        <f t="shared" si="971"/>
        <v>0</v>
      </c>
      <c r="V1053" s="94"/>
      <c r="X1053" s="580" t="str">
        <f t="shared" si="972"/>
        <v/>
      </c>
      <c r="Y1053" s="580" t="str">
        <f t="shared" si="973"/>
        <v/>
      </c>
      <c r="Z1053" s="580" t="str">
        <f t="shared" si="974"/>
        <v/>
      </c>
    </row>
    <row r="1054" spans="1:26" ht="25.5" hidden="1" x14ac:dyDescent="0.2">
      <c r="A1054" s="97">
        <v>91876</v>
      </c>
      <c r="B1054" s="1031">
        <v>91876</v>
      </c>
      <c r="C1054" s="978" t="s">
        <v>883</v>
      </c>
      <c r="D1054" s="595" t="s">
        <v>1277</v>
      </c>
      <c r="E1054" s="596"/>
      <c r="F1054" s="671"/>
      <c r="G1054" s="597"/>
      <c r="H1054" s="682"/>
      <c r="I1054" s="592">
        <v>8.1199999999999992</v>
      </c>
      <c r="J1054" s="592">
        <f t="shared" si="965"/>
        <v>8.1199999999999992</v>
      </c>
      <c r="K1054" s="593">
        <f t="shared" si="964"/>
        <v>9.8800000000000008</v>
      </c>
      <c r="L1054" s="594" t="s">
        <v>21</v>
      </c>
      <c r="M1054" s="92"/>
      <c r="N1054" s="92"/>
      <c r="O1054" s="93">
        <f t="shared" si="966"/>
        <v>0</v>
      </c>
      <c r="P1054" s="93">
        <f t="shared" si="967"/>
        <v>0</v>
      </c>
      <c r="Q1054" s="94"/>
      <c r="R1054" s="92">
        <f t="shared" si="968"/>
        <v>0</v>
      </c>
      <c r="S1054" s="92">
        <f t="shared" si="969"/>
        <v>0</v>
      </c>
      <c r="T1054" s="93">
        <f t="shared" si="970"/>
        <v>0</v>
      </c>
      <c r="U1054" s="95">
        <f t="shared" si="971"/>
        <v>0</v>
      </c>
      <c r="V1054" s="94"/>
      <c r="X1054" s="580" t="str">
        <f t="shared" si="972"/>
        <v/>
      </c>
      <c r="Y1054" s="580" t="str">
        <f t="shared" si="973"/>
        <v/>
      </c>
      <c r="Z1054" s="580" t="str">
        <f t="shared" si="974"/>
        <v/>
      </c>
    </row>
    <row r="1055" spans="1:26" ht="25.5" hidden="1" x14ac:dyDescent="0.2">
      <c r="A1055" s="97">
        <v>91877</v>
      </c>
      <c r="B1055" s="1031">
        <v>91877</v>
      </c>
      <c r="C1055" s="978" t="s">
        <v>883</v>
      </c>
      <c r="D1055" s="595" t="s">
        <v>1278</v>
      </c>
      <c r="E1055" s="596"/>
      <c r="F1055" s="671"/>
      <c r="G1055" s="597"/>
      <c r="H1055" s="682"/>
      <c r="I1055" s="592">
        <v>10.81</v>
      </c>
      <c r="J1055" s="592">
        <f t="shared" si="965"/>
        <v>10.81</v>
      </c>
      <c r="K1055" s="593">
        <f t="shared" si="964"/>
        <v>13.16</v>
      </c>
      <c r="L1055" s="594" t="s">
        <v>21</v>
      </c>
      <c r="M1055" s="92"/>
      <c r="N1055" s="92"/>
      <c r="O1055" s="93">
        <f t="shared" si="966"/>
        <v>0</v>
      </c>
      <c r="P1055" s="93">
        <f t="shared" si="967"/>
        <v>0</v>
      </c>
      <c r="Q1055" s="94"/>
      <c r="R1055" s="92">
        <f t="shared" si="968"/>
        <v>0</v>
      </c>
      <c r="S1055" s="92">
        <f t="shared" si="969"/>
        <v>0</v>
      </c>
      <c r="T1055" s="93">
        <f t="shared" si="970"/>
        <v>0</v>
      </c>
      <c r="U1055" s="95">
        <f t="shared" si="971"/>
        <v>0</v>
      </c>
      <c r="V1055" s="94"/>
      <c r="X1055" s="580" t="str">
        <f t="shared" si="972"/>
        <v/>
      </c>
      <c r="Y1055" s="580" t="str">
        <f t="shared" si="973"/>
        <v/>
      </c>
      <c r="Z1055" s="580" t="str">
        <f t="shared" si="974"/>
        <v/>
      </c>
    </row>
    <row r="1056" spans="1:26" ht="25.5" hidden="1" x14ac:dyDescent="0.2">
      <c r="A1056" s="97">
        <v>91878</v>
      </c>
      <c r="B1056" s="1031">
        <v>91878</v>
      </c>
      <c r="C1056" s="978" t="s">
        <v>883</v>
      </c>
      <c r="D1056" s="595" t="s">
        <v>1279</v>
      </c>
      <c r="E1056" s="596"/>
      <c r="F1056" s="671"/>
      <c r="G1056" s="597"/>
      <c r="H1056" s="682"/>
      <c r="I1056" s="592">
        <v>5.94</v>
      </c>
      <c r="J1056" s="592">
        <f t="shared" si="965"/>
        <v>5.94</v>
      </c>
      <c r="K1056" s="593">
        <f t="shared" si="964"/>
        <v>7.23</v>
      </c>
      <c r="L1056" s="594" t="s">
        <v>21</v>
      </c>
      <c r="M1056" s="92"/>
      <c r="N1056" s="92"/>
      <c r="O1056" s="93">
        <f t="shared" si="966"/>
        <v>0</v>
      </c>
      <c r="P1056" s="93">
        <f t="shared" si="967"/>
        <v>0</v>
      </c>
      <c r="Q1056" s="94"/>
      <c r="R1056" s="92">
        <f t="shared" si="968"/>
        <v>0</v>
      </c>
      <c r="S1056" s="92">
        <f t="shared" si="969"/>
        <v>0</v>
      </c>
      <c r="T1056" s="93">
        <f t="shared" si="970"/>
        <v>0</v>
      </c>
      <c r="U1056" s="95">
        <f t="shared" si="971"/>
        <v>0</v>
      </c>
      <c r="V1056" s="94"/>
      <c r="X1056" s="580" t="str">
        <f t="shared" si="972"/>
        <v/>
      </c>
      <c r="Y1056" s="580" t="str">
        <f t="shared" si="973"/>
        <v/>
      </c>
      <c r="Z1056" s="580" t="str">
        <f t="shared" si="974"/>
        <v/>
      </c>
    </row>
    <row r="1057" spans="1:26" ht="25.5" hidden="1" x14ac:dyDescent="0.2">
      <c r="A1057" s="97">
        <v>91879</v>
      </c>
      <c r="B1057" s="1031">
        <v>91879</v>
      </c>
      <c r="C1057" s="978" t="s">
        <v>883</v>
      </c>
      <c r="D1057" s="595" t="s">
        <v>1280</v>
      </c>
      <c r="E1057" s="596"/>
      <c r="F1057" s="671"/>
      <c r="G1057" s="597"/>
      <c r="H1057" s="682"/>
      <c r="I1057" s="592">
        <v>7.41</v>
      </c>
      <c r="J1057" s="592">
        <f t="shared" si="965"/>
        <v>7.41</v>
      </c>
      <c r="K1057" s="593">
        <f t="shared" si="964"/>
        <v>9.02</v>
      </c>
      <c r="L1057" s="594" t="s">
        <v>21</v>
      </c>
      <c r="M1057" s="92"/>
      <c r="N1057" s="92"/>
      <c r="O1057" s="93">
        <f t="shared" si="966"/>
        <v>0</v>
      </c>
      <c r="P1057" s="93">
        <f t="shared" si="967"/>
        <v>0</v>
      </c>
      <c r="Q1057" s="94"/>
      <c r="R1057" s="92">
        <f t="shared" si="968"/>
        <v>0</v>
      </c>
      <c r="S1057" s="92">
        <f t="shared" si="969"/>
        <v>0</v>
      </c>
      <c r="T1057" s="93">
        <f t="shared" si="970"/>
        <v>0</v>
      </c>
      <c r="U1057" s="95">
        <f t="shared" si="971"/>
        <v>0</v>
      </c>
      <c r="V1057" s="94"/>
      <c r="X1057" s="580" t="str">
        <f t="shared" si="972"/>
        <v/>
      </c>
      <c r="Y1057" s="580" t="str">
        <f t="shared" si="973"/>
        <v/>
      </c>
      <c r="Z1057" s="580" t="str">
        <f t="shared" si="974"/>
        <v/>
      </c>
    </row>
    <row r="1058" spans="1:26" ht="25.5" hidden="1" x14ac:dyDescent="0.2">
      <c r="A1058" s="97">
        <v>91880</v>
      </c>
      <c r="B1058" s="1031">
        <v>91880</v>
      </c>
      <c r="C1058" s="978" t="s">
        <v>883</v>
      </c>
      <c r="D1058" s="595" t="s">
        <v>1281</v>
      </c>
      <c r="E1058" s="596"/>
      <c r="F1058" s="671"/>
      <c r="G1058" s="597"/>
      <c r="H1058" s="682"/>
      <c r="I1058" s="592">
        <v>9.42</v>
      </c>
      <c r="J1058" s="592">
        <f t="shared" si="965"/>
        <v>9.42</v>
      </c>
      <c r="K1058" s="593">
        <f t="shared" si="964"/>
        <v>11.47</v>
      </c>
      <c r="L1058" s="594" t="s">
        <v>21</v>
      </c>
      <c r="M1058" s="92"/>
      <c r="N1058" s="92"/>
      <c r="O1058" s="93">
        <f t="shared" si="966"/>
        <v>0</v>
      </c>
      <c r="P1058" s="93">
        <f t="shared" si="967"/>
        <v>0</v>
      </c>
      <c r="Q1058" s="94"/>
      <c r="R1058" s="92">
        <f t="shared" si="968"/>
        <v>0</v>
      </c>
      <c r="S1058" s="92">
        <f t="shared" si="969"/>
        <v>0</v>
      </c>
      <c r="T1058" s="93">
        <f t="shared" si="970"/>
        <v>0</v>
      </c>
      <c r="U1058" s="95">
        <f t="shared" si="971"/>
        <v>0</v>
      </c>
      <c r="V1058" s="94"/>
      <c r="X1058" s="580" t="str">
        <f t="shared" si="972"/>
        <v/>
      </c>
      <c r="Y1058" s="580" t="str">
        <f t="shared" si="973"/>
        <v/>
      </c>
      <c r="Z1058" s="580" t="str">
        <f t="shared" si="974"/>
        <v/>
      </c>
    </row>
    <row r="1059" spans="1:26" ht="25.5" hidden="1" x14ac:dyDescent="0.2">
      <c r="A1059" s="97">
        <v>91881</v>
      </c>
      <c r="B1059" s="1031">
        <v>91881</v>
      </c>
      <c r="C1059" s="978" t="s">
        <v>883</v>
      </c>
      <c r="D1059" s="595" t="s">
        <v>1282</v>
      </c>
      <c r="E1059" s="596"/>
      <c r="F1059" s="671"/>
      <c r="G1059" s="597"/>
      <c r="H1059" s="682"/>
      <c r="I1059" s="592">
        <v>12.12</v>
      </c>
      <c r="J1059" s="592">
        <f t="shared" si="965"/>
        <v>12.12</v>
      </c>
      <c r="K1059" s="593">
        <f t="shared" si="964"/>
        <v>14.75</v>
      </c>
      <c r="L1059" s="594" t="s">
        <v>21</v>
      </c>
      <c r="M1059" s="92"/>
      <c r="N1059" s="92"/>
      <c r="O1059" s="93">
        <f t="shared" si="966"/>
        <v>0</v>
      </c>
      <c r="P1059" s="93">
        <f t="shared" si="967"/>
        <v>0</v>
      </c>
      <c r="Q1059" s="94"/>
      <c r="R1059" s="92">
        <f t="shared" si="968"/>
        <v>0</v>
      </c>
      <c r="S1059" s="92">
        <f t="shared" si="969"/>
        <v>0</v>
      </c>
      <c r="T1059" s="93">
        <f t="shared" si="970"/>
        <v>0</v>
      </c>
      <c r="U1059" s="95">
        <f t="shared" si="971"/>
        <v>0</v>
      </c>
      <c r="V1059" s="94"/>
      <c r="X1059" s="580" t="str">
        <f t="shared" si="972"/>
        <v/>
      </c>
      <c r="Y1059" s="580" t="str">
        <f t="shared" si="973"/>
        <v/>
      </c>
      <c r="Z1059" s="580" t="str">
        <f t="shared" si="974"/>
        <v/>
      </c>
    </row>
    <row r="1060" spans="1:26" ht="25.5" hidden="1" x14ac:dyDescent="0.2">
      <c r="A1060" s="97">
        <v>91882</v>
      </c>
      <c r="B1060" s="1031">
        <v>91882</v>
      </c>
      <c r="C1060" s="978" t="s">
        <v>883</v>
      </c>
      <c r="D1060" s="595" t="s">
        <v>1283</v>
      </c>
      <c r="E1060" s="596"/>
      <c r="F1060" s="671"/>
      <c r="G1060" s="597"/>
      <c r="H1060" s="682"/>
      <c r="I1060" s="592">
        <v>7.33</v>
      </c>
      <c r="J1060" s="592">
        <f t="shared" si="965"/>
        <v>7.33</v>
      </c>
      <c r="K1060" s="593">
        <f t="shared" si="964"/>
        <v>8.92</v>
      </c>
      <c r="L1060" s="594" t="s">
        <v>21</v>
      </c>
      <c r="M1060" s="92"/>
      <c r="N1060" s="92"/>
      <c r="O1060" s="93">
        <f t="shared" si="966"/>
        <v>0</v>
      </c>
      <c r="P1060" s="93">
        <f t="shared" si="967"/>
        <v>0</v>
      </c>
      <c r="Q1060" s="94"/>
      <c r="R1060" s="92">
        <f t="shared" si="968"/>
        <v>0</v>
      </c>
      <c r="S1060" s="92">
        <f t="shared" si="969"/>
        <v>0</v>
      </c>
      <c r="T1060" s="93">
        <f t="shared" si="970"/>
        <v>0</v>
      </c>
      <c r="U1060" s="95">
        <f t="shared" si="971"/>
        <v>0</v>
      </c>
      <c r="V1060" s="94"/>
      <c r="X1060" s="580" t="str">
        <f t="shared" si="972"/>
        <v/>
      </c>
      <c r="Y1060" s="580" t="str">
        <f t="shared" si="973"/>
        <v/>
      </c>
      <c r="Z1060" s="580" t="str">
        <f t="shared" si="974"/>
        <v/>
      </c>
    </row>
    <row r="1061" spans="1:26" ht="25.5" hidden="1" x14ac:dyDescent="0.2">
      <c r="A1061" s="97">
        <v>91884</v>
      </c>
      <c r="B1061" s="1031">
        <v>91884</v>
      </c>
      <c r="C1061" s="978" t="s">
        <v>883</v>
      </c>
      <c r="D1061" s="595" t="s">
        <v>1284</v>
      </c>
      <c r="E1061" s="596"/>
      <c r="F1061" s="671"/>
      <c r="G1061" s="597"/>
      <c r="H1061" s="682"/>
      <c r="I1061" s="592">
        <v>8.49</v>
      </c>
      <c r="J1061" s="592">
        <f t="shared" si="965"/>
        <v>8.49</v>
      </c>
      <c r="K1061" s="593">
        <f t="shared" si="964"/>
        <v>10.33</v>
      </c>
      <c r="L1061" s="594" t="s">
        <v>21</v>
      </c>
      <c r="M1061" s="92"/>
      <c r="N1061" s="92"/>
      <c r="O1061" s="93">
        <f t="shared" si="966"/>
        <v>0</v>
      </c>
      <c r="P1061" s="93">
        <f t="shared" si="967"/>
        <v>0</v>
      </c>
      <c r="Q1061" s="94"/>
      <c r="R1061" s="92">
        <f t="shared" si="968"/>
        <v>0</v>
      </c>
      <c r="S1061" s="92">
        <f t="shared" si="969"/>
        <v>0</v>
      </c>
      <c r="T1061" s="93">
        <f t="shared" si="970"/>
        <v>0</v>
      </c>
      <c r="U1061" s="95">
        <f t="shared" si="971"/>
        <v>0</v>
      </c>
      <c r="V1061" s="94"/>
      <c r="X1061" s="580" t="str">
        <f t="shared" si="972"/>
        <v/>
      </c>
      <c r="Y1061" s="580" t="str">
        <f t="shared" si="973"/>
        <v/>
      </c>
      <c r="Z1061" s="580" t="str">
        <f t="shared" si="974"/>
        <v/>
      </c>
    </row>
    <row r="1062" spans="1:26" ht="25.5" hidden="1" x14ac:dyDescent="0.2">
      <c r="A1062" s="97">
        <v>91885</v>
      </c>
      <c r="B1062" s="1031">
        <v>91885</v>
      </c>
      <c r="C1062" s="978" t="s">
        <v>883</v>
      </c>
      <c r="D1062" s="595" t="s">
        <v>1285</v>
      </c>
      <c r="E1062" s="596"/>
      <c r="F1062" s="671"/>
      <c r="G1062" s="597"/>
      <c r="H1062" s="682"/>
      <c r="I1062" s="592">
        <v>10.050000000000001</v>
      </c>
      <c r="J1062" s="592">
        <f t="shared" si="965"/>
        <v>10.050000000000001</v>
      </c>
      <c r="K1062" s="593">
        <f t="shared" si="964"/>
        <v>12.23</v>
      </c>
      <c r="L1062" s="594" t="s">
        <v>21</v>
      </c>
      <c r="M1062" s="92"/>
      <c r="N1062" s="92"/>
      <c r="O1062" s="93">
        <f t="shared" si="966"/>
        <v>0</v>
      </c>
      <c r="P1062" s="93">
        <f t="shared" si="967"/>
        <v>0</v>
      </c>
      <c r="Q1062" s="94"/>
      <c r="R1062" s="92">
        <f t="shared" si="968"/>
        <v>0</v>
      </c>
      <c r="S1062" s="92">
        <f t="shared" si="969"/>
        <v>0</v>
      </c>
      <c r="T1062" s="93">
        <f t="shared" si="970"/>
        <v>0</v>
      </c>
      <c r="U1062" s="95">
        <f t="shared" si="971"/>
        <v>0</v>
      </c>
      <c r="V1062" s="94"/>
      <c r="X1062" s="580" t="str">
        <f t="shared" si="972"/>
        <v/>
      </c>
      <c r="Y1062" s="580" t="str">
        <f t="shared" si="973"/>
        <v/>
      </c>
      <c r="Z1062" s="580" t="str">
        <f t="shared" si="974"/>
        <v/>
      </c>
    </row>
    <row r="1063" spans="1:26" ht="25.5" hidden="1" x14ac:dyDescent="0.2">
      <c r="A1063" s="97">
        <v>91886</v>
      </c>
      <c r="B1063" s="1031">
        <v>91886</v>
      </c>
      <c r="C1063" s="978" t="s">
        <v>883</v>
      </c>
      <c r="D1063" s="595" t="s">
        <v>1286</v>
      </c>
      <c r="E1063" s="596"/>
      <c r="F1063" s="671"/>
      <c r="G1063" s="597"/>
      <c r="H1063" s="682"/>
      <c r="I1063" s="592">
        <v>12.25</v>
      </c>
      <c r="J1063" s="592">
        <f t="shared" si="965"/>
        <v>12.25</v>
      </c>
      <c r="K1063" s="593">
        <f t="shared" si="964"/>
        <v>14.91</v>
      </c>
      <c r="L1063" s="594" t="s">
        <v>21</v>
      </c>
      <c r="M1063" s="92"/>
      <c r="N1063" s="92"/>
      <c r="O1063" s="93">
        <f t="shared" si="966"/>
        <v>0</v>
      </c>
      <c r="P1063" s="93">
        <f t="shared" si="967"/>
        <v>0</v>
      </c>
      <c r="Q1063" s="94"/>
      <c r="R1063" s="92">
        <f t="shared" si="968"/>
        <v>0</v>
      </c>
      <c r="S1063" s="92">
        <f t="shared" si="969"/>
        <v>0</v>
      </c>
      <c r="T1063" s="93">
        <f t="shared" si="970"/>
        <v>0</v>
      </c>
      <c r="U1063" s="95">
        <f t="shared" si="971"/>
        <v>0</v>
      </c>
      <c r="V1063" s="94"/>
      <c r="X1063" s="580" t="str">
        <f t="shared" si="972"/>
        <v/>
      </c>
      <c r="Y1063" s="580" t="str">
        <f t="shared" si="973"/>
        <v/>
      </c>
      <c r="Z1063" s="580" t="str">
        <f t="shared" si="974"/>
        <v/>
      </c>
    </row>
    <row r="1064" spans="1:26" ht="25.5" hidden="1" x14ac:dyDescent="0.2">
      <c r="A1064" s="97">
        <v>91887</v>
      </c>
      <c r="B1064" s="1031">
        <v>91887</v>
      </c>
      <c r="C1064" s="978" t="s">
        <v>883</v>
      </c>
      <c r="D1064" s="595" t="s">
        <v>1287</v>
      </c>
      <c r="E1064" s="596"/>
      <c r="F1064" s="671"/>
      <c r="G1064" s="597"/>
      <c r="H1064" s="682"/>
      <c r="I1064" s="592">
        <v>8.66</v>
      </c>
      <c r="J1064" s="592">
        <f t="shared" si="965"/>
        <v>8.66</v>
      </c>
      <c r="K1064" s="593">
        <f t="shared" si="964"/>
        <v>10.54</v>
      </c>
      <c r="L1064" s="594" t="s">
        <v>21</v>
      </c>
      <c r="M1064" s="92"/>
      <c r="N1064" s="92"/>
      <c r="O1064" s="93">
        <f t="shared" si="966"/>
        <v>0</v>
      </c>
      <c r="P1064" s="93">
        <f t="shared" si="967"/>
        <v>0</v>
      </c>
      <c r="Q1064" s="94"/>
      <c r="R1064" s="92">
        <f t="shared" si="968"/>
        <v>0</v>
      </c>
      <c r="S1064" s="92">
        <f t="shared" si="969"/>
        <v>0</v>
      </c>
      <c r="T1064" s="93">
        <f t="shared" si="970"/>
        <v>0</v>
      </c>
      <c r="U1064" s="95">
        <f t="shared" si="971"/>
        <v>0</v>
      </c>
      <c r="V1064" s="94"/>
      <c r="X1064" s="580" t="str">
        <f t="shared" si="972"/>
        <v/>
      </c>
      <c r="Y1064" s="580" t="str">
        <f t="shared" si="973"/>
        <v/>
      </c>
      <c r="Z1064" s="580" t="str">
        <f t="shared" si="974"/>
        <v/>
      </c>
    </row>
    <row r="1065" spans="1:26" ht="25.5" hidden="1" x14ac:dyDescent="0.2">
      <c r="A1065" s="97">
        <v>91889</v>
      </c>
      <c r="B1065" s="1031">
        <v>91889</v>
      </c>
      <c r="C1065" s="978" t="s">
        <v>883</v>
      </c>
      <c r="D1065" s="595" t="s">
        <v>1288</v>
      </c>
      <c r="E1065" s="596"/>
      <c r="F1065" s="671"/>
      <c r="G1065" s="597"/>
      <c r="H1065" s="682"/>
      <c r="I1065" s="592">
        <v>8.33</v>
      </c>
      <c r="J1065" s="592">
        <f t="shared" si="965"/>
        <v>8.33</v>
      </c>
      <c r="K1065" s="593">
        <f t="shared" si="964"/>
        <v>10.14</v>
      </c>
      <c r="L1065" s="594" t="s">
        <v>21</v>
      </c>
      <c r="M1065" s="92"/>
      <c r="N1065" s="92"/>
      <c r="O1065" s="93">
        <f t="shared" si="966"/>
        <v>0</v>
      </c>
      <c r="P1065" s="93">
        <f t="shared" si="967"/>
        <v>0</v>
      </c>
      <c r="Q1065" s="94"/>
      <c r="R1065" s="92">
        <f t="shared" si="968"/>
        <v>0</v>
      </c>
      <c r="S1065" s="92">
        <f t="shared" si="969"/>
        <v>0</v>
      </c>
      <c r="T1065" s="93">
        <f t="shared" si="970"/>
        <v>0</v>
      </c>
      <c r="U1065" s="95">
        <f t="shared" si="971"/>
        <v>0</v>
      </c>
      <c r="V1065" s="94"/>
      <c r="X1065" s="580" t="str">
        <f t="shared" si="972"/>
        <v/>
      </c>
      <c r="Y1065" s="580" t="str">
        <f t="shared" si="973"/>
        <v/>
      </c>
      <c r="Z1065" s="580" t="str">
        <f t="shared" si="974"/>
        <v/>
      </c>
    </row>
    <row r="1066" spans="1:26" ht="25.5" hidden="1" x14ac:dyDescent="0.2">
      <c r="A1066" s="97">
        <v>91890</v>
      </c>
      <c r="B1066" s="1031">
        <v>91890</v>
      </c>
      <c r="C1066" s="978" t="s">
        <v>883</v>
      </c>
      <c r="D1066" s="595" t="s">
        <v>1289</v>
      </c>
      <c r="E1066" s="596"/>
      <c r="F1066" s="671"/>
      <c r="G1066" s="597"/>
      <c r="H1066" s="682"/>
      <c r="I1066" s="592">
        <v>10.28</v>
      </c>
      <c r="J1066" s="592">
        <f t="shared" si="965"/>
        <v>10.28</v>
      </c>
      <c r="K1066" s="593">
        <f t="shared" si="964"/>
        <v>12.51</v>
      </c>
      <c r="L1066" s="594" t="s">
        <v>21</v>
      </c>
      <c r="M1066" s="92"/>
      <c r="N1066" s="92"/>
      <c r="O1066" s="93">
        <f t="shared" si="966"/>
        <v>0</v>
      </c>
      <c r="P1066" s="93">
        <f t="shared" si="967"/>
        <v>0</v>
      </c>
      <c r="Q1066" s="94"/>
      <c r="R1066" s="92">
        <f t="shared" si="968"/>
        <v>0</v>
      </c>
      <c r="S1066" s="92">
        <f t="shared" si="969"/>
        <v>0</v>
      </c>
      <c r="T1066" s="93">
        <f t="shared" si="970"/>
        <v>0</v>
      </c>
      <c r="U1066" s="95">
        <f t="shared" si="971"/>
        <v>0</v>
      </c>
      <c r="V1066" s="94"/>
      <c r="X1066" s="580" t="str">
        <f t="shared" si="972"/>
        <v/>
      </c>
      <c r="Y1066" s="580" t="str">
        <f t="shared" si="973"/>
        <v/>
      </c>
      <c r="Z1066" s="580" t="str">
        <f t="shared" si="974"/>
        <v/>
      </c>
    </row>
    <row r="1067" spans="1:26" ht="25.5" hidden="1" x14ac:dyDescent="0.2">
      <c r="A1067" s="97">
        <v>91892</v>
      </c>
      <c r="B1067" s="1031">
        <v>91892</v>
      </c>
      <c r="C1067" s="978" t="s">
        <v>883</v>
      </c>
      <c r="D1067" s="595" t="s">
        <v>1290</v>
      </c>
      <c r="E1067" s="596"/>
      <c r="F1067" s="671"/>
      <c r="G1067" s="597"/>
      <c r="H1067" s="682"/>
      <c r="I1067" s="592">
        <v>12.49</v>
      </c>
      <c r="J1067" s="592">
        <f t="shared" si="965"/>
        <v>12.49</v>
      </c>
      <c r="K1067" s="593">
        <f t="shared" si="964"/>
        <v>15.2</v>
      </c>
      <c r="L1067" s="594" t="s">
        <v>21</v>
      </c>
      <c r="M1067" s="92"/>
      <c r="N1067" s="92"/>
      <c r="O1067" s="93">
        <f t="shared" si="966"/>
        <v>0</v>
      </c>
      <c r="P1067" s="93">
        <f t="shared" si="967"/>
        <v>0</v>
      </c>
      <c r="Q1067" s="94"/>
      <c r="R1067" s="92">
        <f t="shared" si="968"/>
        <v>0</v>
      </c>
      <c r="S1067" s="92">
        <f t="shared" si="969"/>
        <v>0</v>
      </c>
      <c r="T1067" s="93">
        <f t="shared" si="970"/>
        <v>0</v>
      </c>
      <c r="U1067" s="95">
        <f t="shared" si="971"/>
        <v>0</v>
      </c>
      <c r="V1067" s="94"/>
      <c r="X1067" s="580" t="str">
        <f t="shared" si="972"/>
        <v/>
      </c>
      <c r="Y1067" s="580" t="str">
        <f t="shared" si="973"/>
        <v/>
      </c>
      <c r="Z1067" s="580" t="str">
        <f t="shared" si="974"/>
        <v/>
      </c>
    </row>
    <row r="1068" spans="1:26" ht="25.5" hidden="1" x14ac:dyDescent="0.2">
      <c r="A1068" s="97">
        <v>91893</v>
      </c>
      <c r="B1068" s="1031">
        <v>91893</v>
      </c>
      <c r="C1068" s="978" t="s">
        <v>883</v>
      </c>
      <c r="D1068" s="595" t="s">
        <v>1291</v>
      </c>
      <c r="E1068" s="596"/>
      <c r="F1068" s="671"/>
      <c r="G1068" s="597"/>
      <c r="H1068" s="682"/>
      <c r="I1068" s="592">
        <v>14.08</v>
      </c>
      <c r="J1068" s="592">
        <f t="shared" si="965"/>
        <v>14.08</v>
      </c>
      <c r="K1068" s="593">
        <f t="shared" si="964"/>
        <v>17.14</v>
      </c>
      <c r="L1068" s="594" t="s">
        <v>21</v>
      </c>
      <c r="M1068" s="92"/>
      <c r="N1068" s="92"/>
      <c r="O1068" s="93">
        <f t="shared" si="966"/>
        <v>0</v>
      </c>
      <c r="P1068" s="93">
        <f t="shared" si="967"/>
        <v>0</v>
      </c>
      <c r="Q1068" s="94"/>
      <c r="R1068" s="92">
        <f t="shared" si="968"/>
        <v>0</v>
      </c>
      <c r="S1068" s="92">
        <f t="shared" si="969"/>
        <v>0</v>
      </c>
      <c r="T1068" s="93">
        <f t="shared" si="970"/>
        <v>0</v>
      </c>
      <c r="U1068" s="95">
        <f t="shared" si="971"/>
        <v>0</v>
      </c>
      <c r="V1068" s="94"/>
      <c r="X1068" s="580" t="str">
        <f t="shared" si="972"/>
        <v/>
      </c>
      <c r="Y1068" s="580" t="str">
        <f t="shared" si="973"/>
        <v/>
      </c>
      <c r="Z1068" s="580" t="str">
        <f t="shared" si="974"/>
        <v/>
      </c>
    </row>
    <row r="1069" spans="1:26" ht="25.5" hidden="1" x14ac:dyDescent="0.2">
      <c r="A1069" s="97">
        <v>91896</v>
      </c>
      <c r="B1069" s="1031">
        <v>91896</v>
      </c>
      <c r="C1069" s="978" t="s">
        <v>883</v>
      </c>
      <c r="D1069" s="595" t="s">
        <v>1292</v>
      </c>
      <c r="E1069" s="596"/>
      <c r="F1069" s="671"/>
      <c r="G1069" s="597"/>
      <c r="H1069" s="682"/>
      <c r="I1069" s="592">
        <v>17.149999999999999</v>
      </c>
      <c r="J1069" s="592">
        <f t="shared" si="965"/>
        <v>17.149999999999999</v>
      </c>
      <c r="K1069" s="593">
        <f t="shared" si="964"/>
        <v>20.87</v>
      </c>
      <c r="L1069" s="594" t="s">
        <v>21</v>
      </c>
      <c r="M1069" s="92"/>
      <c r="N1069" s="92"/>
      <c r="O1069" s="93">
        <f t="shared" si="966"/>
        <v>0</v>
      </c>
      <c r="P1069" s="93">
        <f t="shared" si="967"/>
        <v>0</v>
      </c>
      <c r="Q1069" s="94"/>
      <c r="R1069" s="92">
        <f t="shared" si="968"/>
        <v>0</v>
      </c>
      <c r="S1069" s="92">
        <f t="shared" si="969"/>
        <v>0</v>
      </c>
      <c r="T1069" s="93">
        <f t="shared" si="970"/>
        <v>0</v>
      </c>
      <c r="U1069" s="95">
        <f t="shared" si="971"/>
        <v>0</v>
      </c>
      <c r="V1069" s="94"/>
      <c r="X1069" s="580" t="str">
        <f t="shared" si="972"/>
        <v/>
      </c>
      <c r="Y1069" s="580" t="str">
        <f t="shared" si="973"/>
        <v/>
      </c>
      <c r="Z1069" s="580" t="str">
        <f t="shared" si="974"/>
        <v/>
      </c>
    </row>
    <row r="1070" spans="1:26" ht="25.5" hidden="1" x14ac:dyDescent="0.2">
      <c r="A1070" s="97">
        <v>91898</v>
      </c>
      <c r="B1070" s="1031">
        <v>91898</v>
      </c>
      <c r="C1070" s="978" t="s">
        <v>883</v>
      </c>
      <c r="D1070" s="595" t="s">
        <v>1293</v>
      </c>
      <c r="E1070" s="596"/>
      <c r="F1070" s="671"/>
      <c r="G1070" s="597"/>
      <c r="H1070" s="682"/>
      <c r="I1070" s="592">
        <v>19.559999999999999</v>
      </c>
      <c r="J1070" s="592">
        <f t="shared" si="965"/>
        <v>19.559999999999999</v>
      </c>
      <c r="K1070" s="593">
        <f t="shared" si="964"/>
        <v>23.81</v>
      </c>
      <c r="L1070" s="594" t="s">
        <v>21</v>
      </c>
      <c r="M1070" s="92"/>
      <c r="N1070" s="92"/>
      <c r="O1070" s="93">
        <f t="shared" si="966"/>
        <v>0</v>
      </c>
      <c r="P1070" s="93">
        <f t="shared" si="967"/>
        <v>0</v>
      </c>
      <c r="Q1070" s="94"/>
      <c r="R1070" s="92">
        <f t="shared" si="968"/>
        <v>0</v>
      </c>
      <c r="S1070" s="92">
        <f t="shared" si="969"/>
        <v>0</v>
      </c>
      <c r="T1070" s="93">
        <f t="shared" si="970"/>
        <v>0</v>
      </c>
      <c r="U1070" s="95">
        <f t="shared" si="971"/>
        <v>0</v>
      </c>
      <c r="V1070" s="94"/>
      <c r="X1070" s="580" t="str">
        <f t="shared" si="972"/>
        <v/>
      </c>
      <c r="Y1070" s="580" t="str">
        <f t="shared" si="973"/>
        <v/>
      </c>
      <c r="Z1070" s="580" t="str">
        <f t="shared" si="974"/>
        <v/>
      </c>
    </row>
    <row r="1071" spans="1:26" ht="25.5" hidden="1" x14ac:dyDescent="0.2">
      <c r="A1071" s="97">
        <v>91899</v>
      </c>
      <c r="B1071" s="1031">
        <v>91899</v>
      </c>
      <c r="C1071" s="978" t="s">
        <v>883</v>
      </c>
      <c r="D1071" s="595" t="s">
        <v>1294</v>
      </c>
      <c r="E1071" s="596"/>
      <c r="F1071" s="671"/>
      <c r="G1071" s="597"/>
      <c r="H1071" s="682"/>
      <c r="I1071" s="592">
        <v>10.55</v>
      </c>
      <c r="J1071" s="592">
        <f t="shared" si="965"/>
        <v>10.55</v>
      </c>
      <c r="K1071" s="593">
        <f t="shared" si="964"/>
        <v>12.84</v>
      </c>
      <c r="L1071" s="594" t="s">
        <v>21</v>
      </c>
      <c r="M1071" s="92"/>
      <c r="N1071" s="92"/>
      <c r="O1071" s="93">
        <f t="shared" si="966"/>
        <v>0</v>
      </c>
      <c r="P1071" s="93">
        <f t="shared" si="967"/>
        <v>0</v>
      </c>
      <c r="Q1071" s="94"/>
      <c r="R1071" s="92">
        <f t="shared" si="968"/>
        <v>0</v>
      </c>
      <c r="S1071" s="92">
        <f t="shared" si="969"/>
        <v>0</v>
      </c>
      <c r="T1071" s="93">
        <f t="shared" si="970"/>
        <v>0</v>
      </c>
      <c r="U1071" s="95">
        <f t="shared" si="971"/>
        <v>0</v>
      </c>
      <c r="V1071" s="94"/>
      <c r="X1071" s="580" t="str">
        <f t="shared" si="972"/>
        <v/>
      </c>
      <c r="Y1071" s="580" t="str">
        <f t="shared" si="973"/>
        <v/>
      </c>
      <c r="Z1071" s="580" t="str">
        <f t="shared" si="974"/>
        <v/>
      </c>
    </row>
    <row r="1072" spans="1:26" ht="25.5" hidden="1" x14ac:dyDescent="0.2">
      <c r="A1072" s="97">
        <v>91901</v>
      </c>
      <c r="B1072" s="1031">
        <v>91901</v>
      </c>
      <c r="C1072" s="978" t="s">
        <v>883</v>
      </c>
      <c r="D1072" s="595" t="s">
        <v>1295</v>
      </c>
      <c r="E1072" s="596"/>
      <c r="F1072" s="671"/>
      <c r="G1072" s="597"/>
      <c r="H1072" s="682"/>
      <c r="I1072" s="592">
        <v>10.220000000000001</v>
      </c>
      <c r="J1072" s="592">
        <f t="shared" si="965"/>
        <v>10.220000000000001</v>
      </c>
      <c r="K1072" s="593">
        <f t="shared" si="964"/>
        <v>12.44</v>
      </c>
      <c r="L1072" s="594" t="s">
        <v>21</v>
      </c>
      <c r="M1072" s="92"/>
      <c r="N1072" s="92"/>
      <c r="O1072" s="93">
        <f t="shared" si="966"/>
        <v>0</v>
      </c>
      <c r="P1072" s="93">
        <f t="shared" si="967"/>
        <v>0</v>
      </c>
      <c r="Q1072" s="94"/>
      <c r="R1072" s="92">
        <f t="shared" si="968"/>
        <v>0</v>
      </c>
      <c r="S1072" s="92">
        <f t="shared" si="969"/>
        <v>0</v>
      </c>
      <c r="T1072" s="93">
        <f t="shared" si="970"/>
        <v>0</v>
      </c>
      <c r="U1072" s="95">
        <f t="shared" si="971"/>
        <v>0</v>
      </c>
      <c r="V1072" s="94"/>
      <c r="X1072" s="580" t="str">
        <f t="shared" si="972"/>
        <v/>
      </c>
      <c r="Y1072" s="580" t="str">
        <f t="shared" si="973"/>
        <v/>
      </c>
      <c r="Z1072" s="580" t="str">
        <f t="shared" si="974"/>
        <v/>
      </c>
    </row>
    <row r="1073" spans="1:26" ht="25.5" hidden="1" x14ac:dyDescent="0.2">
      <c r="A1073" s="97">
        <v>91902</v>
      </c>
      <c r="B1073" s="1031">
        <v>91902</v>
      </c>
      <c r="C1073" s="978" t="s">
        <v>883</v>
      </c>
      <c r="D1073" s="595" t="s">
        <v>1296</v>
      </c>
      <c r="E1073" s="596"/>
      <c r="F1073" s="671"/>
      <c r="G1073" s="597"/>
      <c r="H1073" s="682"/>
      <c r="I1073" s="592">
        <v>12.17</v>
      </c>
      <c r="J1073" s="592">
        <f t="shared" si="965"/>
        <v>12.17</v>
      </c>
      <c r="K1073" s="593">
        <f t="shared" si="964"/>
        <v>14.81</v>
      </c>
      <c r="L1073" s="594" t="s">
        <v>21</v>
      </c>
      <c r="M1073" s="92"/>
      <c r="N1073" s="92"/>
      <c r="O1073" s="93">
        <f t="shared" si="966"/>
        <v>0</v>
      </c>
      <c r="P1073" s="93">
        <f t="shared" si="967"/>
        <v>0</v>
      </c>
      <c r="Q1073" s="94"/>
      <c r="R1073" s="92">
        <f t="shared" si="968"/>
        <v>0</v>
      </c>
      <c r="S1073" s="92">
        <f t="shared" si="969"/>
        <v>0</v>
      </c>
      <c r="T1073" s="93">
        <f t="shared" si="970"/>
        <v>0</v>
      </c>
      <c r="U1073" s="95">
        <f t="shared" si="971"/>
        <v>0</v>
      </c>
      <c r="V1073" s="94"/>
      <c r="X1073" s="580" t="str">
        <f t="shared" si="972"/>
        <v/>
      </c>
      <c r="Y1073" s="580" t="str">
        <f t="shared" si="973"/>
        <v/>
      </c>
      <c r="Z1073" s="580" t="str">
        <f t="shared" si="974"/>
        <v/>
      </c>
    </row>
    <row r="1074" spans="1:26" ht="25.5" hidden="1" x14ac:dyDescent="0.2">
      <c r="A1074" s="97">
        <v>91895</v>
      </c>
      <c r="B1074" s="1031">
        <v>91895</v>
      </c>
      <c r="C1074" s="978" t="s">
        <v>883</v>
      </c>
      <c r="D1074" s="595" t="s">
        <v>1297</v>
      </c>
      <c r="E1074" s="596"/>
      <c r="F1074" s="671"/>
      <c r="G1074" s="597"/>
      <c r="H1074" s="682"/>
      <c r="I1074" s="592">
        <v>16.329999999999998</v>
      </c>
      <c r="J1074" s="592">
        <f t="shared" si="965"/>
        <v>16.329999999999998</v>
      </c>
      <c r="K1074" s="593">
        <f t="shared" si="964"/>
        <v>19.88</v>
      </c>
      <c r="L1074" s="594" t="s">
        <v>21</v>
      </c>
      <c r="M1074" s="92"/>
      <c r="N1074" s="92"/>
      <c r="O1074" s="93">
        <f t="shared" si="966"/>
        <v>0</v>
      </c>
      <c r="P1074" s="93">
        <f t="shared" si="967"/>
        <v>0</v>
      </c>
      <c r="Q1074" s="94"/>
      <c r="R1074" s="92">
        <f t="shared" si="968"/>
        <v>0</v>
      </c>
      <c r="S1074" s="92">
        <f t="shared" si="969"/>
        <v>0</v>
      </c>
      <c r="T1074" s="93">
        <f t="shared" si="970"/>
        <v>0</v>
      </c>
      <c r="U1074" s="95">
        <f t="shared" si="971"/>
        <v>0</v>
      </c>
      <c r="V1074" s="94"/>
      <c r="X1074" s="580" t="str">
        <f t="shared" si="972"/>
        <v/>
      </c>
      <c r="Y1074" s="580" t="str">
        <f t="shared" si="973"/>
        <v/>
      </c>
      <c r="Z1074" s="580" t="str">
        <f t="shared" si="974"/>
        <v/>
      </c>
    </row>
    <row r="1075" spans="1:26" ht="25.5" hidden="1" x14ac:dyDescent="0.2">
      <c r="A1075" s="97">
        <v>91907</v>
      </c>
      <c r="B1075" s="1031">
        <v>91907</v>
      </c>
      <c r="C1075" s="978" t="s">
        <v>883</v>
      </c>
      <c r="D1075" s="595" t="s">
        <v>1298</v>
      </c>
      <c r="E1075" s="596"/>
      <c r="F1075" s="671"/>
      <c r="G1075" s="597"/>
      <c r="H1075" s="682"/>
      <c r="I1075" s="592">
        <v>18.22</v>
      </c>
      <c r="J1075" s="592">
        <f t="shared" si="965"/>
        <v>18.22</v>
      </c>
      <c r="K1075" s="593">
        <f t="shared" si="964"/>
        <v>22.18</v>
      </c>
      <c r="L1075" s="594" t="s">
        <v>21</v>
      </c>
      <c r="M1075" s="92"/>
      <c r="N1075" s="92"/>
      <c r="O1075" s="93">
        <f t="shared" si="966"/>
        <v>0</v>
      </c>
      <c r="P1075" s="93">
        <f t="shared" si="967"/>
        <v>0</v>
      </c>
      <c r="Q1075" s="94"/>
      <c r="R1075" s="92">
        <f t="shared" si="968"/>
        <v>0</v>
      </c>
      <c r="S1075" s="92">
        <f t="shared" si="969"/>
        <v>0</v>
      </c>
      <c r="T1075" s="93">
        <f t="shared" si="970"/>
        <v>0</v>
      </c>
      <c r="U1075" s="95">
        <f t="shared" si="971"/>
        <v>0</v>
      </c>
      <c r="V1075" s="94"/>
      <c r="X1075" s="580" t="str">
        <f t="shared" si="972"/>
        <v/>
      </c>
      <c r="Y1075" s="580" t="str">
        <f t="shared" si="973"/>
        <v/>
      </c>
      <c r="Z1075" s="580" t="str">
        <f t="shared" si="974"/>
        <v/>
      </c>
    </row>
    <row r="1076" spans="1:26" ht="25.5" hidden="1" x14ac:dyDescent="0.2">
      <c r="A1076" s="97">
        <v>91919</v>
      </c>
      <c r="B1076" s="1031">
        <v>91919</v>
      </c>
      <c r="C1076" s="978" t="s">
        <v>883</v>
      </c>
      <c r="D1076" s="595" t="s">
        <v>1299</v>
      </c>
      <c r="E1076" s="596"/>
      <c r="F1076" s="671"/>
      <c r="G1076" s="597"/>
      <c r="H1076" s="682"/>
      <c r="I1076" s="592">
        <v>19.2</v>
      </c>
      <c r="J1076" s="592">
        <f t="shared" si="965"/>
        <v>19.2</v>
      </c>
      <c r="K1076" s="593">
        <f t="shared" si="964"/>
        <v>23.37</v>
      </c>
      <c r="L1076" s="594" t="s">
        <v>21</v>
      </c>
      <c r="M1076" s="92"/>
      <c r="N1076" s="92"/>
      <c r="O1076" s="93">
        <f t="shared" si="966"/>
        <v>0</v>
      </c>
      <c r="P1076" s="93">
        <f t="shared" si="967"/>
        <v>0</v>
      </c>
      <c r="Q1076" s="94"/>
      <c r="R1076" s="92">
        <f t="shared" si="968"/>
        <v>0</v>
      </c>
      <c r="S1076" s="92">
        <f t="shared" si="969"/>
        <v>0</v>
      </c>
      <c r="T1076" s="93">
        <f t="shared" si="970"/>
        <v>0</v>
      </c>
      <c r="U1076" s="95">
        <f t="shared" si="971"/>
        <v>0</v>
      </c>
      <c r="V1076" s="94"/>
      <c r="X1076" s="580" t="str">
        <f t="shared" si="972"/>
        <v/>
      </c>
      <c r="Y1076" s="580" t="str">
        <f t="shared" si="973"/>
        <v/>
      </c>
      <c r="Z1076" s="580" t="str">
        <f t="shared" si="974"/>
        <v/>
      </c>
    </row>
    <row r="1077" spans="1:26" ht="25.5" hidden="1" x14ac:dyDescent="0.2">
      <c r="A1077" s="97">
        <v>91904</v>
      </c>
      <c r="B1077" s="1031">
        <v>91904</v>
      </c>
      <c r="C1077" s="978" t="s">
        <v>883</v>
      </c>
      <c r="D1077" s="595" t="s">
        <v>1300</v>
      </c>
      <c r="E1077" s="596"/>
      <c r="F1077" s="671"/>
      <c r="G1077" s="597"/>
      <c r="H1077" s="682"/>
      <c r="I1077" s="592">
        <v>14.38</v>
      </c>
      <c r="J1077" s="592">
        <f t="shared" si="965"/>
        <v>14.38</v>
      </c>
      <c r="K1077" s="593">
        <f t="shared" si="964"/>
        <v>17.5</v>
      </c>
      <c r="L1077" s="594" t="s">
        <v>21</v>
      </c>
      <c r="M1077" s="92"/>
      <c r="N1077" s="92"/>
      <c r="O1077" s="93">
        <f t="shared" si="966"/>
        <v>0</v>
      </c>
      <c r="P1077" s="93">
        <f t="shared" si="967"/>
        <v>0</v>
      </c>
      <c r="Q1077" s="94"/>
      <c r="R1077" s="92">
        <f t="shared" si="968"/>
        <v>0</v>
      </c>
      <c r="S1077" s="92">
        <f t="shared" si="969"/>
        <v>0</v>
      </c>
      <c r="T1077" s="93">
        <f t="shared" si="970"/>
        <v>0</v>
      </c>
      <c r="U1077" s="95">
        <f t="shared" si="971"/>
        <v>0</v>
      </c>
      <c r="V1077" s="94"/>
      <c r="X1077" s="580" t="str">
        <f t="shared" si="972"/>
        <v/>
      </c>
      <c r="Y1077" s="580" t="str">
        <f t="shared" si="973"/>
        <v/>
      </c>
      <c r="Z1077" s="580" t="str">
        <f t="shared" si="974"/>
        <v/>
      </c>
    </row>
    <row r="1078" spans="1:26" ht="25.5" hidden="1" x14ac:dyDescent="0.2">
      <c r="A1078" s="97">
        <v>91905</v>
      </c>
      <c r="B1078" s="1031">
        <v>91905</v>
      </c>
      <c r="C1078" s="978" t="s">
        <v>883</v>
      </c>
      <c r="D1078" s="595" t="s">
        <v>1301</v>
      </c>
      <c r="E1078" s="596"/>
      <c r="F1078" s="671"/>
      <c r="G1078" s="597"/>
      <c r="H1078" s="682"/>
      <c r="I1078" s="592">
        <v>15.97</v>
      </c>
      <c r="J1078" s="592">
        <f t="shared" si="965"/>
        <v>15.97</v>
      </c>
      <c r="K1078" s="593">
        <f t="shared" si="964"/>
        <v>19.440000000000001</v>
      </c>
      <c r="L1078" s="594" t="s">
        <v>21</v>
      </c>
      <c r="M1078" s="92"/>
      <c r="N1078" s="92"/>
      <c r="O1078" s="93">
        <f t="shared" si="966"/>
        <v>0</v>
      </c>
      <c r="P1078" s="93">
        <f t="shared" si="967"/>
        <v>0</v>
      </c>
      <c r="Q1078" s="94"/>
      <c r="R1078" s="92">
        <f t="shared" si="968"/>
        <v>0</v>
      </c>
      <c r="S1078" s="92">
        <f t="shared" si="969"/>
        <v>0</v>
      </c>
      <c r="T1078" s="93">
        <f t="shared" si="970"/>
        <v>0</v>
      </c>
      <c r="U1078" s="95">
        <f t="shared" si="971"/>
        <v>0</v>
      </c>
      <c r="V1078" s="94"/>
      <c r="X1078" s="580" t="str">
        <f t="shared" si="972"/>
        <v/>
      </c>
      <c r="Y1078" s="580" t="str">
        <f t="shared" si="973"/>
        <v/>
      </c>
      <c r="Z1078" s="580" t="str">
        <f t="shared" si="974"/>
        <v/>
      </c>
    </row>
    <row r="1079" spans="1:26" ht="25.5" hidden="1" x14ac:dyDescent="0.2">
      <c r="A1079" s="97">
        <v>91908</v>
      </c>
      <c r="B1079" s="1031">
        <v>91908</v>
      </c>
      <c r="C1079" s="978" t="s">
        <v>883</v>
      </c>
      <c r="D1079" s="595" t="s">
        <v>1302</v>
      </c>
      <c r="E1079" s="596"/>
      <c r="F1079" s="671"/>
      <c r="G1079" s="597"/>
      <c r="H1079" s="682"/>
      <c r="I1079" s="592">
        <v>19.09</v>
      </c>
      <c r="J1079" s="592">
        <f t="shared" si="965"/>
        <v>19.09</v>
      </c>
      <c r="K1079" s="593">
        <f t="shared" si="964"/>
        <v>23.23</v>
      </c>
      <c r="L1079" s="594" t="s">
        <v>21</v>
      </c>
      <c r="M1079" s="92"/>
      <c r="N1079" s="92"/>
      <c r="O1079" s="93">
        <f t="shared" si="966"/>
        <v>0</v>
      </c>
      <c r="P1079" s="93">
        <f t="shared" si="967"/>
        <v>0</v>
      </c>
      <c r="Q1079" s="94"/>
      <c r="R1079" s="92">
        <f t="shared" si="968"/>
        <v>0</v>
      </c>
      <c r="S1079" s="92">
        <f t="shared" si="969"/>
        <v>0</v>
      </c>
      <c r="T1079" s="93">
        <f t="shared" si="970"/>
        <v>0</v>
      </c>
      <c r="U1079" s="95">
        <f t="shared" si="971"/>
        <v>0</v>
      </c>
      <c r="V1079" s="94"/>
      <c r="X1079" s="580" t="str">
        <f t="shared" si="972"/>
        <v/>
      </c>
      <c r="Y1079" s="580" t="str">
        <f t="shared" si="973"/>
        <v/>
      </c>
      <c r="Z1079" s="580" t="str">
        <f t="shared" si="974"/>
        <v/>
      </c>
    </row>
    <row r="1080" spans="1:26" ht="25.5" hidden="1" x14ac:dyDescent="0.2">
      <c r="A1080" s="97">
        <v>91910</v>
      </c>
      <c r="B1080" s="1031">
        <v>91910</v>
      </c>
      <c r="C1080" s="978" t="s">
        <v>883</v>
      </c>
      <c r="D1080" s="595" t="s">
        <v>1303</v>
      </c>
      <c r="E1080" s="596"/>
      <c r="F1080" s="671"/>
      <c r="G1080" s="597"/>
      <c r="H1080" s="682"/>
      <c r="I1080" s="592">
        <v>21.5</v>
      </c>
      <c r="J1080" s="592">
        <f t="shared" si="965"/>
        <v>21.5</v>
      </c>
      <c r="K1080" s="593">
        <f t="shared" si="964"/>
        <v>26.17</v>
      </c>
      <c r="L1080" s="594" t="s">
        <v>21</v>
      </c>
      <c r="M1080" s="92"/>
      <c r="N1080" s="92"/>
      <c r="O1080" s="93">
        <f t="shared" si="966"/>
        <v>0</v>
      </c>
      <c r="P1080" s="93">
        <f t="shared" si="967"/>
        <v>0</v>
      </c>
      <c r="Q1080" s="94"/>
      <c r="R1080" s="92">
        <f t="shared" si="968"/>
        <v>0</v>
      </c>
      <c r="S1080" s="92">
        <f t="shared" si="969"/>
        <v>0</v>
      </c>
      <c r="T1080" s="93">
        <f t="shared" si="970"/>
        <v>0</v>
      </c>
      <c r="U1080" s="95">
        <f t="shared" si="971"/>
        <v>0</v>
      </c>
      <c r="V1080" s="94"/>
      <c r="X1080" s="580" t="str">
        <f t="shared" si="972"/>
        <v/>
      </c>
      <c r="Y1080" s="580" t="str">
        <f t="shared" si="973"/>
        <v/>
      </c>
      <c r="Z1080" s="580" t="str">
        <f t="shared" si="974"/>
        <v/>
      </c>
    </row>
    <row r="1081" spans="1:26" ht="25.5" hidden="1" x14ac:dyDescent="0.2">
      <c r="A1081" s="97">
        <v>91911</v>
      </c>
      <c r="B1081" s="1031">
        <v>91911</v>
      </c>
      <c r="C1081" s="978" t="s">
        <v>883</v>
      </c>
      <c r="D1081" s="595" t="s">
        <v>1304</v>
      </c>
      <c r="E1081" s="596"/>
      <c r="F1081" s="671"/>
      <c r="G1081" s="597"/>
      <c r="H1081" s="682"/>
      <c r="I1081" s="592">
        <v>12.71</v>
      </c>
      <c r="J1081" s="592">
        <f t="shared" si="965"/>
        <v>12.71</v>
      </c>
      <c r="K1081" s="593">
        <f t="shared" si="964"/>
        <v>15.47</v>
      </c>
      <c r="L1081" s="594" t="s">
        <v>21</v>
      </c>
      <c r="M1081" s="92"/>
      <c r="N1081" s="92"/>
      <c r="O1081" s="93">
        <f t="shared" si="966"/>
        <v>0</v>
      </c>
      <c r="P1081" s="93">
        <f t="shared" si="967"/>
        <v>0</v>
      </c>
      <c r="Q1081" s="94"/>
      <c r="R1081" s="92">
        <f t="shared" si="968"/>
        <v>0</v>
      </c>
      <c r="S1081" s="92">
        <f t="shared" si="969"/>
        <v>0</v>
      </c>
      <c r="T1081" s="93">
        <f t="shared" si="970"/>
        <v>0</v>
      </c>
      <c r="U1081" s="95">
        <f t="shared" si="971"/>
        <v>0</v>
      </c>
      <c r="V1081" s="94"/>
      <c r="X1081" s="580" t="str">
        <f t="shared" si="972"/>
        <v/>
      </c>
      <c r="Y1081" s="580" t="str">
        <f t="shared" si="973"/>
        <v/>
      </c>
      <c r="Z1081" s="580" t="str">
        <f t="shared" si="974"/>
        <v/>
      </c>
    </row>
    <row r="1082" spans="1:26" ht="25.5" hidden="1" x14ac:dyDescent="0.2">
      <c r="A1082" s="97">
        <v>91913</v>
      </c>
      <c r="B1082" s="1031">
        <v>91913</v>
      </c>
      <c r="C1082" s="978" t="s">
        <v>883</v>
      </c>
      <c r="D1082" s="595" t="s">
        <v>1305</v>
      </c>
      <c r="E1082" s="596"/>
      <c r="F1082" s="671"/>
      <c r="G1082" s="597"/>
      <c r="H1082" s="682"/>
      <c r="I1082" s="592">
        <v>12.38</v>
      </c>
      <c r="J1082" s="592">
        <f t="shared" si="965"/>
        <v>12.38</v>
      </c>
      <c r="K1082" s="593">
        <f t="shared" si="964"/>
        <v>15.07</v>
      </c>
      <c r="L1082" s="594" t="s">
        <v>21</v>
      </c>
      <c r="M1082" s="92"/>
      <c r="N1082" s="92"/>
      <c r="O1082" s="93">
        <f t="shared" si="966"/>
        <v>0</v>
      </c>
      <c r="P1082" s="93">
        <f t="shared" si="967"/>
        <v>0</v>
      </c>
      <c r="Q1082" s="94"/>
      <c r="R1082" s="92">
        <f t="shared" si="968"/>
        <v>0</v>
      </c>
      <c r="S1082" s="92">
        <f t="shared" si="969"/>
        <v>0</v>
      </c>
      <c r="T1082" s="93">
        <f t="shared" si="970"/>
        <v>0</v>
      </c>
      <c r="U1082" s="95">
        <f t="shared" si="971"/>
        <v>0</v>
      </c>
      <c r="V1082" s="94"/>
      <c r="X1082" s="580" t="str">
        <f t="shared" si="972"/>
        <v/>
      </c>
      <c r="Y1082" s="580" t="str">
        <f t="shared" si="973"/>
        <v/>
      </c>
      <c r="Z1082" s="580" t="str">
        <f t="shared" si="974"/>
        <v/>
      </c>
    </row>
    <row r="1083" spans="1:26" ht="25.5" hidden="1" x14ac:dyDescent="0.2">
      <c r="A1083" s="97">
        <v>91914</v>
      </c>
      <c r="B1083" s="1031">
        <v>91914</v>
      </c>
      <c r="C1083" s="978" t="s">
        <v>883</v>
      </c>
      <c r="D1083" s="595" t="s">
        <v>1306</v>
      </c>
      <c r="E1083" s="596"/>
      <c r="F1083" s="671"/>
      <c r="G1083" s="597"/>
      <c r="H1083" s="682"/>
      <c r="I1083" s="592">
        <v>13.83</v>
      </c>
      <c r="J1083" s="592">
        <f t="shared" si="965"/>
        <v>13.83</v>
      </c>
      <c r="K1083" s="593">
        <f t="shared" si="964"/>
        <v>16.829999999999998</v>
      </c>
      <c r="L1083" s="594" t="s">
        <v>21</v>
      </c>
      <c r="M1083" s="92"/>
      <c r="N1083" s="92"/>
      <c r="O1083" s="93">
        <f t="shared" si="966"/>
        <v>0</v>
      </c>
      <c r="P1083" s="93">
        <f t="shared" si="967"/>
        <v>0</v>
      </c>
      <c r="Q1083" s="94"/>
      <c r="R1083" s="92">
        <f t="shared" si="968"/>
        <v>0</v>
      </c>
      <c r="S1083" s="92">
        <f t="shared" si="969"/>
        <v>0</v>
      </c>
      <c r="T1083" s="93">
        <f t="shared" si="970"/>
        <v>0</v>
      </c>
      <c r="U1083" s="95">
        <f t="shared" si="971"/>
        <v>0</v>
      </c>
      <c r="V1083" s="94"/>
      <c r="X1083" s="580" t="str">
        <f t="shared" si="972"/>
        <v/>
      </c>
      <c r="Y1083" s="580" t="str">
        <f t="shared" si="973"/>
        <v/>
      </c>
      <c r="Z1083" s="580" t="str">
        <f t="shared" si="974"/>
        <v/>
      </c>
    </row>
    <row r="1084" spans="1:26" ht="25.5" hidden="1" x14ac:dyDescent="0.2">
      <c r="A1084" s="97">
        <v>91916</v>
      </c>
      <c r="B1084" s="1031">
        <v>91916</v>
      </c>
      <c r="C1084" s="978" t="s">
        <v>883</v>
      </c>
      <c r="D1084" s="595" t="s">
        <v>1307</v>
      </c>
      <c r="E1084" s="596"/>
      <c r="F1084" s="671"/>
      <c r="G1084" s="597"/>
      <c r="H1084" s="682"/>
      <c r="I1084" s="592">
        <v>16.04</v>
      </c>
      <c r="J1084" s="592">
        <f t="shared" si="965"/>
        <v>16.04</v>
      </c>
      <c r="K1084" s="593">
        <f t="shared" si="964"/>
        <v>19.52</v>
      </c>
      <c r="L1084" s="594" t="s">
        <v>21</v>
      </c>
      <c r="M1084" s="92"/>
      <c r="N1084" s="92"/>
      <c r="O1084" s="93">
        <f t="shared" si="966"/>
        <v>0</v>
      </c>
      <c r="P1084" s="93">
        <f t="shared" si="967"/>
        <v>0</v>
      </c>
      <c r="Q1084" s="94"/>
      <c r="R1084" s="92">
        <f t="shared" si="968"/>
        <v>0</v>
      </c>
      <c r="S1084" s="92">
        <f t="shared" si="969"/>
        <v>0</v>
      </c>
      <c r="T1084" s="93">
        <f t="shared" si="970"/>
        <v>0</v>
      </c>
      <c r="U1084" s="95">
        <f t="shared" si="971"/>
        <v>0</v>
      </c>
      <c r="V1084" s="94"/>
      <c r="X1084" s="580" t="str">
        <f t="shared" si="972"/>
        <v/>
      </c>
      <c r="Y1084" s="580" t="str">
        <f t="shared" si="973"/>
        <v/>
      </c>
      <c r="Z1084" s="580" t="str">
        <f t="shared" si="974"/>
        <v/>
      </c>
    </row>
    <row r="1085" spans="1:26" ht="25.5" hidden="1" x14ac:dyDescent="0.2">
      <c r="A1085" s="97">
        <v>91917</v>
      </c>
      <c r="B1085" s="1031">
        <v>91917</v>
      </c>
      <c r="C1085" s="978" t="s">
        <v>883</v>
      </c>
      <c r="D1085" s="595" t="s">
        <v>1308</v>
      </c>
      <c r="E1085" s="596"/>
      <c r="F1085" s="671"/>
      <c r="G1085" s="597"/>
      <c r="H1085" s="682"/>
      <c r="I1085" s="592">
        <v>16.95</v>
      </c>
      <c r="J1085" s="592">
        <f t="shared" si="965"/>
        <v>16.95</v>
      </c>
      <c r="K1085" s="593">
        <f t="shared" si="964"/>
        <v>20.63</v>
      </c>
      <c r="L1085" s="594" t="s">
        <v>21</v>
      </c>
      <c r="M1085" s="92"/>
      <c r="N1085" s="92"/>
      <c r="O1085" s="93">
        <f t="shared" si="966"/>
        <v>0</v>
      </c>
      <c r="P1085" s="93">
        <f t="shared" si="967"/>
        <v>0</v>
      </c>
      <c r="Q1085" s="94"/>
      <c r="R1085" s="92">
        <f t="shared" si="968"/>
        <v>0</v>
      </c>
      <c r="S1085" s="92">
        <f t="shared" si="969"/>
        <v>0</v>
      </c>
      <c r="T1085" s="93">
        <f t="shared" si="970"/>
        <v>0</v>
      </c>
      <c r="U1085" s="95">
        <f t="shared" si="971"/>
        <v>0</v>
      </c>
      <c r="V1085" s="94"/>
      <c r="X1085" s="580" t="str">
        <f t="shared" si="972"/>
        <v/>
      </c>
      <c r="Y1085" s="580" t="str">
        <f t="shared" si="973"/>
        <v/>
      </c>
      <c r="Z1085" s="580" t="str">
        <f t="shared" si="974"/>
        <v/>
      </c>
    </row>
    <row r="1086" spans="1:26" ht="38.25" hidden="1" x14ac:dyDescent="0.2">
      <c r="A1086" s="97">
        <v>91920</v>
      </c>
      <c r="B1086" s="1031">
        <v>91920</v>
      </c>
      <c r="C1086" s="978" t="s">
        <v>883</v>
      </c>
      <c r="D1086" s="595" t="s">
        <v>1309</v>
      </c>
      <c r="E1086" s="596"/>
      <c r="F1086" s="671"/>
      <c r="G1086" s="597"/>
      <c r="H1086" s="682"/>
      <c r="I1086" s="592">
        <v>19.309999999999999</v>
      </c>
      <c r="J1086" s="592">
        <f t="shared" si="965"/>
        <v>19.309999999999999</v>
      </c>
      <c r="K1086" s="593">
        <f t="shared" si="964"/>
        <v>23.5</v>
      </c>
      <c r="L1086" s="594" t="s">
        <v>21</v>
      </c>
      <c r="M1086" s="92"/>
      <c r="N1086" s="92"/>
      <c r="O1086" s="93">
        <f t="shared" si="966"/>
        <v>0</v>
      </c>
      <c r="P1086" s="93">
        <f t="shared" si="967"/>
        <v>0</v>
      </c>
      <c r="Q1086" s="94"/>
      <c r="R1086" s="92">
        <f t="shared" si="968"/>
        <v>0</v>
      </c>
      <c r="S1086" s="92">
        <f t="shared" si="969"/>
        <v>0</v>
      </c>
      <c r="T1086" s="93">
        <f t="shared" si="970"/>
        <v>0</v>
      </c>
      <c r="U1086" s="95">
        <f t="shared" si="971"/>
        <v>0</v>
      </c>
      <c r="V1086" s="94"/>
      <c r="X1086" s="580" t="str">
        <f t="shared" si="972"/>
        <v/>
      </c>
      <c r="Y1086" s="580" t="str">
        <f t="shared" si="973"/>
        <v/>
      </c>
      <c r="Z1086" s="580" t="str">
        <f t="shared" si="974"/>
        <v/>
      </c>
    </row>
    <row r="1087" spans="1:26" ht="38.25" hidden="1" x14ac:dyDescent="0.2">
      <c r="A1087" s="97">
        <v>91922</v>
      </c>
      <c r="B1087" s="1031">
        <v>91922</v>
      </c>
      <c r="C1087" s="978" t="s">
        <v>883</v>
      </c>
      <c r="D1087" s="595" t="s">
        <v>1310</v>
      </c>
      <c r="E1087" s="596"/>
      <c r="F1087" s="671"/>
      <c r="G1087" s="597"/>
      <c r="H1087" s="682"/>
      <c r="I1087" s="592">
        <v>21.72</v>
      </c>
      <c r="J1087" s="592">
        <f t="shared" si="965"/>
        <v>21.72</v>
      </c>
      <c r="K1087" s="593">
        <f t="shared" si="964"/>
        <v>26.44</v>
      </c>
      <c r="L1087" s="594" t="s">
        <v>21</v>
      </c>
      <c r="M1087" s="92"/>
      <c r="N1087" s="92"/>
      <c r="O1087" s="93">
        <f t="shared" si="966"/>
        <v>0</v>
      </c>
      <c r="P1087" s="93">
        <f t="shared" si="967"/>
        <v>0</v>
      </c>
      <c r="Q1087" s="94"/>
      <c r="R1087" s="92">
        <f t="shared" si="968"/>
        <v>0</v>
      </c>
      <c r="S1087" s="92">
        <f t="shared" si="969"/>
        <v>0</v>
      </c>
      <c r="T1087" s="93">
        <f t="shared" si="970"/>
        <v>0</v>
      </c>
      <c r="U1087" s="95">
        <f t="shared" si="971"/>
        <v>0</v>
      </c>
      <c r="V1087" s="94"/>
      <c r="X1087" s="580" t="str">
        <f t="shared" si="972"/>
        <v/>
      </c>
      <c r="Y1087" s="580" t="str">
        <f t="shared" si="973"/>
        <v/>
      </c>
      <c r="Z1087" s="580" t="str">
        <f t="shared" si="974"/>
        <v/>
      </c>
    </row>
    <row r="1088" spans="1:26" ht="25.5" hidden="1" x14ac:dyDescent="0.2">
      <c r="A1088" s="97">
        <v>93013</v>
      </c>
      <c r="B1088" s="1031">
        <v>93013</v>
      </c>
      <c r="C1088" s="978" t="s">
        <v>883</v>
      </c>
      <c r="D1088" s="595" t="s">
        <v>1311</v>
      </c>
      <c r="E1088" s="596"/>
      <c r="F1088" s="671"/>
      <c r="G1088" s="597"/>
      <c r="H1088" s="682"/>
      <c r="I1088" s="592">
        <v>14.06</v>
      </c>
      <c r="J1088" s="592">
        <f t="shared" si="965"/>
        <v>14.06</v>
      </c>
      <c r="K1088" s="593">
        <f t="shared" si="964"/>
        <v>17.11</v>
      </c>
      <c r="L1088" s="594" t="s">
        <v>21</v>
      </c>
      <c r="M1088" s="92"/>
      <c r="N1088" s="92"/>
      <c r="O1088" s="93">
        <f t="shared" si="966"/>
        <v>0</v>
      </c>
      <c r="P1088" s="93">
        <f t="shared" si="967"/>
        <v>0</v>
      </c>
      <c r="Q1088" s="94"/>
      <c r="R1088" s="92">
        <f t="shared" si="968"/>
        <v>0</v>
      </c>
      <c r="S1088" s="92">
        <f t="shared" si="969"/>
        <v>0</v>
      </c>
      <c r="T1088" s="93">
        <f t="shared" si="970"/>
        <v>0</v>
      </c>
      <c r="U1088" s="95">
        <f t="shared" si="971"/>
        <v>0</v>
      </c>
      <c r="V1088" s="94"/>
      <c r="X1088" s="580" t="str">
        <f t="shared" si="972"/>
        <v/>
      </c>
      <c r="Y1088" s="580" t="str">
        <f t="shared" si="973"/>
        <v/>
      </c>
      <c r="Z1088" s="580" t="str">
        <f t="shared" si="974"/>
        <v/>
      </c>
    </row>
    <row r="1089" spans="1:26" ht="25.5" hidden="1" x14ac:dyDescent="0.2">
      <c r="A1089" s="97">
        <v>93014</v>
      </c>
      <c r="B1089" s="1031">
        <v>93014</v>
      </c>
      <c r="C1089" s="978" t="s">
        <v>883</v>
      </c>
      <c r="D1089" s="595" t="s">
        <v>1312</v>
      </c>
      <c r="E1089" s="596"/>
      <c r="F1089" s="671"/>
      <c r="G1089" s="597"/>
      <c r="H1089" s="682"/>
      <c r="I1089" s="592">
        <v>17.38</v>
      </c>
      <c r="J1089" s="592">
        <f t="shared" si="965"/>
        <v>17.38</v>
      </c>
      <c r="K1089" s="593">
        <f t="shared" si="964"/>
        <v>21.15</v>
      </c>
      <c r="L1089" s="594" t="s">
        <v>21</v>
      </c>
      <c r="M1089" s="92"/>
      <c r="N1089" s="92"/>
      <c r="O1089" s="93">
        <f t="shared" si="966"/>
        <v>0</v>
      </c>
      <c r="P1089" s="93">
        <f t="shared" si="967"/>
        <v>0</v>
      </c>
      <c r="Q1089" s="94"/>
      <c r="R1089" s="92">
        <f t="shared" si="968"/>
        <v>0</v>
      </c>
      <c r="S1089" s="92">
        <f t="shared" si="969"/>
        <v>0</v>
      </c>
      <c r="T1089" s="93">
        <f t="shared" si="970"/>
        <v>0</v>
      </c>
      <c r="U1089" s="95">
        <f t="shared" si="971"/>
        <v>0</v>
      </c>
      <c r="V1089" s="94"/>
      <c r="X1089" s="580" t="str">
        <f t="shared" si="972"/>
        <v/>
      </c>
      <c r="Y1089" s="580" t="str">
        <f t="shared" si="973"/>
        <v/>
      </c>
      <c r="Z1089" s="580" t="str">
        <f t="shared" si="974"/>
        <v/>
      </c>
    </row>
    <row r="1090" spans="1:26" ht="25.5" hidden="1" x14ac:dyDescent="0.2">
      <c r="A1090" s="97">
        <v>93015</v>
      </c>
      <c r="B1090" s="1031">
        <v>93015</v>
      </c>
      <c r="C1090" s="978" t="s">
        <v>883</v>
      </c>
      <c r="D1090" s="595" t="s">
        <v>1313</v>
      </c>
      <c r="E1090" s="596"/>
      <c r="F1090" s="671"/>
      <c r="G1090" s="597"/>
      <c r="H1090" s="682"/>
      <c r="I1090" s="592">
        <v>26.7</v>
      </c>
      <c r="J1090" s="592">
        <f t="shared" si="965"/>
        <v>26.7</v>
      </c>
      <c r="K1090" s="593">
        <f t="shared" si="964"/>
        <v>32.5</v>
      </c>
      <c r="L1090" s="594" t="s">
        <v>21</v>
      </c>
      <c r="M1090" s="92"/>
      <c r="N1090" s="92"/>
      <c r="O1090" s="93">
        <f t="shared" si="966"/>
        <v>0</v>
      </c>
      <c r="P1090" s="93">
        <f t="shared" si="967"/>
        <v>0</v>
      </c>
      <c r="Q1090" s="94"/>
      <c r="R1090" s="92">
        <f t="shared" si="968"/>
        <v>0</v>
      </c>
      <c r="S1090" s="92">
        <f t="shared" si="969"/>
        <v>0</v>
      </c>
      <c r="T1090" s="93">
        <f t="shared" si="970"/>
        <v>0</v>
      </c>
      <c r="U1090" s="95">
        <f t="shared" si="971"/>
        <v>0</v>
      </c>
      <c r="V1090" s="94"/>
      <c r="X1090" s="580" t="str">
        <f t="shared" si="972"/>
        <v/>
      </c>
      <c r="Y1090" s="580" t="str">
        <f t="shared" si="973"/>
        <v/>
      </c>
      <c r="Z1090" s="580" t="str">
        <f t="shared" si="974"/>
        <v/>
      </c>
    </row>
    <row r="1091" spans="1:26" ht="25.5" hidden="1" x14ac:dyDescent="0.2">
      <c r="A1091" s="97">
        <v>93016</v>
      </c>
      <c r="B1091" s="1031">
        <v>93016</v>
      </c>
      <c r="C1091" s="978" t="s">
        <v>883</v>
      </c>
      <c r="D1091" s="595" t="s">
        <v>1314</v>
      </c>
      <c r="E1091" s="596"/>
      <c r="F1091" s="671"/>
      <c r="G1091" s="597"/>
      <c r="H1091" s="682"/>
      <c r="I1091" s="592">
        <v>32.630000000000003</v>
      </c>
      <c r="J1091" s="592">
        <f t="shared" si="965"/>
        <v>32.630000000000003</v>
      </c>
      <c r="K1091" s="593">
        <f t="shared" si="964"/>
        <v>39.71</v>
      </c>
      <c r="L1091" s="594" t="s">
        <v>21</v>
      </c>
      <c r="M1091" s="92"/>
      <c r="N1091" s="92"/>
      <c r="O1091" s="93">
        <f t="shared" si="966"/>
        <v>0</v>
      </c>
      <c r="P1091" s="93">
        <f t="shared" si="967"/>
        <v>0</v>
      </c>
      <c r="Q1091" s="94"/>
      <c r="R1091" s="92">
        <f t="shared" si="968"/>
        <v>0</v>
      </c>
      <c r="S1091" s="92">
        <f t="shared" si="969"/>
        <v>0</v>
      </c>
      <c r="T1091" s="93">
        <f t="shared" si="970"/>
        <v>0</v>
      </c>
      <c r="U1091" s="95">
        <f t="shared" si="971"/>
        <v>0</v>
      </c>
      <c r="V1091" s="94"/>
      <c r="X1091" s="580" t="str">
        <f t="shared" si="972"/>
        <v/>
      </c>
      <c r="Y1091" s="580" t="str">
        <f t="shared" si="973"/>
        <v/>
      </c>
      <c r="Z1091" s="580" t="str">
        <f t="shared" si="974"/>
        <v/>
      </c>
    </row>
    <row r="1092" spans="1:26" ht="25.5" hidden="1" x14ac:dyDescent="0.2">
      <c r="A1092" s="97">
        <v>93017</v>
      </c>
      <c r="B1092" s="1031">
        <v>93017</v>
      </c>
      <c r="C1092" s="978" t="s">
        <v>883</v>
      </c>
      <c r="D1092" s="595" t="s">
        <v>1315</v>
      </c>
      <c r="E1092" s="596"/>
      <c r="F1092" s="671"/>
      <c r="G1092" s="597"/>
      <c r="H1092" s="682"/>
      <c r="I1092" s="592">
        <v>49.48</v>
      </c>
      <c r="J1092" s="592">
        <f t="shared" si="965"/>
        <v>49.48</v>
      </c>
      <c r="K1092" s="593">
        <f t="shared" si="964"/>
        <v>60.22</v>
      </c>
      <c r="L1092" s="594" t="s">
        <v>21</v>
      </c>
      <c r="M1092" s="92"/>
      <c r="N1092" s="92"/>
      <c r="O1092" s="93">
        <f t="shared" si="966"/>
        <v>0</v>
      </c>
      <c r="P1092" s="93">
        <f t="shared" si="967"/>
        <v>0</v>
      </c>
      <c r="Q1092" s="94"/>
      <c r="R1092" s="92">
        <f t="shared" si="968"/>
        <v>0</v>
      </c>
      <c r="S1092" s="92">
        <f t="shared" si="969"/>
        <v>0</v>
      </c>
      <c r="T1092" s="93">
        <f t="shared" si="970"/>
        <v>0</v>
      </c>
      <c r="U1092" s="95">
        <f t="shared" si="971"/>
        <v>0</v>
      </c>
      <c r="V1092" s="94"/>
      <c r="X1092" s="580" t="str">
        <f t="shared" si="972"/>
        <v/>
      </c>
      <c r="Y1092" s="580" t="str">
        <f t="shared" si="973"/>
        <v/>
      </c>
      <c r="Z1092" s="580" t="str">
        <f t="shared" si="974"/>
        <v/>
      </c>
    </row>
    <row r="1093" spans="1:26" ht="25.5" hidden="1" x14ac:dyDescent="0.2">
      <c r="A1093" s="97">
        <v>93018</v>
      </c>
      <c r="B1093" s="1031">
        <v>93018</v>
      </c>
      <c r="C1093" s="978" t="s">
        <v>883</v>
      </c>
      <c r="D1093" s="595" t="s">
        <v>1316</v>
      </c>
      <c r="E1093" s="596"/>
      <c r="F1093" s="671"/>
      <c r="G1093" s="597"/>
      <c r="H1093" s="682"/>
      <c r="I1093" s="592">
        <v>21.51</v>
      </c>
      <c r="J1093" s="592">
        <f t="shared" si="965"/>
        <v>21.51</v>
      </c>
      <c r="K1093" s="593">
        <f t="shared" si="964"/>
        <v>26.18</v>
      </c>
      <c r="L1093" s="594" t="s">
        <v>21</v>
      </c>
      <c r="M1093" s="92"/>
      <c r="N1093" s="92"/>
      <c r="O1093" s="93">
        <f t="shared" si="966"/>
        <v>0</v>
      </c>
      <c r="P1093" s="93">
        <f t="shared" si="967"/>
        <v>0</v>
      </c>
      <c r="Q1093" s="94"/>
      <c r="R1093" s="92">
        <f t="shared" si="968"/>
        <v>0</v>
      </c>
      <c r="S1093" s="92">
        <f t="shared" si="969"/>
        <v>0</v>
      </c>
      <c r="T1093" s="93">
        <f t="shared" si="970"/>
        <v>0</v>
      </c>
      <c r="U1093" s="95">
        <f t="shared" si="971"/>
        <v>0</v>
      </c>
      <c r="V1093" s="94"/>
      <c r="X1093" s="580" t="str">
        <f t="shared" si="972"/>
        <v/>
      </c>
      <c r="Y1093" s="580" t="str">
        <f t="shared" si="973"/>
        <v/>
      </c>
      <c r="Z1093" s="580" t="str">
        <f t="shared" si="974"/>
        <v/>
      </c>
    </row>
    <row r="1094" spans="1:26" ht="25.5" hidden="1" x14ac:dyDescent="0.2">
      <c r="A1094" s="97">
        <v>93020</v>
      </c>
      <c r="B1094" s="1031">
        <v>93020</v>
      </c>
      <c r="C1094" s="978" t="s">
        <v>883</v>
      </c>
      <c r="D1094" s="595" t="s">
        <v>1317</v>
      </c>
      <c r="E1094" s="596"/>
      <c r="F1094" s="671"/>
      <c r="G1094" s="597"/>
      <c r="H1094" s="682"/>
      <c r="I1094" s="592">
        <v>27.79</v>
      </c>
      <c r="J1094" s="592">
        <f t="shared" si="965"/>
        <v>27.79</v>
      </c>
      <c r="K1094" s="593">
        <f t="shared" si="964"/>
        <v>33.82</v>
      </c>
      <c r="L1094" s="594" t="s">
        <v>21</v>
      </c>
      <c r="M1094" s="92"/>
      <c r="N1094" s="92"/>
      <c r="O1094" s="93">
        <f t="shared" si="966"/>
        <v>0</v>
      </c>
      <c r="P1094" s="93">
        <f t="shared" si="967"/>
        <v>0</v>
      </c>
      <c r="Q1094" s="94"/>
      <c r="R1094" s="92">
        <f t="shared" si="968"/>
        <v>0</v>
      </c>
      <c r="S1094" s="92">
        <f t="shared" si="969"/>
        <v>0</v>
      </c>
      <c r="T1094" s="93">
        <f t="shared" si="970"/>
        <v>0</v>
      </c>
      <c r="U1094" s="95">
        <f t="shared" si="971"/>
        <v>0</v>
      </c>
      <c r="V1094" s="94"/>
      <c r="X1094" s="580" t="str">
        <f t="shared" si="972"/>
        <v/>
      </c>
      <c r="Y1094" s="580" t="str">
        <f t="shared" si="973"/>
        <v/>
      </c>
      <c r="Z1094" s="580" t="str">
        <f t="shared" si="974"/>
        <v/>
      </c>
    </row>
    <row r="1095" spans="1:26" ht="25.5" hidden="1" x14ac:dyDescent="0.2">
      <c r="A1095" s="97">
        <v>93022</v>
      </c>
      <c r="B1095" s="1031">
        <v>93022</v>
      </c>
      <c r="C1095" s="978" t="s">
        <v>883</v>
      </c>
      <c r="D1095" s="595" t="s">
        <v>1318</v>
      </c>
      <c r="E1095" s="596"/>
      <c r="F1095" s="671"/>
      <c r="G1095" s="597"/>
      <c r="H1095" s="682"/>
      <c r="I1095" s="592">
        <v>47.34</v>
      </c>
      <c r="J1095" s="592">
        <f t="shared" si="965"/>
        <v>47.34</v>
      </c>
      <c r="K1095" s="593">
        <f t="shared" si="964"/>
        <v>57.62</v>
      </c>
      <c r="L1095" s="594" t="s">
        <v>21</v>
      </c>
      <c r="M1095" s="92"/>
      <c r="N1095" s="92"/>
      <c r="O1095" s="93">
        <f t="shared" si="966"/>
        <v>0</v>
      </c>
      <c r="P1095" s="93">
        <f t="shared" si="967"/>
        <v>0</v>
      </c>
      <c r="Q1095" s="94"/>
      <c r="R1095" s="92">
        <f t="shared" si="968"/>
        <v>0</v>
      </c>
      <c r="S1095" s="92">
        <f t="shared" si="969"/>
        <v>0</v>
      </c>
      <c r="T1095" s="93">
        <f t="shared" si="970"/>
        <v>0</v>
      </c>
      <c r="U1095" s="95">
        <f t="shared" si="971"/>
        <v>0</v>
      </c>
      <c r="V1095" s="94"/>
      <c r="X1095" s="580" t="str">
        <f t="shared" si="972"/>
        <v/>
      </c>
      <c r="Y1095" s="580" t="str">
        <f t="shared" si="973"/>
        <v/>
      </c>
      <c r="Z1095" s="580" t="str">
        <f t="shared" si="974"/>
        <v/>
      </c>
    </row>
    <row r="1096" spans="1:26" ht="25.5" hidden="1" x14ac:dyDescent="0.2">
      <c r="A1096" s="97">
        <v>93024</v>
      </c>
      <c r="B1096" s="1031">
        <v>93024</v>
      </c>
      <c r="C1096" s="978" t="s">
        <v>883</v>
      </c>
      <c r="D1096" s="595" t="s">
        <v>1319</v>
      </c>
      <c r="E1096" s="596"/>
      <c r="F1096" s="671"/>
      <c r="G1096" s="597"/>
      <c r="H1096" s="682"/>
      <c r="I1096" s="592">
        <v>49.63</v>
      </c>
      <c r="J1096" s="592">
        <f t="shared" si="965"/>
        <v>49.63</v>
      </c>
      <c r="K1096" s="593">
        <f t="shared" si="964"/>
        <v>60.4</v>
      </c>
      <c r="L1096" s="594" t="s">
        <v>21</v>
      </c>
      <c r="M1096" s="92"/>
      <c r="N1096" s="92"/>
      <c r="O1096" s="93">
        <f t="shared" si="966"/>
        <v>0</v>
      </c>
      <c r="P1096" s="93">
        <f t="shared" si="967"/>
        <v>0</v>
      </c>
      <c r="Q1096" s="94"/>
      <c r="R1096" s="92">
        <f t="shared" si="968"/>
        <v>0</v>
      </c>
      <c r="S1096" s="92">
        <f t="shared" si="969"/>
        <v>0</v>
      </c>
      <c r="T1096" s="93">
        <f t="shared" si="970"/>
        <v>0</v>
      </c>
      <c r="U1096" s="95">
        <f t="shared" si="971"/>
        <v>0</v>
      </c>
      <c r="V1096" s="94"/>
      <c r="X1096" s="580" t="str">
        <f t="shared" si="972"/>
        <v/>
      </c>
      <c r="Y1096" s="580" t="str">
        <f t="shared" si="973"/>
        <v/>
      </c>
      <c r="Z1096" s="580" t="str">
        <f t="shared" si="974"/>
        <v/>
      </c>
    </row>
    <row r="1097" spans="1:26" ht="25.5" hidden="1" x14ac:dyDescent="0.2">
      <c r="A1097" s="97">
        <v>93026</v>
      </c>
      <c r="B1097" s="1031">
        <v>93026</v>
      </c>
      <c r="C1097" s="978" t="s">
        <v>883</v>
      </c>
      <c r="D1097" s="595" t="s">
        <v>1320</v>
      </c>
      <c r="E1097" s="596"/>
      <c r="F1097" s="671"/>
      <c r="G1097" s="597"/>
      <c r="H1097" s="682"/>
      <c r="I1097" s="592">
        <v>82.1</v>
      </c>
      <c r="J1097" s="592">
        <f t="shared" si="965"/>
        <v>82.1</v>
      </c>
      <c r="K1097" s="593">
        <f t="shared" si="964"/>
        <v>99.92</v>
      </c>
      <c r="L1097" s="594" t="s">
        <v>21</v>
      </c>
      <c r="M1097" s="92"/>
      <c r="N1097" s="92"/>
      <c r="O1097" s="93">
        <f t="shared" si="966"/>
        <v>0</v>
      </c>
      <c r="P1097" s="93">
        <f t="shared" si="967"/>
        <v>0</v>
      </c>
      <c r="Q1097" s="94"/>
      <c r="R1097" s="92">
        <f t="shared" si="968"/>
        <v>0</v>
      </c>
      <c r="S1097" s="92">
        <f t="shared" si="969"/>
        <v>0</v>
      </c>
      <c r="T1097" s="93">
        <f t="shared" si="970"/>
        <v>0</v>
      </c>
      <c r="U1097" s="95">
        <f t="shared" si="971"/>
        <v>0</v>
      </c>
      <c r="V1097" s="94"/>
      <c r="X1097" s="580" t="str">
        <f t="shared" si="972"/>
        <v/>
      </c>
      <c r="Y1097" s="580" t="str">
        <f t="shared" si="973"/>
        <v/>
      </c>
      <c r="Z1097" s="580" t="str">
        <f t="shared" si="974"/>
        <v/>
      </c>
    </row>
    <row r="1098" spans="1:26" ht="25.5" hidden="1" x14ac:dyDescent="0.2">
      <c r="A1098" s="97">
        <v>97559</v>
      </c>
      <c r="B1098" s="1031">
        <v>97559</v>
      </c>
      <c r="C1098" s="978" t="s">
        <v>883</v>
      </c>
      <c r="D1098" s="595" t="s">
        <v>1321</v>
      </c>
      <c r="E1098" s="596"/>
      <c r="F1098" s="671"/>
      <c r="G1098" s="597"/>
      <c r="H1098" s="682"/>
      <c r="I1098" s="592">
        <v>10.029999999999999</v>
      </c>
      <c r="J1098" s="592">
        <f t="shared" si="965"/>
        <v>10.029999999999999</v>
      </c>
      <c r="K1098" s="593">
        <f t="shared" si="964"/>
        <v>12.21</v>
      </c>
      <c r="L1098" s="594" t="s">
        <v>21</v>
      </c>
      <c r="M1098" s="92"/>
      <c r="N1098" s="92"/>
      <c r="O1098" s="93">
        <f t="shared" si="966"/>
        <v>0</v>
      </c>
      <c r="P1098" s="93">
        <f t="shared" si="967"/>
        <v>0</v>
      </c>
      <c r="Q1098" s="94"/>
      <c r="R1098" s="92">
        <f t="shared" si="968"/>
        <v>0</v>
      </c>
      <c r="S1098" s="92">
        <f t="shared" si="969"/>
        <v>0</v>
      </c>
      <c r="T1098" s="93">
        <f t="shared" si="970"/>
        <v>0</v>
      </c>
      <c r="U1098" s="95">
        <f t="shared" si="971"/>
        <v>0</v>
      </c>
      <c r="V1098" s="94"/>
      <c r="X1098" s="580" t="str">
        <f t="shared" si="972"/>
        <v/>
      </c>
      <c r="Y1098" s="580" t="str">
        <f t="shared" si="973"/>
        <v/>
      </c>
      <c r="Z1098" s="580" t="str">
        <f t="shared" si="974"/>
        <v/>
      </c>
    </row>
    <row r="1099" spans="1:26" ht="25.5" hidden="1" x14ac:dyDescent="0.2">
      <c r="A1099" s="97">
        <v>97562</v>
      </c>
      <c r="B1099" s="1031">
        <v>97562</v>
      </c>
      <c r="C1099" s="978" t="s">
        <v>883</v>
      </c>
      <c r="D1099" s="595" t="s">
        <v>1322</v>
      </c>
      <c r="E1099" s="596"/>
      <c r="F1099" s="671"/>
      <c r="G1099" s="597"/>
      <c r="H1099" s="682"/>
      <c r="I1099" s="592">
        <v>11.92</v>
      </c>
      <c r="J1099" s="592">
        <f t="shared" si="965"/>
        <v>11.92</v>
      </c>
      <c r="K1099" s="593">
        <f t="shared" si="964"/>
        <v>14.51</v>
      </c>
      <c r="L1099" s="594" t="s">
        <v>21</v>
      </c>
      <c r="M1099" s="92"/>
      <c r="N1099" s="92"/>
      <c r="O1099" s="93">
        <f t="shared" si="966"/>
        <v>0</v>
      </c>
      <c r="P1099" s="93">
        <f t="shared" si="967"/>
        <v>0</v>
      </c>
      <c r="Q1099" s="94"/>
      <c r="R1099" s="92">
        <f t="shared" si="968"/>
        <v>0</v>
      </c>
      <c r="S1099" s="92">
        <f t="shared" si="969"/>
        <v>0</v>
      </c>
      <c r="T1099" s="93">
        <f t="shared" si="970"/>
        <v>0</v>
      </c>
      <c r="U1099" s="95">
        <f t="shared" si="971"/>
        <v>0</v>
      </c>
      <c r="V1099" s="94"/>
      <c r="X1099" s="580" t="str">
        <f t="shared" si="972"/>
        <v/>
      </c>
      <c r="Y1099" s="580" t="str">
        <f t="shared" si="973"/>
        <v/>
      </c>
      <c r="Z1099" s="580" t="str">
        <f t="shared" si="974"/>
        <v/>
      </c>
    </row>
    <row r="1100" spans="1:26" ht="25.5" hidden="1" x14ac:dyDescent="0.2">
      <c r="A1100" s="97">
        <v>97564</v>
      </c>
      <c r="B1100" s="1031">
        <v>97564</v>
      </c>
      <c r="C1100" s="978" t="s">
        <v>883</v>
      </c>
      <c r="D1100" s="595" t="s">
        <v>1323</v>
      </c>
      <c r="E1100" s="596"/>
      <c r="F1100" s="671"/>
      <c r="G1100" s="597"/>
      <c r="H1100" s="682"/>
      <c r="I1100" s="592">
        <v>13.58</v>
      </c>
      <c r="J1100" s="592">
        <f t="shared" si="965"/>
        <v>13.58</v>
      </c>
      <c r="K1100" s="593">
        <f t="shared" ref="K1100:K1163" si="975">IF(ISBLANK(I1100),0,ROUND(J1100*(1+$F$10)*(1+$F$11*E1100),2))</f>
        <v>16.53</v>
      </c>
      <c r="L1100" s="594" t="s">
        <v>21</v>
      </c>
      <c r="M1100" s="92"/>
      <c r="N1100" s="92"/>
      <c r="O1100" s="93">
        <f t="shared" si="966"/>
        <v>0</v>
      </c>
      <c r="P1100" s="93">
        <f t="shared" si="967"/>
        <v>0</v>
      </c>
      <c r="Q1100" s="94"/>
      <c r="R1100" s="92">
        <f t="shared" si="968"/>
        <v>0</v>
      </c>
      <c r="S1100" s="92">
        <f t="shared" si="969"/>
        <v>0</v>
      </c>
      <c r="T1100" s="93">
        <f t="shared" si="970"/>
        <v>0</v>
      </c>
      <c r="U1100" s="95">
        <f t="shared" si="971"/>
        <v>0</v>
      </c>
      <c r="V1100" s="94"/>
      <c r="X1100" s="580" t="str">
        <f t="shared" si="972"/>
        <v/>
      </c>
      <c r="Y1100" s="580" t="str">
        <f t="shared" si="973"/>
        <v/>
      </c>
      <c r="Z1100" s="580" t="str">
        <f t="shared" si="974"/>
        <v/>
      </c>
    </row>
    <row r="1101" spans="1:26" ht="25.5" hidden="1" x14ac:dyDescent="0.2">
      <c r="A1101" s="97">
        <v>91862</v>
      </c>
      <c r="B1101" s="1031">
        <v>91862</v>
      </c>
      <c r="C1101" s="978" t="s">
        <v>883</v>
      </c>
      <c r="D1101" s="595" t="s">
        <v>1324</v>
      </c>
      <c r="E1101" s="596"/>
      <c r="F1101" s="671"/>
      <c r="G1101" s="597"/>
      <c r="H1101" s="682"/>
      <c r="I1101" s="592">
        <v>8.6</v>
      </c>
      <c r="J1101" s="592">
        <f t="shared" si="965"/>
        <v>8.6</v>
      </c>
      <c r="K1101" s="593">
        <f t="shared" si="975"/>
        <v>10.47</v>
      </c>
      <c r="L1101" s="594" t="s">
        <v>19</v>
      </c>
      <c r="M1101" s="92"/>
      <c r="N1101" s="92"/>
      <c r="O1101" s="93">
        <f t="shared" si="966"/>
        <v>0</v>
      </c>
      <c r="P1101" s="93">
        <f t="shared" si="967"/>
        <v>0</v>
      </c>
      <c r="Q1101" s="94"/>
      <c r="R1101" s="92">
        <f t="shared" si="968"/>
        <v>0</v>
      </c>
      <c r="S1101" s="92">
        <f t="shared" si="969"/>
        <v>0</v>
      </c>
      <c r="T1101" s="93">
        <f t="shared" si="970"/>
        <v>0</v>
      </c>
      <c r="U1101" s="95">
        <f t="shared" si="971"/>
        <v>0</v>
      </c>
      <c r="V1101" s="94"/>
      <c r="X1101" s="580" t="str">
        <f t="shared" si="972"/>
        <v/>
      </c>
      <c r="Y1101" s="580" t="str">
        <f t="shared" si="973"/>
        <v/>
      </c>
      <c r="Z1101" s="580" t="str">
        <f t="shared" si="974"/>
        <v/>
      </c>
    </row>
    <row r="1102" spans="1:26" ht="25.5" hidden="1" x14ac:dyDescent="0.2">
      <c r="A1102" s="97">
        <v>91863</v>
      </c>
      <c r="B1102" s="1031">
        <v>91863</v>
      </c>
      <c r="C1102" s="978" t="s">
        <v>883</v>
      </c>
      <c r="D1102" s="595" t="s">
        <v>1325</v>
      </c>
      <c r="E1102" s="596"/>
      <c r="F1102" s="671"/>
      <c r="G1102" s="597"/>
      <c r="H1102" s="682"/>
      <c r="I1102" s="592">
        <v>10.09</v>
      </c>
      <c r="J1102" s="592">
        <f t="shared" si="965"/>
        <v>10.09</v>
      </c>
      <c r="K1102" s="593">
        <f t="shared" si="975"/>
        <v>12.28</v>
      </c>
      <c r="L1102" s="594" t="s">
        <v>19</v>
      </c>
      <c r="M1102" s="92"/>
      <c r="N1102" s="92"/>
      <c r="O1102" s="93">
        <f t="shared" si="966"/>
        <v>0</v>
      </c>
      <c r="P1102" s="93">
        <f t="shared" si="967"/>
        <v>0</v>
      </c>
      <c r="Q1102" s="94"/>
      <c r="R1102" s="92">
        <f t="shared" si="968"/>
        <v>0</v>
      </c>
      <c r="S1102" s="92">
        <f t="shared" si="969"/>
        <v>0</v>
      </c>
      <c r="T1102" s="93">
        <f t="shared" si="970"/>
        <v>0</v>
      </c>
      <c r="U1102" s="95">
        <f t="shared" si="971"/>
        <v>0</v>
      </c>
      <c r="V1102" s="94"/>
      <c r="X1102" s="580" t="str">
        <f t="shared" si="972"/>
        <v/>
      </c>
      <c r="Y1102" s="580" t="str">
        <f t="shared" si="973"/>
        <v/>
      </c>
      <c r="Z1102" s="580" t="str">
        <f t="shared" si="974"/>
        <v/>
      </c>
    </row>
    <row r="1103" spans="1:26" ht="25.5" hidden="1" x14ac:dyDescent="0.2">
      <c r="A1103" s="97">
        <v>91864</v>
      </c>
      <c r="B1103" s="1031">
        <v>91864</v>
      </c>
      <c r="C1103" s="978" t="s">
        <v>883</v>
      </c>
      <c r="D1103" s="595" t="s">
        <v>1326</v>
      </c>
      <c r="E1103" s="596"/>
      <c r="F1103" s="671"/>
      <c r="G1103" s="597"/>
      <c r="H1103" s="682"/>
      <c r="I1103" s="592">
        <v>13.28</v>
      </c>
      <c r="J1103" s="592">
        <f t="shared" si="965"/>
        <v>13.28</v>
      </c>
      <c r="K1103" s="593">
        <f t="shared" si="975"/>
        <v>16.16</v>
      </c>
      <c r="L1103" s="594" t="s">
        <v>19</v>
      </c>
      <c r="M1103" s="92"/>
      <c r="N1103" s="92"/>
      <c r="O1103" s="93">
        <f t="shared" si="966"/>
        <v>0</v>
      </c>
      <c r="P1103" s="93">
        <f t="shared" si="967"/>
        <v>0</v>
      </c>
      <c r="Q1103" s="94"/>
      <c r="R1103" s="92">
        <f t="shared" si="968"/>
        <v>0</v>
      </c>
      <c r="S1103" s="92">
        <f t="shared" si="969"/>
        <v>0</v>
      </c>
      <c r="T1103" s="93">
        <f t="shared" si="970"/>
        <v>0</v>
      </c>
      <c r="U1103" s="95">
        <f t="shared" si="971"/>
        <v>0</v>
      </c>
      <c r="V1103" s="94"/>
      <c r="X1103" s="580" t="str">
        <f t="shared" si="972"/>
        <v/>
      </c>
      <c r="Y1103" s="580" t="str">
        <f t="shared" si="973"/>
        <v/>
      </c>
      <c r="Z1103" s="580" t="str">
        <f t="shared" si="974"/>
        <v/>
      </c>
    </row>
    <row r="1104" spans="1:26" ht="25.5" hidden="1" x14ac:dyDescent="0.2">
      <c r="A1104" s="97">
        <v>91865</v>
      </c>
      <c r="B1104" s="1031">
        <v>91865</v>
      </c>
      <c r="C1104" s="978" t="s">
        <v>883</v>
      </c>
      <c r="D1104" s="595" t="s">
        <v>1327</v>
      </c>
      <c r="E1104" s="596"/>
      <c r="F1104" s="671"/>
      <c r="G1104" s="597"/>
      <c r="H1104" s="682"/>
      <c r="I1104" s="592">
        <v>16.489999999999998</v>
      </c>
      <c r="J1104" s="592">
        <f t="shared" si="965"/>
        <v>16.489999999999998</v>
      </c>
      <c r="K1104" s="593">
        <f t="shared" si="975"/>
        <v>20.07</v>
      </c>
      <c r="L1104" s="594" t="s">
        <v>19</v>
      </c>
      <c r="M1104" s="92"/>
      <c r="N1104" s="92"/>
      <c r="O1104" s="93">
        <f t="shared" si="966"/>
        <v>0</v>
      </c>
      <c r="P1104" s="93">
        <f t="shared" si="967"/>
        <v>0</v>
      </c>
      <c r="Q1104" s="94"/>
      <c r="R1104" s="92">
        <f t="shared" si="968"/>
        <v>0</v>
      </c>
      <c r="S1104" s="92">
        <f t="shared" si="969"/>
        <v>0</v>
      </c>
      <c r="T1104" s="93">
        <f t="shared" si="970"/>
        <v>0</v>
      </c>
      <c r="U1104" s="95">
        <f t="shared" si="971"/>
        <v>0</v>
      </c>
      <c r="V1104" s="94"/>
      <c r="X1104" s="580" t="str">
        <f t="shared" si="972"/>
        <v/>
      </c>
      <c r="Y1104" s="580" t="str">
        <f t="shared" si="973"/>
        <v/>
      </c>
      <c r="Z1104" s="580" t="str">
        <f t="shared" si="974"/>
        <v/>
      </c>
    </row>
    <row r="1105" spans="1:26" ht="25.5" hidden="1" x14ac:dyDescent="0.2">
      <c r="A1105" s="97">
        <v>91866</v>
      </c>
      <c r="B1105" s="1031">
        <v>91866</v>
      </c>
      <c r="C1105" s="978" t="s">
        <v>883</v>
      </c>
      <c r="D1105" s="595" t="s">
        <v>1328</v>
      </c>
      <c r="E1105" s="596"/>
      <c r="F1105" s="671"/>
      <c r="G1105" s="597"/>
      <c r="H1105" s="682"/>
      <c r="I1105" s="592">
        <v>6.86</v>
      </c>
      <c r="J1105" s="592">
        <f t="shared" si="965"/>
        <v>6.86</v>
      </c>
      <c r="K1105" s="593">
        <f t="shared" si="975"/>
        <v>8.35</v>
      </c>
      <c r="L1105" s="594" t="s">
        <v>19</v>
      </c>
      <c r="M1105" s="92"/>
      <c r="N1105" s="92"/>
      <c r="O1105" s="93">
        <f t="shared" si="966"/>
        <v>0</v>
      </c>
      <c r="P1105" s="93">
        <f t="shared" si="967"/>
        <v>0</v>
      </c>
      <c r="Q1105" s="94"/>
      <c r="R1105" s="92">
        <f t="shared" si="968"/>
        <v>0</v>
      </c>
      <c r="S1105" s="92">
        <f t="shared" si="969"/>
        <v>0</v>
      </c>
      <c r="T1105" s="93">
        <f t="shared" si="970"/>
        <v>0</v>
      </c>
      <c r="U1105" s="95">
        <f t="shared" si="971"/>
        <v>0</v>
      </c>
      <c r="V1105" s="94"/>
      <c r="X1105" s="580" t="str">
        <f t="shared" si="972"/>
        <v/>
      </c>
      <c r="Y1105" s="580" t="str">
        <f t="shared" si="973"/>
        <v/>
      </c>
      <c r="Z1105" s="580" t="str">
        <f t="shared" si="974"/>
        <v/>
      </c>
    </row>
    <row r="1106" spans="1:26" ht="25.5" hidden="1" x14ac:dyDescent="0.2">
      <c r="A1106" s="97">
        <v>91867</v>
      </c>
      <c r="B1106" s="1031">
        <v>91867</v>
      </c>
      <c r="C1106" s="978" t="s">
        <v>883</v>
      </c>
      <c r="D1106" s="595" t="s">
        <v>1329</v>
      </c>
      <c r="E1106" s="596"/>
      <c r="F1106" s="671"/>
      <c r="G1106" s="597"/>
      <c r="H1106" s="682"/>
      <c r="I1106" s="592">
        <v>8.35</v>
      </c>
      <c r="J1106" s="592">
        <f t="shared" si="965"/>
        <v>8.35</v>
      </c>
      <c r="K1106" s="593">
        <f t="shared" si="975"/>
        <v>10.16</v>
      </c>
      <c r="L1106" s="594" t="s">
        <v>19</v>
      </c>
      <c r="M1106" s="92"/>
      <c r="N1106" s="92"/>
      <c r="O1106" s="93">
        <f t="shared" si="966"/>
        <v>0</v>
      </c>
      <c r="P1106" s="93">
        <f t="shared" si="967"/>
        <v>0</v>
      </c>
      <c r="Q1106" s="94"/>
      <c r="R1106" s="92">
        <f t="shared" si="968"/>
        <v>0</v>
      </c>
      <c r="S1106" s="92">
        <f t="shared" si="969"/>
        <v>0</v>
      </c>
      <c r="T1106" s="93">
        <f t="shared" si="970"/>
        <v>0</v>
      </c>
      <c r="U1106" s="95">
        <f t="shared" si="971"/>
        <v>0</v>
      </c>
      <c r="V1106" s="94"/>
      <c r="X1106" s="580" t="str">
        <f t="shared" si="972"/>
        <v/>
      </c>
      <c r="Y1106" s="580" t="str">
        <f t="shared" si="973"/>
        <v/>
      </c>
      <c r="Z1106" s="580" t="str">
        <f t="shared" si="974"/>
        <v/>
      </c>
    </row>
    <row r="1107" spans="1:26" ht="25.5" hidden="1" x14ac:dyDescent="0.2">
      <c r="A1107" s="97">
        <v>91868</v>
      </c>
      <c r="B1107" s="1031">
        <v>91868</v>
      </c>
      <c r="C1107" s="978" t="s">
        <v>883</v>
      </c>
      <c r="D1107" s="595" t="s">
        <v>1330</v>
      </c>
      <c r="E1107" s="596"/>
      <c r="F1107" s="671"/>
      <c r="G1107" s="597"/>
      <c r="H1107" s="682"/>
      <c r="I1107" s="592">
        <v>11.55</v>
      </c>
      <c r="J1107" s="592">
        <f t="shared" si="965"/>
        <v>11.55</v>
      </c>
      <c r="K1107" s="593">
        <f t="shared" si="975"/>
        <v>14.06</v>
      </c>
      <c r="L1107" s="594" t="s">
        <v>19</v>
      </c>
      <c r="M1107" s="92"/>
      <c r="N1107" s="92"/>
      <c r="O1107" s="93">
        <f t="shared" si="966"/>
        <v>0</v>
      </c>
      <c r="P1107" s="93">
        <f t="shared" si="967"/>
        <v>0</v>
      </c>
      <c r="Q1107" s="94"/>
      <c r="R1107" s="92">
        <f t="shared" si="968"/>
        <v>0</v>
      </c>
      <c r="S1107" s="92">
        <f t="shared" si="969"/>
        <v>0</v>
      </c>
      <c r="T1107" s="93">
        <f t="shared" si="970"/>
        <v>0</v>
      </c>
      <c r="U1107" s="95">
        <f t="shared" si="971"/>
        <v>0</v>
      </c>
      <c r="V1107" s="94"/>
      <c r="X1107" s="580" t="str">
        <f t="shared" si="972"/>
        <v/>
      </c>
      <c r="Y1107" s="580" t="str">
        <f t="shared" si="973"/>
        <v/>
      </c>
      <c r="Z1107" s="580" t="str">
        <f t="shared" si="974"/>
        <v/>
      </c>
    </row>
    <row r="1108" spans="1:26" ht="25.5" hidden="1" x14ac:dyDescent="0.2">
      <c r="A1108" s="97">
        <v>91869</v>
      </c>
      <c r="B1108" s="1031">
        <v>91869</v>
      </c>
      <c r="C1108" s="978" t="s">
        <v>883</v>
      </c>
      <c r="D1108" s="595" t="s">
        <v>1331</v>
      </c>
      <c r="E1108" s="596"/>
      <c r="F1108" s="671"/>
      <c r="G1108" s="597"/>
      <c r="H1108" s="682"/>
      <c r="I1108" s="592">
        <v>14.76</v>
      </c>
      <c r="J1108" s="592">
        <f t="shared" si="965"/>
        <v>14.76</v>
      </c>
      <c r="K1108" s="593">
        <f t="shared" si="975"/>
        <v>17.96</v>
      </c>
      <c r="L1108" s="594" t="s">
        <v>19</v>
      </c>
      <c r="M1108" s="92"/>
      <c r="N1108" s="92"/>
      <c r="O1108" s="93">
        <f t="shared" si="966"/>
        <v>0</v>
      </c>
      <c r="P1108" s="93">
        <f t="shared" si="967"/>
        <v>0</v>
      </c>
      <c r="Q1108" s="94"/>
      <c r="R1108" s="92">
        <f t="shared" si="968"/>
        <v>0</v>
      </c>
      <c r="S1108" s="92">
        <f t="shared" si="969"/>
        <v>0</v>
      </c>
      <c r="T1108" s="93">
        <f t="shared" si="970"/>
        <v>0</v>
      </c>
      <c r="U1108" s="95">
        <f t="shared" si="971"/>
        <v>0</v>
      </c>
      <c r="V1108" s="94"/>
      <c r="X1108" s="580" t="str">
        <f t="shared" si="972"/>
        <v/>
      </c>
      <c r="Y1108" s="580" t="str">
        <f t="shared" si="973"/>
        <v/>
      </c>
      <c r="Z1108" s="580" t="str">
        <f t="shared" si="974"/>
        <v/>
      </c>
    </row>
    <row r="1109" spans="1:26" ht="25.5" hidden="1" x14ac:dyDescent="0.2">
      <c r="A1109" s="97">
        <v>91870</v>
      </c>
      <c r="B1109" s="1031">
        <v>91870</v>
      </c>
      <c r="C1109" s="978" t="s">
        <v>883</v>
      </c>
      <c r="D1109" s="595" t="s">
        <v>1332</v>
      </c>
      <c r="E1109" s="596"/>
      <c r="F1109" s="671"/>
      <c r="G1109" s="597"/>
      <c r="H1109" s="682"/>
      <c r="I1109" s="592">
        <v>9.84</v>
      </c>
      <c r="J1109" s="592">
        <f t="shared" si="965"/>
        <v>9.84</v>
      </c>
      <c r="K1109" s="593">
        <f t="shared" si="975"/>
        <v>11.98</v>
      </c>
      <c r="L1109" s="594" t="s">
        <v>19</v>
      </c>
      <c r="M1109" s="92"/>
      <c r="N1109" s="92"/>
      <c r="O1109" s="93">
        <f t="shared" si="966"/>
        <v>0</v>
      </c>
      <c r="P1109" s="93">
        <f t="shared" si="967"/>
        <v>0</v>
      </c>
      <c r="Q1109" s="94"/>
      <c r="R1109" s="92">
        <f t="shared" si="968"/>
        <v>0</v>
      </c>
      <c r="S1109" s="92">
        <f t="shared" si="969"/>
        <v>0</v>
      </c>
      <c r="T1109" s="93">
        <f t="shared" si="970"/>
        <v>0</v>
      </c>
      <c r="U1109" s="95">
        <f t="shared" si="971"/>
        <v>0</v>
      </c>
      <c r="V1109" s="94"/>
      <c r="X1109" s="580" t="str">
        <f t="shared" si="972"/>
        <v/>
      </c>
      <c r="Y1109" s="580" t="str">
        <f t="shared" si="973"/>
        <v/>
      </c>
      <c r="Z1109" s="580" t="str">
        <f t="shared" si="974"/>
        <v/>
      </c>
    </row>
    <row r="1110" spans="1:26" ht="25.5" hidden="1" x14ac:dyDescent="0.2">
      <c r="A1110" s="97">
        <v>91871</v>
      </c>
      <c r="B1110" s="1031">
        <v>91871</v>
      </c>
      <c r="C1110" s="978" t="s">
        <v>883</v>
      </c>
      <c r="D1110" s="595" t="s">
        <v>1333</v>
      </c>
      <c r="E1110" s="596"/>
      <c r="F1110" s="671"/>
      <c r="G1110" s="597"/>
      <c r="H1110" s="682"/>
      <c r="I1110" s="592">
        <v>11.38</v>
      </c>
      <c r="J1110" s="592">
        <f t="shared" ref="J1110:J1173" si="976">IF(ISBLANK(I1110),"",SUM(H1110:I1110))</f>
        <v>11.38</v>
      </c>
      <c r="K1110" s="593">
        <f t="shared" si="975"/>
        <v>13.85</v>
      </c>
      <c r="L1110" s="594" t="s">
        <v>19</v>
      </c>
      <c r="M1110" s="92"/>
      <c r="N1110" s="92"/>
      <c r="O1110" s="93">
        <f t="shared" ref="O1110:O1173" si="977">IF(ISBLANK(M1110),0,ROUND(K1110*M1110,2))</f>
        <v>0</v>
      </c>
      <c r="P1110" s="93">
        <f t="shared" ref="P1110:P1173" si="978">IF(ISBLANK(N1110),0,ROUND(M1110*N1110,2))</f>
        <v>0</v>
      </c>
      <c r="Q1110" s="94"/>
      <c r="R1110" s="92">
        <f t="shared" ref="R1110:R1173" si="979">M1110</f>
        <v>0</v>
      </c>
      <c r="S1110" s="92">
        <f t="shared" ref="S1110:S1173" si="980">N1110</f>
        <v>0</v>
      </c>
      <c r="T1110" s="93">
        <f t="shared" ref="T1110:T1173" si="981">IF(ISBLANK(R1110),0,ROUND(K1110*R1110,2))</f>
        <v>0</v>
      </c>
      <c r="U1110" s="95">
        <f t="shared" ref="U1110:U1173" si="982">IF(ISBLANK(R1110),0,ROUND(R1110*S1110,2))</f>
        <v>0</v>
      </c>
      <c r="V1110" s="94"/>
      <c r="X1110" s="580" t="str">
        <f t="shared" ref="X1110:X1173" si="983">IF(W1110="X","x",IF(W1110="xx","x",IF(W1110="xy","x",IF(W1110="y","x",IF(OR(P1110&gt;0,U1110&gt;0),"x","")))))</f>
        <v/>
      </c>
      <c r="Y1110" s="580" t="str">
        <f t="shared" ref="Y1110:Y1173" si="984">IF(W1110="X","x",IF(W1110="y","x",IF(W1110="xx","x",IF(U1110&gt;0,"x",""))))</f>
        <v/>
      </c>
      <c r="Z1110" s="580" t="str">
        <f t="shared" ref="Z1110:Z1173" si="985">IF(W1110="X","x",IF(U1110&gt;0,"x",""))</f>
        <v/>
      </c>
    </row>
    <row r="1111" spans="1:26" ht="25.5" hidden="1" x14ac:dyDescent="0.2">
      <c r="A1111" s="97">
        <v>91872</v>
      </c>
      <c r="B1111" s="1031">
        <v>91872</v>
      </c>
      <c r="C1111" s="978" t="s">
        <v>883</v>
      </c>
      <c r="D1111" s="595" t="s">
        <v>1334</v>
      </c>
      <c r="E1111" s="596"/>
      <c r="F1111" s="671"/>
      <c r="G1111" s="597"/>
      <c r="H1111" s="682"/>
      <c r="I1111" s="592">
        <v>14.57</v>
      </c>
      <c r="J1111" s="592">
        <f t="shared" si="976"/>
        <v>14.57</v>
      </c>
      <c r="K1111" s="593">
        <f t="shared" si="975"/>
        <v>17.73</v>
      </c>
      <c r="L1111" s="594" t="s">
        <v>19</v>
      </c>
      <c r="M1111" s="92"/>
      <c r="N1111" s="92"/>
      <c r="O1111" s="93">
        <f t="shared" si="977"/>
        <v>0</v>
      </c>
      <c r="P1111" s="93">
        <f t="shared" si="978"/>
        <v>0</v>
      </c>
      <c r="Q1111" s="94"/>
      <c r="R1111" s="92">
        <f t="shared" si="979"/>
        <v>0</v>
      </c>
      <c r="S1111" s="92">
        <f t="shared" si="980"/>
        <v>0</v>
      </c>
      <c r="T1111" s="93">
        <f t="shared" si="981"/>
        <v>0</v>
      </c>
      <c r="U1111" s="95">
        <f t="shared" si="982"/>
        <v>0</v>
      </c>
      <c r="V1111" s="94"/>
      <c r="X1111" s="580" t="str">
        <f t="shared" si="983"/>
        <v/>
      </c>
      <c r="Y1111" s="580" t="str">
        <f t="shared" si="984"/>
        <v/>
      </c>
      <c r="Z1111" s="580" t="str">
        <f t="shared" si="985"/>
        <v/>
      </c>
    </row>
    <row r="1112" spans="1:26" ht="25.5" hidden="1" x14ac:dyDescent="0.2">
      <c r="A1112" s="97">
        <v>91873</v>
      </c>
      <c r="B1112" s="1031">
        <v>91873</v>
      </c>
      <c r="C1112" s="978" t="s">
        <v>883</v>
      </c>
      <c r="D1112" s="595" t="s">
        <v>1335</v>
      </c>
      <c r="E1112" s="596"/>
      <c r="F1112" s="671"/>
      <c r="G1112" s="597"/>
      <c r="H1112" s="682"/>
      <c r="I1112" s="592">
        <v>17.73</v>
      </c>
      <c r="J1112" s="592">
        <f t="shared" si="976"/>
        <v>17.73</v>
      </c>
      <c r="K1112" s="593">
        <f t="shared" si="975"/>
        <v>21.58</v>
      </c>
      <c r="L1112" s="594" t="s">
        <v>19</v>
      </c>
      <c r="M1112" s="92"/>
      <c r="N1112" s="92"/>
      <c r="O1112" s="93">
        <f t="shared" si="977"/>
        <v>0</v>
      </c>
      <c r="P1112" s="93">
        <f t="shared" si="978"/>
        <v>0</v>
      </c>
      <c r="Q1112" s="94"/>
      <c r="R1112" s="92">
        <f t="shared" si="979"/>
        <v>0</v>
      </c>
      <c r="S1112" s="92">
        <f t="shared" si="980"/>
        <v>0</v>
      </c>
      <c r="T1112" s="93">
        <f t="shared" si="981"/>
        <v>0</v>
      </c>
      <c r="U1112" s="95">
        <f t="shared" si="982"/>
        <v>0</v>
      </c>
      <c r="V1112" s="94"/>
      <c r="X1112" s="580" t="str">
        <f t="shared" si="983"/>
        <v/>
      </c>
      <c r="Y1112" s="580" t="str">
        <f t="shared" si="984"/>
        <v/>
      </c>
      <c r="Z1112" s="580" t="str">
        <f t="shared" si="985"/>
        <v/>
      </c>
    </row>
    <row r="1113" spans="1:26" ht="25.5" hidden="1" x14ac:dyDescent="0.2">
      <c r="A1113" s="97">
        <v>93008</v>
      </c>
      <c r="B1113" s="1031">
        <v>93008</v>
      </c>
      <c r="C1113" s="978" t="s">
        <v>883</v>
      </c>
      <c r="D1113" s="595" t="s">
        <v>1336</v>
      </c>
      <c r="E1113" s="596"/>
      <c r="F1113" s="671"/>
      <c r="G1113" s="597"/>
      <c r="H1113" s="682"/>
      <c r="I1113" s="592">
        <v>14.3</v>
      </c>
      <c r="J1113" s="592">
        <f t="shared" si="976"/>
        <v>14.3</v>
      </c>
      <c r="K1113" s="593">
        <f t="shared" si="975"/>
        <v>17.399999999999999</v>
      </c>
      <c r="L1113" s="594" t="s">
        <v>19</v>
      </c>
      <c r="M1113" s="92"/>
      <c r="N1113" s="92"/>
      <c r="O1113" s="93">
        <f t="shared" si="977"/>
        <v>0</v>
      </c>
      <c r="P1113" s="93">
        <f t="shared" si="978"/>
        <v>0</v>
      </c>
      <c r="Q1113" s="94"/>
      <c r="R1113" s="92">
        <f t="shared" si="979"/>
        <v>0</v>
      </c>
      <c r="S1113" s="92">
        <f t="shared" si="980"/>
        <v>0</v>
      </c>
      <c r="T1113" s="93">
        <f t="shared" si="981"/>
        <v>0</v>
      </c>
      <c r="U1113" s="95">
        <f t="shared" si="982"/>
        <v>0</v>
      </c>
      <c r="V1113" s="94"/>
      <c r="X1113" s="580" t="str">
        <f t="shared" si="983"/>
        <v/>
      </c>
      <c r="Y1113" s="580" t="str">
        <f t="shared" si="984"/>
        <v/>
      </c>
      <c r="Z1113" s="580" t="str">
        <f t="shared" si="985"/>
        <v/>
      </c>
    </row>
    <row r="1114" spans="1:26" ht="25.5" hidden="1" x14ac:dyDescent="0.2">
      <c r="A1114" s="97">
        <v>93009</v>
      </c>
      <c r="B1114" s="1031">
        <v>93009</v>
      </c>
      <c r="C1114" s="978" t="s">
        <v>883</v>
      </c>
      <c r="D1114" s="595" t="s">
        <v>1337</v>
      </c>
      <c r="E1114" s="596"/>
      <c r="F1114" s="671"/>
      <c r="G1114" s="597"/>
      <c r="H1114" s="682"/>
      <c r="I1114" s="592">
        <v>20.93</v>
      </c>
      <c r="J1114" s="592">
        <f t="shared" si="976"/>
        <v>20.93</v>
      </c>
      <c r="K1114" s="593">
        <f t="shared" si="975"/>
        <v>25.47</v>
      </c>
      <c r="L1114" s="594" t="s">
        <v>19</v>
      </c>
      <c r="M1114" s="92"/>
      <c r="N1114" s="92"/>
      <c r="O1114" s="93">
        <f t="shared" si="977"/>
        <v>0</v>
      </c>
      <c r="P1114" s="93">
        <f t="shared" si="978"/>
        <v>0</v>
      </c>
      <c r="Q1114" s="94"/>
      <c r="R1114" s="92">
        <f t="shared" si="979"/>
        <v>0</v>
      </c>
      <c r="S1114" s="92">
        <f t="shared" si="980"/>
        <v>0</v>
      </c>
      <c r="T1114" s="93">
        <f t="shared" si="981"/>
        <v>0</v>
      </c>
      <c r="U1114" s="95">
        <f t="shared" si="982"/>
        <v>0</v>
      </c>
      <c r="V1114" s="94"/>
      <c r="X1114" s="580" t="str">
        <f t="shared" si="983"/>
        <v/>
      </c>
      <c r="Y1114" s="580" t="str">
        <f t="shared" si="984"/>
        <v/>
      </c>
      <c r="Z1114" s="580" t="str">
        <f t="shared" si="985"/>
        <v/>
      </c>
    </row>
    <row r="1115" spans="1:26" ht="25.5" hidden="1" x14ac:dyDescent="0.2">
      <c r="A1115" s="97">
        <v>93010</v>
      </c>
      <c r="B1115" s="1031">
        <v>93010</v>
      </c>
      <c r="C1115" s="978" t="s">
        <v>883</v>
      </c>
      <c r="D1115" s="595" t="s">
        <v>1338</v>
      </c>
      <c r="E1115" s="596"/>
      <c r="F1115" s="671"/>
      <c r="G1115" s="597"/>
      <c r="H1115" s="682"/>
      <c r="I1115" s="592">
        <v>29.01</v>
      </c>
      <c r="J1115" s="592">
        <f t="shared" si="976"/>
        <v>29.01</v>
      </c>
      <c r="K1115" s="593">
        <f t="shared" si="975"/>
        <v>35.31</v>
      </c>
      <c r="L1115" s="594" t="s">
        <v>19</v>
      </c>
      <c r="M1115" s="92"/>
      <c r="N1115" s="92"/>
      <c r="O1115" s="93">
        <f t="shared" si="977"/>
        <v>0</v>
      </c>
      <c r="P1115" s="93">
        <f t="shared" si="978"/>
        <v>0</v>
      </c>
      <c r="Q1115" s="94"/>
      <c r="R1115" s="92">
        <f t="shared" si="979"/>
        <v>0</v>
      </c>
      <c r="S1115" s="92">
        <f t="shared" si="980"/>
        <v>0</v>
      </c>
      <c r="T1115" s="93">
        <f t="shared" si="981"/>
        <v>0</v>
      </c>
      <c r="U1115" s="95">
        <f t="shared" si="982"/>
        <v>0</v>
      </c>
      <c r="V1115" s="94"/>
      <c r="X1115" s="580" t="str">
        <f t="shared" si="983"/>
        <v/>
      </c>
      <c r="Y1115" s="580" t="str">
        <f t="shared" si="984"/>
        <v/>
      </c>
      <c r="Z1115" s="580" t="str">
        <f t="shared" si="985"/>
        <v/>
      </c>
    </row>
    <row r="1116" spans="1:26" ht="25.5" hidden="1" x14ac:dyDescent="0.2">
      <c r="A1116" s="97">
        <v>93011</v>
      </c>
      <c r="B1116" s="1031">
        <v>93011</v>
      </c>
      <c r="C1116" s="978" t="s">
        <v>883</v>
      </c>
      <c r="D1116" s="595" t="s">
        <v>1339</v>
      </c>
      <c r="E1116" s="596"/>
      <c r="F1116" s="671"/>
      <c r="G1116" s="597"/>
      <c r="H1116" s="682"/>
      <c r="I1116" s="592">
        <v>35.4</v>
      </c>
      <c r="J1116" s="592">
        <f t="shared" si="976"/>
        <v>35.4</v>
      </c>
      <c r="K1116" s="593">
        <f t="shared" si="975"/>
        <v>43.09</v>
      </c>
      <c r="L1116" s="594" t="s">
        <v>19</v>
      </c>
      <c r="M1116" s="92"/>
      <c r="N1116" s="92"/>
      <c r="O1116" s="93">
        <f t="shared" si="977"/>
        <v>0</v>
      </c>
      <c r="P1116" s="93">
        <f t="shared" si="978"/>
        <v>0</v>
      </c>
      <c r="Q1116" s="94"/>
      <c r="R1116" s="92">
        <f t="shared" si="979"/>
        <v>0</v>
      </c>
      <c r="S1116" s="92">
        <f t="shared" si="980"/>
        <v>0</v>
      </c>
      <c r="T1116" s="93">
        <f t="shared" si="981"/>
        <v>0</v>
      </c>
      <c r="U1116" s="95">
        <f t="shared" si="982"/>
        <v>0</v>
      </c>
      <c r="V1116" s="94"/>
      <c r="X1116" s="580" t="str">
        <f t="shared" si="983"/>
        <v/>
      </c>
      <c r="Y1116" s="580" t="str">
        <f t="shared" si="984"/>
        <v/>
      </c>
      <c r="Z1116" s="580" t="str">
        <f t="shared" si="985"/>
        <v/>
      </c>
    </row>
    <row r="1117" spans="1:26" ht="25.5" hidden="1" x14ac:dyDescent="0.2">
      <c r="A1117" s="97">
        <v>93012</v>
      </c>
      <c r="B1117" s="1031">
        <v>93012</v>
      </c>
      <c r="C1117" s="978" t="s">
        <v>883</v>
      </c>
      <c r="D1117" s="595" t="s">
        <v>1340</v>
      </c>
      <c r="E1117" s="596"/>
      <c r="F1117" s="671"/>
      <c r="G1117" s="597"/>
      <c r="H1117" s="682"/>
      <c r="I1117" s="592">
        <v>53.26</v>
      </c>
      <c r="J1117" s="592">
        <f t="shared" si="976"/>
        <v>53.26</v>
      </c>
      <c r="K1117" s="593">
        <f t="shared" si="975"/>
        <v>64.819999999999993</v>
      </c>
      <c r="L1117" s="594" t="s">
        <v>19</v>
      </c>
      <c r="M1117" s="92"/>
      <c r="N1117" s="92"/>
      <c r="O1117" s="93">
        <f t="shared" si="977"/>
        <v>0</v>
      </c>
      <c r="P1117" s="93">
        <f t="shared" si="978"/>
        <v>0</v>
      </c>
      <c r="Q1117" s="94"/>
      <c r="R1117" s="92">
        <f t="shared" si="979"/>
        <v>0</v>
      </c>
      <c r="S1117" s="92">
        <f t="shared" si="980"/>
        <v>0</v>
      </c>
      <c r="T1117" s="93">
        <f t="shared" si="981"/>
        <v>0</v>
      </c>
      <c r="U1117" s="95">
        <f t="shared" si="982"/>
        <v>0</v>
      </c>
      <c r="V1117" s="94"/>
      <c r="X1117" s="580" t="str">
        <f t="shared" si="983"/>
        <v/>
      </c>
      <c r="Y1117" s="580" t="str">
        <f t="shared" si="984"/>
        <v/>
      </c>
      <c r="Z1117" s="580" t="str">
        <f t="shared" si="985"/>
        <v/>
      </c>
    </row>
    <row r="1118" spans="1:26" ht="25.5" hidden="1" x14ac:dyDescent="0.2">
      <c r="A1118" s="97">
        <v>95726</v>
      </c>
      <c r="B1118" s="1031">
        <v>95726</v>
      </c>
      <c r="C1118" s="978" t="s">
        <v>883</v>
      </c>
      <c r="D1118" s="595" t="s">
        <v>1341</v>
      </c>
      <c r="E1118" s="596"/>
      <c r="F1118" s="671"/>
      <c r="G1118" s="597"/>
      <c r="H1118" s="682"/>
      <c r="I1118" s="592">
        <v>5.85</v>
      </c>
      <c r="J1118" s="592">
        <f t="shared" si="976"/>
        <v>5.85</v>
      </c>
      <c r="K1118" s="593">
        <f t="shared" si="975"/>
        <v>7.12</v>
      </c>
      <c r="L1118" s="594" t="s">
        <v>19</v>
      </c>
      <c r="M1118" s="92"/>
      <c r="N1118" s="92"/>
      <c r="O1118" s="93">
        <f t="shared" si="977"/>
        <v>0</v>
      </c>
      <c r="P1118" s="93">
        <f t="shared" si="978"/>
        <v>0</v>
      </c>
      <c r="Q1118" s="94"/>
      <c r="R1118" s="92">
        <f t="shared" si="979"/>
        <v>0</v>
      </c>
      <c r="S1118" s="92">
        <f t="shared" si="980"/>
        <v>0</v>
      </c>
      <c r="T1118" s="93">
        <f t="shared" si="981"/>
        <v>0</v>
      </c>
      <c r="U1118" s="95">
        <f t="shared" si="982"/>
        <v>0</v>
      </c>
      <c r="V1118" s="94"/>
      <c r="X1118" s="580" t="str">
        <f t="shared" si="983"/>
        <v/>
      </c>
      <c r="Y1118" s="580" t="str">
        <f t="shared" si="984"/>
        <v/>
      </c>
      <c r="Z1118" s="580" t="str">
        <f t="shared" si="985"/>
        <v/>
      </c>
    </row>
    <row r="1119" spans="1:26" ht="25.5" hidden="1" x14ac:dyDescent="0.2">
      <c r="A1119" s="97">
        <v>95727</v>
      </c>
      <c r="B1119" s="1031">
        <v>95727</v>
      </c>
      <c r="C1119" s="978" t="s">
        <v>883</v>
      </c>
      <c r="D1119" s="595" t="s">
        <v>1342</v>
      </c>
      <c r="E1119" s="596"/>
      <c r="F1119" s="671"/>
      <c r="G1119" s="597"/>
      <c r="H1119" s="682"/>
      <c r="I1119" s="592">
        <v>6.67</v>
      </c>
      <c r="J1119" s="592">
        <f t="shared" si="976"/>
        <v>6.67</v>
      </c>
      <c r="K1119" s="593">
        <f t="shared" si="975"/>
        <v>8.1199999999999992</v>
      </c>
      <c r="L1119" s="594" t="s">
        <v>19</v>
      </c>
      <c r="M1119" s="92"/>
      <c r="N1119" s="92"/>
      <c r="O1119" s="93">
        <f t="shared" si="977"/>
        <v>0</v>
      </c>
      <c r="P1119" s="93">
        <f t="shared" si="978"/>
        <v>0</v>
      </c>
      <c r="Q1119" s="94"/>
      <c r="R1119" s="92">
        <f t="shared" si="979"/>
        <v>0</v>
      </c>
      <c r="S1119" s="92">
        <f t="shared" si="980"/>
        <v>0</v>
      </c>
      <c r="T1119" s="93">
        <f t="shared" si="981"/>
        <v>0</v>
      </c>
      <c r="U1119" s="95">
        <f t="shared" si="982"/>
        <v>0</v>
      </c>
      <c r="V1119" s="94"/>
      <c r="X1119" s="580" t="str">
        <f t="shared" si="983"/>
        <v/>
      </c>
      <c r="Y1119" s="580" t="str">
        <f t="shared" si="984"/>
        <v/>
      </c>
      <c r="Z1119" s="580" t="str">
        <f t="shared" si="985"/>
        <v/>
      </c>
    </row>
    <row r="1120" spans="1:26" ht="25.5" hidden="1" x14ac:dyDescent="0.2">
      <c r="A1120" s="97">
        <v>95728</v>
      </c>
      <c r="B1120" s="1031">
        <v>95728</v>
      </c>
      <c r="C1120" s="978" t="s">
        <v>883</v>
      </c>
      <c r="D1120" s="595" t="s">
        <v>1343</v>
      </c>
      <c r="E1120" s="596"/>
      <c r="F1120" s="671"/>
      <c r="G1120" s="597"/>
      <c r="H1120" s="682"/>
      <c r="I1120" s="592">
        <v>8.41</v>
      </c>
      <c r="J1120" s="592">
        <f t="shared" si="976"/>
        <v>8.41</v>
      </c>
      <c r="K1120" s="593">
        <f t="shared" si="975"/>
        <v>10.24</v>
      </c>
      <c r="L1120" s="594" t="s">
        <v>19</v>
      </c>
      <c r="M1120" s="92"/>
      <c r="N1120" s="92"/>
      <c r="O1120" s="93">
        <f t="shared" si="977"/>
        <v>0</v>
      </c>
      <c r="P1120" s="93">
        <f t="shared" si="978"/>
        <v>0</v>
      </c>
      <c r="Q1120" s="94"/>
      <c r="R1120" s="92">
        <f t="shared" si="979"/>
        <v>0</v>
      </c>
      <c r="S1120" s="92">
        <f t="shared" si="980"/>
        <v>0</v>
      </c>
      <c r="T1120" s="93">
        <f t="shared" si="981"/>
        <v>0</v>
      </c>
      <c r="U1120" s="95">
        <f t="shared" si="982"/>
        <v>0</v>
      </c>
      <c r="V1120" s="94"/>
      <c r="X1120" s="580" t="str">
        <f t="shared" si="983"/>
        <v/>
      </c>
      <c r="Y1120" s="580" t="str">
        <f t="shared" si="984"/>
        <v/>
      </c>
      <c r="Z1120" s="580" t="str">
        <f t="shared" si="985"/>
        <v/>
      </c>
    </row>
    <row r="1121" spans="1:26" ht="25.5" hidden="1" x14ac:dyDescent="0.2">
      <c r="A1121" s="97">
        <v>95729</v>
      </c>
      <c r="B1121" s="1031">
        <v>95729</v>
      </c>
      <c r="C1121" s="978" t="s">
        <v>883</v>
      </c>
      <c r="D1121" s="595" t="s">
        <v>1344</v>
      </c>
      <c r="E1121" s="596"/>
      <c r="F1121" s="671"/>
      <c r="G1121" s="597"/>
      <c r="H1121" s="682"/>
      <c r="I1121" s="592">
        <v>7.77</v>
      </c>
      <c r="J1121" s="592">
        <f t="shared" si="976"/>
        <v>7.77</v>
      </c>
      <c r="K1121" s="593">
        <f t="shared" si="975"/>
        <v>9.4600000000000009</v>
      </c>
      <c r="L1121" s="594" t="s">
        <v>19</v>
      </c>
      <c r="M1121" s="92"/>
      <c r="N1121" s="92"/>
      <c r="O1121" s="93">
        <f t="shared" si="977"/>
        <v>0</v>
      </c>
      <c r="P1121" s="93">
        <f t="shared" si="978"/>
        <v>0</v>
      </c>
      <c r="Q1121" s="94"/>
      <c r="R1121" s="92">
        <f t="shared" si="979"/>
        <v>0</v>
      </c>
      <c r="S1121" s="92">
        <f t="shared" si="980"/>
        <v>0</v>
      </c>
      <c r="T1121" s="93">
        <f t="shared" si="981"/>
        <v>0</v>
      </c>
      <c r="U1121" s="95">
        <f t="shared" si="982"/>
        <v>0</v>
      </c>
      <c r="V1121" s="94"/>
      <c r="X1121" s="580" t="str">
        <f t="shared" si="983"/>
        <v/>
      </c>
      <c r="Y1121" s="580" t="str">
        <f t="shared" si="984"/>
        <v/>
      </c>
      <c r="Z1121" s="580" t="str">
        <f t="shared" si="985"/>
        <v/>
      </c>
    </row>
    <row r="1122" spans="1:26" ht="25.5" hidden="1" x14ac:dyDescent="0.2">
      <c r="A1122" s="97">
        <v>95730</v>
      </c>
      <c r="B1122" s="1031">
        <v>95730</v>
      </c>
      <c r="C1122" s="978" t="s">
        <v>883</v>
      </c>
      <c r="D1122" s="595" t="s">
        <v>1345</v>
      </c>
      <c r="E1122" s="596"/>
      <c r="F1122" s="671"/>
      <c r="G1122" s="597"/>
      <c r="H1122" s="682"/>
      <c r="I1122" s="592">
        <v>8.59</v>
      </c>
      <c r="J1122" s="592">
        <f t="shared" si="976"/>
        <v>8.59</v>
      </c>
      <c r="K1122" s="593">
        <f t="shared" si="975"/>
        <v>10.45</v>
      </c>
      <c r="L1122" s="594" t="s">
        <v>19</v>
      </c>
      <c r="M1122" s="92"/>
      <c r="N1122" s="92"/>
      <c r="O1122" s="93">
        <f t="shared" si="977"/>
        <v>0</v>
      </c>
      <c r="P1122" s="93">
        <f t="shared" si="978"/>
        <v>0</v>
      </c>
      <c r="Q1122" s="94"/>
      <c r="R1122" s="92">
        <f t="shared" si="979"/>
        <v>0</v>
      </c>
      <c r="S1122" s="92">
        <f t="shared" si="980"/>
        <v>0</v>
      </c>
      <c r="T1122" s="93">
        <f t="shared" si="981"/>
        <v>0</v>
      </c>
      <c r="U1122" s="95">
        <f t="shared" si="982"/>
        <v>0</v>
      </c>
      <c r="V1122" s="94"/>
      <c r="X1122" s="580" t="str">
        <f t="shared" si="983"/>
        <v/>
      </c>
      <c r="Y1122" s="580" t="str">
        <f t="shared" si="984"/>
        <v/>
      </c>
      <c r="Z1122" s="580" t="str">
        <f t="shared" si="985"/>
        <v/>
      </c>
    </row>
    <row r="1123" spans="1:26" ht="25.5" hidden="1" x14ac:dyDescent="0.2">
      <c r="A1123" s="97">
        <v>95731</v>
      </c>
      <c r="B1123" s="1031">
        <v>95731</v>
      </c>
      <c r="C1123" s="978" t="s">
        <v>883</v>
      </c>
      <c r="D1123" s="595" t="s">
        <v>1346</v>
      </c>
      <c r="E1123" s="596"/>
      <c r="F1123" s="671"/>
      <c r="G1123" s="597"/>
      <c r="H1123" s="682"/>
      <c r="I1123" s="592">
        <v>10.33</v>
      </c>
      <c r="J1123" s="592">
        <f t="shared" si="976"/>
        <v>10.33</v>
      </c>
      <c r="K1123" s="593">
        <f t="shared" si="975"/>
        <v>12.57</v>
      </c>
      <c r="L1123" s="594" t="s">
        <v>19</v>
      </c>
      <c r="M1123" s="92"/>
      <c r="N1123" s="92"/>
      <c r="O1123" s="93">
        <f t="shared" si="977"/>
        <v>0</v>
      </c>
      <c r="P1123" s="93">
        <f t="shared" si="978"/>
        <v>0</v>
      </c>
      <c r="Q1123" s="94"/>
      <c r="R1123" s="92">
        <f t="shared" si="979"/>
        <v>0</v>
      </c>
      <c r="S1123" s="92">
        <f t="shared" si="980"/>
        <v>0</v>
      </c>
      <c r="T1123" s="93">
        <f t="shared" si="981"/>
        <v>0</v>
      </c>
      <c r="U1123" s="95">
        <f t="shared" si="982"/>
        <v>0</v>
      </c>
      <c r="V1123" s="94"/>
      <c r="X1123" s="580" t="str">
        <f t="shared" si="983"/>
        <v/>
      </c>
      <c r="Y1123" s="580" t="str">
        <f t="shared" si="984"/>
        <v/>
      </c>
      <c r="Z1123" s="580" t="str">
        <f t="shared" si="985"/>
        <v/>
      </c>
    </row>
    <row r="1124" spans="1:26" ht="25.5" hidden="1" x14ac:dyDescent="0.2">
      <c r="A1124" s="97">
        <v>95733</v>
      </c>
      <c r="B1124" s="1031">
        <v>95733</v>
      </c>
      <c r="C1124" s="978" t="s">
        <v>883</v>
      </c>
      <c r="D1124" s="595" t="s">
        <v>1347</v>
      </c>
      <c r="E1124" s="596"/>
      <c r="F1124" s="671"/>
      <c r="G1124" s="597"/>
      <c r="H1124" s="682"/>
      <c r="I1124" s="592">
        <v>5.62</v>
      </c>
      <c r="J1124" s="592">
        <f t="shared" si="976"/>
        <v>5.62</v>
      </c>
      <c r="K1124" s="593">
        <f t="shared" si="975"/>
        <v>6.84</v>
      </c>
      <c r="L1124" s="594" t="s">
        <v>21</v>
      </c>
      <c r="M1124" s="92"/>
      <c r="N1124" s="92"/>
      <c r="O1124" s="93">
        <f t="shared" si="977"/>
        <v>0</v>
      </c>
      <c r="P1124" s="93">
        <f t="shared" si="978"/>
        <v>0</v>
      </c>
      <c r="Q1124" s="94"/>
      <c r="R1124" s="92">
        <f t="shared" si="979"/>
        <v>0</v>
      </c>
      <c r="S1124" s="92">
        <f t="shared" si="980"/>
        <v>0</v>
      </c>
      <c r="T1124" s="93">
        <f t="shared" si="981"/>
        <v>0</v>
      </c>
      <c r="U1124" s="95">
        <f t="shared" si="982"/>
        <v>0</v>
      </c>
      <c r="V1124" s="94"/>
      <c r="X1124" s="580" t="str">
        <f t="shared" si="983"/>
        <v/>
      </c>
      <c r="Y1124" s="580" t="str">
        <f t="shared" si="984"/>
        <v/>
      </c>
      <c r="Z1124" s="580" t="str">
        <f t="shared" si="985"/>
        <v/>
      </c>
    </row>
    <row r="1125" spans="1:26" ht="25.5" hidden="1" x14ac:dyDescent="0.2">
      <c r="A1125" s="97">
        <v>95734</v>
      </c>
      <c r="B1125" s="1031">
        <v>95734</v>
      </c>
      <c r="C1125" s="978" t="s">
        <v>883</v>
      </c>
      <c r="D1125" s="595" t="s">
        <v>1348</v>
      </c>
      <c r="E1125" s="596"/>
      <c r="F1125" s="671"/>
      <c r="G1125" s="597"/>
      <c r="H1125" s="682"/>
      <c r="I1125" s="592">
        <v>7.48</v>
      </c>
      <c r="J1125" s="592">
        <f t="shared" si="976"/>
        <v>7.48</v>
      </c>
      <c r="K1125" s="593">
        <f t="shared" si="975"/>
        <v>9.1</v>
      </c>
      <c r="L1125" s="594" t="s">
        <v>21</v>
      </c>
      <c r="M1125" s="92"/>
      <c r="N1125" s="92"/>
      <c r="O1125" s="93">
        <f t="shared" si="977"/>
        <v>0</v>
      </c>
      <c r="P1125" s="93">
        <f t="shared" si="978"/>
        <v>0</v>
      </c>
      <c r="Q1125" s="94"/>
      <c r="R1125" s="92">
        <f t="shared" si="979"/>
        <v>0</v>
      </c>
      <c r="S1125" s="92">
        <f t="shared" si="980"/>
        <v>0</v>
      </c>
      <c r="T1125" s="93">
        <f t="shared" si="981"/>
        <v>0</v>
      </c>
      <c r="U1125" s="95">
        <f t="shared" si="982"/>
        <v>0</v>
      </c>
      <c r="V1125" s="94"/>
      <c r="X1125" s="580" t="str">
        <f t="shared" si="983"/>
        <v/>
      </c>
      <c r="Y1125" s="580" t="str">
        <f t="shared" si="984"/>
        <v/>
      </c>
      <c r="Z1125" s="580" t="str">
        <f t="shared" si="985"/>
        <v/>
      </c>
    </row>
    <row r="1126" spans="1:26" ht="25.5" hidden="1" x14ac:dyDescent="0.2">
      <c r="A1126" s="97">
        <v>95735</v>
      </c>
      <c r="B1126" s="1031">
        <v>95735</v>
      </c>
      <c r="C1126" s="978" t="s">
        <v>883</v>
      </c>
      <c r="D1126" s="595" t="s">
        <v>1349</v>
      </c>
      <c r="E1126" s="596"/>
      <c r="F1126" s="671"/>
      <c r="G1126" s="597"/>
      <c r="H1126" s="682"/>
      <c r="I1126" s="592">
        <v>6.28</v>
      </c>
      <c r="J1126" s="592">
        <f t="shared" si="976"/>
        <v>6.28</v>
      </c>
      <c r="K1126" s="593">
        <f t="shared" si="975"/>
        <v>7.64</v>
      </c>
      <c r="L1126" s="594" t="s">
        <v>21</v>
      </c>
      <c r="M1126" s="92"/>
      <c r="N1126" s="92"/>
      <c r="O1126" s="93">
        <f t="shared" si="977"/>
        <v>0</v>
      </c>
      <c r="P1126" s="93">
        <f t="shared" si="978"/>
        <v>0</v>
      </c>
      <c r="Q1126" s="94"/>
      <c r="R1126" s="92">
        <f t="shared" si="979"/>
        <v>0</v>
      </c>
      <c r="S1126" s="92">
        <f t="shared" si="980"/>
        <v>0</v>
      </c>
      <c r="T1126" s="93">
        <f t="shared" si="981"/>
        <v>0</v>
      </c>
      <c r="U1126" s="95">
        <f t="shared" si="982"/>
        <v>0</v>
      </c>
      <c r="V1126" s="94"/>
      <c r="X1126" s="580" t="str">
        <f t="shared" si="983"/>
        <v/>
      </c>
      <c r="Y1126" s="580" t="str">
        <f t="shared" si="984"/>
        <v/>
      </c>
      <c r="Z1126" s="580" t="str">
        <f t="shared" si="985"/>
        <v/>
      </c>
    </row>
    <row r="1127" spans="1:26" ht="25.5" hidden="1" x14ac:dyDescent="0.2">
      <c r="A1127" s="97">
        <v>95736</v>
      </c>
      <c r="B1127" s="1031">
        <v>95736</v>
      </c>
      <c r="C1127" s="978" t="s">
        <v>883</v>
      </c>
      <c r="D1127" s="595" t="s">
        <v>1350</v>
      </c>
      <c r="E1127" s="596"/>
      <c r="F1127" s="671"/>
      <c r="G1127" s="597"/>
      <c r="H1127" s="682"/>
      <c r="I1127" s="592">
        <v>7.38</v>
      </c>
      <c r="J1127" s="592">
        <f t="shared" si="976"/>
        <v>7.38</v>
      </c>
      <c r="K1127" s="593">
        <f t="shared" si="975"/>
        <v>8.98</v>
      </c>
      <c r="L1127" s="594" t="s">
        <v>21</v>
      </c>
      <c r="M1127" s="92"/>
      <c r="N1127" s="92"/>
      <c r="O1127" s="93">
        <f t="shared" si="977"/>
        <v>0</v>
      </c>
      <c r="P1127" s="93">
        <f t="shared" si="978"/>
        <v>0</v>
      </c>
      <c r="Q1127" s="94"/>
      <c r="R1127" s="92">
        <f t="shared" si="979"/>
        <v>0</v>
      </c>
      <c r="S1127" s="92">
        <f t="shared" si="980"/>
        <v>0</v>
      </c>
      <c r="T1127" s="93">
        <f t="shared" si="981"/>
        <v>0</v>
      </c>
      <c r="U1127" s="95">
        <f t="shared" si="982"/>
        <v>0</v>
      </c>
      <c r="V1127" s="94"/>
      <c r="X1127" s="580" t="str">
        <f t="shared" si="983"/>
        <v/>
      </c>
      <c r="Y1127" s="580" t="str">
        <f t="shared" si="984"/>
        <v/>
      </c>
      <c r="Z1127" s="580" t="str">
        <f t="shared" si="985"/>
        <v/>
      </c>
    </row>
    <row r="1128" spans="1:26" ht="25.5" hidden="1" x14ac:dyDescent="0.2">
      <c r="A1128" s="97">
        <v>95738</v>
      </c>
      <c r="B1128" s="1031">
        <v>95738</v>
      </c>
      <c r="C1128" s="978" t="s">
        <v>883</v>
      </c>
      <c r="D1128" s="595" t="s">
        <v>1351</v>
      </c>
      <c r="E1128" s="596"/>
      <c r="F1128" s="671"/>
      <c r="G1128" s="597"/>
      <c r="H1128" s="682"/>
      <c r="I1128" s="592">
        <v>8.91</v>
      </c>
      <c r="J1128" s="592">
        <f t="shared" si="976"/>
        <v>8.91</v>
      </c>
      <c r="K1128" s="593">
        <f t="shared" si="975"/>
        <v>10.84</v>
      </c>
      <c r="L1128" s="594" t="s">
        <v>21</v>
      </c>
      <c r="M1128" s="92"/>
      <c r="N1128" s="92"/>
      <c r="O1128" s="93">
        <f t="shared" si="977"/>
        <v>0</v>
      </c>
      <c r="P1128" s="93">
        <f t="shared" si="978"/>
        <v>0</v>
      </c>
      <c r="Q1128" s="94"/>
      <c r="R1128" s="92">
        <f t="shared" si="979"/>
        <v>0</v>
      </c>
      <c r="S1128" s="92">
        <f t="shared" si="980"/>
        <v>0</v>
      </c>
      <c r="T1128" s="93">
        <f t="shared" si="981"/>
        <v>0</v>
      </c>
      <c r="U1128" s="95">
        <f t="shared" si="982"/>
        <v>0</v>
      </c>
      <c r="V1128" s="94"/>
      <c r="X1128" s="580" t="str">
        <f t="shared" si="983"/>
        <v/>
      </c>
      <c r="Y1128" s="580" t="str">
        <f t="shared" si="984"/>
        <v/>
      </c>
      <c r="Z1128" s="580" t="str">
        <f t="shared" si="985"/>
        <v/>
      </c>
    </row>
    <row r="1129" spans="1:26" ht="25.5" hidden="1" x14ac:dyDescent="0.2">
      <c r="A1129" s="97">
        <v>95732</v>
      </c>
      <c r="B1129" s="1031">
        <v>95732</v>
      </c>
      <c r="C1129" s="978" t="s">
        <v>883</v>
      </c>
      <c r="D1129" s="595" t="s">
        <v>1352</v>
      </c>
      <c r="E1129" s="596"/>
      <c r="F1129" s="671"/>
      <c r="G1129" s="597"/>
      <c r="H1129" s="682"/>
      <c r="I1129" s="592">
        <v>4.29</v>
      </c>
      <c r="J1129" s="592">
        <f t="shared" si="976"/>
        <v>4.29</v>
      </c>
      <c r="K1129" s="593">
        <f t="shared" si="975"/>
        <v>5.22</v>
      </c>
      <c r="L1129" s="594" t="s">
        <v>21</v>
      </c>
      <c r="M1129" s="92"/>
      <c r="N1129" s="92"/>
      <c r="O1129" s="93">
        <f t="shared" si="977"/>
        <v>0</v>
      </c>
      <c r="P1129" s="93">
        <f t="shared" si="978"/>
        <v>0</v>
      </c>
      <c r="Q1129" s="94"/>
      <c r="R1129" s="92">
        <f t="shared" si="979"/>
        <v>0</v>
      </c>
      <c r="S1129" s="92">
        <f t="shared" si="980"/>
        <v>0</v>
      </c>
      <c r="T1129" s="93">
        <f t="shared" si="981"/>
        <v>0</v>
      </c>
      <c r="U1129" s="95">
        <f t="shared" si="982"/>
        <v>0</v>
      </c>
      <c r="V1129" s="94"/>
      <c r="X1129" s="580" t="str">
        <f t="shared" si="983"/>
        <v/>
      </c>
      <c r="Y1129" s="580" t="str">
        <f t="shared" si="984"/>
        <v/>
      </c>
      <c r="Z1129" s="580" t="str">
        <f t="shared" si="985"/>
        <v/>
      </c>
    </row>
    <row r="1130" spans="1:26" ht="25.5" hidden="1" x14ac:dyDescent="0.2">
      <c r="A1130" s="97">
        <v>95745</v>
      </c>
      <c r="B1130" s="1031">
        <v>95745</v>
      </c>
      <c r="C1130" s="978" t="s">
        <v>883</v>
      </c>
      <c r="D1130" s="595" t="s">
        <v>1353</v>
      </c>
      <c r="E1130" s="596"/>
      <c r="F1130" s="671"/>
      <c r="G1130" s="597"/>
      <c r="H1130" s="682"/>
      <c r="I1130" s="592">
        <v>15.35</v>
      </c>
      <c r="J1130" s="592">
        <f t="shared" si="976"/>
        <v>15.35</v>
      </c>
      <c r="K1130" s="593">
        <f t="shared" si="975"/>
        <v>18.68</v>
      </c>
      <c r="L1130" s="594" t="s">
        <v>19</v>
      </c>
      <c r="M1130" s="92"/>
      <c r="N1130" s="92"/>
      <c r="O1130" s="93">
        <f t="shared" si="977"/>
        <v>0</v>
      </c>
      <c r="P1130" s="93">
        <f t="shared" si="978"/>
        <v>0</v>
      </c>
      <c r="Q1130" s="94"/>
      <c r="R1130" s="92">
        <f t="shared" si="979"/>
        <v>0</v>
      </c>
      <c r="S1130" s="92">
        <f t="shared" si="980"/>
        <v>0</v>
      </c>
      <c r="T1130" s="93">
        <f t="shared" si="981"/>
        <v>0</v>
      </c>
      <c r="U1130" s="95">
        <f t="shared" si="982"/>
        <v>0</v>
      </c>
      <c r="V1130" s="94"/>
      <c r="X1130" s="580" t="str">
        <f t="shared" si="983"/>
        <v/>
      </c>
      <c r="Y1130" s="580" t="str">
        <f t="shared" si="984"/>
        <v/>
      </c>
      <c r="Z1130" s="580" t="str">
        <f t="shared" si="985"/>
        <v/>
      </c>
    </row>
    <row r="1131" spans="1:26" ht="25.5" hidden="1" x14ac:dyDescent="0.2">
      <c r="A1131" s="97">
        <v>95746</v>
      </c>
      <c r="B1131" s="1031">
        <v>95746</v>
      </c>
      <c r="C1131" s="978" t="s">
        <v>883</v>
      </c>
      <c r="D1131" s="595" t="s">
        <v>1354</v>
      </c>
      <c r="E1131" s="596"/>
      <c r="F1131" s="671"/>
      <c r="G1131" s="597"/>
      <c r="H1131" s="682"/>
      <c r="I1131" s="592">
        <v>18.91</v>
      </c>
      <c r="J1131" s="592">
        <f t="shared" si="976"/>
        <v>18.91</v>
      </c>
      <c r="K1131" s="593">
        <f t="shared" si="975"/>
        <v>23.02</v>
      </c>
      <c r="L1131" s="594" t="s">
        <v>19</v>
      </c>
      <c r="M1131" s="92"/>
      <c r="N1131" s="92"/>
      <c r="O1131" s="93">
        <f t="shared" si="977"/>
        <v>0</v>
      </c>
      <c r="P1131" s="93">
        <f t="shared" si="978"/>
        <v>0</v>
      </c>
      <c r="Q1131" s="94"/>
      <c r="R1131" s="92">
        <f t="shared" si="979"/>
        <v>0</v>
      </c>
      <c r="S1131" s="92">
        <f t="shared" si="980"/>
        <v>0</v>
      </c>
      <c r="T1131" s="93">
        <f t="shared" si="981"/>
        <v>0</v>
      </c>
      <c r="U1131" s="95">
        <f t="shared" si="982"/>
        <v>0</v>
      </c>
      <c r="V1131" s="94"/>
      <c r="X1131" s="580" t="str">
        <f t="shared" si="983"/>
        <v/>
      </c>
      <c r="Y1131" s="580" t="str">
        <f t="shared" si="984"/>
        <v/>
      </c>
      <c r="Z1131" s="580" t="str">
        <f t="shared" si="985"/>
        <v/>
      </c>
    </row>
    <row r="1132" spans="1:26" ht="25.5" hidden="1" x14ac:dyDescent="0.2">
      <c r="A1132" s="97">
        <v>95747</v>
      </c>
      <c r="B1132" s="1031">
        <v>95747</v>
      </c>
      <c r="C1132" s="978" t="s">
        <v>883</v>
      </c>
      <c r="D1132" s="595" t="s">
        <v>1355</v>
      </c>
      <c r="E1132" s="596"/>
      <c r="F1132" s="671"/>
      <c r="G1132" s="597"/>
      <c r="H1132" s="682"/>
      <c r="I1132" s="592">
        <v>29.63</v>
      </c>
      <c r="J1132" s="592">
        <f t="shared" si="976"/>
        <v>29.63</v>
      </c>
      <c r="K1132" s="593">
        <f t="shared" si="975"/>
        <v>36.06</v>
      </c>
      <c r="L1132" s="594" t="s">
        <v>19</v>
      </c>
      <c r="M1132" s="92"/>
      <c r="N1132" s="92"/>
      <c r="O1132" s="93">
        <f t="shared" si="977"/>
        <v>0</v>
      </c>
      <c r="P1132" s="93">
        <f t="shared" si="978"/>
        <v>0</v>
      </c>
      <c r="Q1132" s="94"/>
      <c r="R1132" s="92">
        <f t="shared" si="979"/>
        <v>0</v>
      </c>
      <c r="S1132" s="92">
        <f t="shared" si="980"/>
        <v>0</v>
      </c>
      <c r="T1132" s="93">
        <f t="shared" si="981"/>
        <v>0</v>
      </c>
      <c r="U1132" s="95">
        <f t="shared" si="982"/>
        <v>0</v>
      </c>
      <c r="V1132" s="94"/>
      <c r="X1132" s="580" t="str">
        <f t="shared" si="983"/>
        <v/>
      </c>
      <c r="Y1132" s="580" t="str">
        <f t="shared" si="984"/>
        <v/>
      </c>
      <c r="Z1132" s="580" t="str">
        <f t="shared" si="985"/>
        <v/>
      </c>
    </row>
    <row r="1133" spans="1:26" ht="25.5" hidden="1" x14ac:dyDescent="0.2">
      <c r="A1133" s="97">
        <v>95748</v>
      </c>
      <c r="B1133" s="1031">
        <v>95748</v>
      </c>
      <c r="C1133" s="978" t="s">
        <v>883</v>
      </c>
      <c r="D1133" s="595" t="s">
        <v>1356</v>
      </c>
      <c r="E1133" s="596"/>
      <c r="F1133" s="671"/>
      <c r="G1133" s="597"/>
      <c r="H1133" s="682"/>
      <c r="I1133" s="592">
        <v>32.58</v>
      </c>
      <c r="J1133" s="592">
        <f t="shared" si="976"/>
        <v>32.58</v>
      </c>
      <c r="K1133" s="593">
        <f t="shared" si="975"/>
        <v>39.65</v>
      </c>
      <c r="L1133" s="594" t="s">
        <v>19</v>
      </c>
      <c r="M1133" s="92"/>
      <c r="N1133" s="92"/>
      <c r="O1133" s="93">
        <f t="shared" si="977"/>
        <v>0</v>
      </c>
      <c r="P1133" s="93">
        <f t="shared" si="978"/>
        <v>0</v>
      </c>
      <c r="Q1133" s="94"/>
      <c r="R1133" s="92">
        <f t="shared" si="979"/>
        <v>0</v>
      </c>
      <c r="S1133" s="92">
        <f t="shared" si="980"/>
        <v>0</v>
      </c>
      <c r="T1133" s="93">
        <f t="shared" si="981"/>
        <v>0</v>
      </c>
      <c r="U1133" s="95">
        <f t="shared" si="982"/>
        <v>0</v>
      </c>
      <c r="V1133" s="94"/>
      <c r="X1133" s="580" t="str">
        <f t="shared" si="983"/>
        <v/>
      </c>
      <c r="Y1133" s="580" t="str">
        <f t="shared" si="984"/>
        <v/>
      </c>
      <c r="Z1133" s="580" t="str">
        <f t="shared" si="985"/>
        <v/>
      </c>
    </row>
    <row r="1134" spans="1:26" ht="25.5" hidden="1" x14ac:dyDescent="0.2">
      <c r="A1134" s="97">
        <v>95749</v>
      </c>
      <c r="B1134" s="1031">
        <v>95749</v>
      </c>
      <c r="C1134" s="978" t="s">
        <v>883</v>
      </c>
      <c r="D1134" s="595" t="s">
        <v>1357</v>
      </c>
      <c r="E1134" s="596"/>
      <c r="F1134" s="671"/>
      <c r="G1134" s="597"/>
      <c r="H1134" s="682"/>
      <c r="I1134" s="592">
        <v>21.58</v>
      </c>
      <c r="J1134" s="592">
        <f t="shared" si="976"/>
        <v>21.58</v>
      </c>
      <c r="K1134" s="593">
        <f t="shared" si="975"/>
        <v>26.27</v>
      </c>
      <c r="L1134" s="594" t="s">
        <v>19</v>
      </c>
      <c r="M1134" s="92"/>
      <c r="N1134" s="92"/>
      <c r="O1134" s="93">
        <f t="shared" si="977"/>
        <v>0</v>
      </c>
      <c r="P1134" s="93">
        <f t="shared" si="978"/>
        <v>0</v>
      </c>
      <c r="Q1134" s="94"/>
      <c r="R1134" s="92">
        <f t="shared" si="979"/>
        <v>0</v>
      </c>
      <c r="S1134" s="92">
        <f t="shared" si="980"/>
        <v>0</v>
      </c>
      <c r="T1134" s="93">
        <f t="shared" si="981"/>
        <v>0</v>
      </c>
      <c r="U1134" s="95">
        <f t="shared" si="982"/>
        <v>0</v>
      </c>
      <c r="V1134" s="94"/>
      <c r="X1134" s="580" t="str">
        <f t="shared" si="983"/>
        <v/>
      </c>
      <c r="Y1134" s="580" t="str">
        <f t="shared" si="984"/>
        <v/>
      </c>
      <c r="Z1134" s="580" t="str">
        <f t="shared" si="985"/>
        <v/>
      </c>
    </row>
    <row r="1135" spans="1:26" ht="25.5" hidden="1" x14ac:dyDescent="0.2">
      <c r="A1135" s="97">
        <v>95750</v>
      </c>
      <c r="B1135" s="1031">
        <v>95750</v>
      </c>
      <c r="C1135" s="978" t="s">
        <v>883</v>
      </c>
      <c r="D1135" s="595" t="s">
        <v>1358</v>
      </c>
      <c r="E1135" s="596"/>
      <c r="F1135" s="671"/>
      <c r="G1135" s="597"/>
      <c r="H1135" s="682"/>
      <c r="I1135" s="592">
        <v>24.99</v>
      </c>
      <c r="J1135" s="592">
        <f t="shared" si="976"/>
        <v>24.99</v>
      </c>
      <c r="K1135" s="593">
        <f t="shared" si="975"/>
        <v>30.42</v>
      </c>
      <c r="L1135" s="594" t="s">
        <v>19</v>
      </c>
      <c r="M1135" s="92"/>
      <c r="N1135" s="92"/>
      <c r="O1135" s="93">
        <f t="shared" si="977"/>
        <v>0</v>
      </c>
      <c r="P1135" s="93">
        <f t="shared" si="978"/>
        <v>0</v>
      </c>
      <c r="Q1135" s="94"/>
      <c r="R1135" s="92">
        <f t="shared" si="979"/>
        <v>0</v>
      </c>
      <c r="S1135" s="92">
        <f t="shared" si="980"/>
        <v>0</v>
      </c>
      <c r="T1135" s="93">
        <f t="shared" si="981"/>
        <v>0</v>
      </c>
      <c r="U1135" s="95">
        <f t="shared" si="982"/>
        <v>0</v>
      </c>
      <c r="V1135" s="94"/>
      <c r="X1135" s="580" t="str">
        <f t="shared" si="983"/>
        <v/>
      </c>
      <c r="Y1135" s="580" t="str">
        <f t="shared" si="984"/>
        <v/>
      </c>
      <c r="Z1135" s="580" t="str">
        <f t="shared" si="985"/>
        <v/>
      </c>
    </row>
    <row r="1136" spans="1:26" ht="25.5" hidden="1" x14ac:dyDescent="0.2">
      <c r="A1136" s="97">
        <v>95751</v>
      </c>
      <c r="B1136" s="1031">
        <v>95751</v>
      </c>
      <c r="C1136" s="978" t="s">
        <v>883</v>
      </c>
      <c r="D1136" s="595" t="s">
        <v>1359</v>
      </c>
      <c r="E1136" s="596"/>
      <c r="F1136" s="671"/>
      <c r="G1136" s="597"/>
      <c r="H1136" s="682"/>
      <c r="I1136" s="592">
        <v>35.520000000000003</v>
      </c>
      <c r="J1136" s="592">
        <f t="shared" si="976"/>
        <v>35.520000000000003</v>
      </c>
      <c r="K1136" s="593">
        <f t="shared" si="975"/>
        <v>43.23</v>
      </c>
      <c r="L1136" s="594" t="s">
        <v>19</v>
      </c>
      <c r="M1136" s="92"/>
      <c r="N1136" s="92"/>
      <c r="O1136" s="93">
        <f t="shared" si="977"/>
        <v>0</v>
      </c>
      <c r="P1136" s="93">
        <f t="shared" si="978"/>
        <v>0</v>
      </c>
      <c r="Q1136" s="94"/>
      <c r="R1136" s="92">
        <f t="shared" si="979"/>
        <v>0</v>
      </c>
      <c r="S1136" s="92">
        <f t="shared" si="980"/>
        <v>0</v>
      </c>
      <c r="T1136" s="93">
        <f t="shared" si="981"/>
        <v>0</v>
      </c>
      <c r="U1136" s="95">
        <f t="shared" si="982"/>
        <v>0</v>
      </c>
      <c r="V1136" s="94"/>
      <c r="X1136" s="580" t="str">
        <f t="shared" si="983"/>
        <v/>
      </c>
      <c r="Y1136" s="580" t="str">
        <f t="shared" si="984"/>
        <v/>
      </c>
      <c r="Z1136" s="580" t="str">
        <f t="shared" si="985"/>
        <v/>
      </c>
    </row>
    <row r="1137" spans="1:26" ht="25.5" hidden="1" x14ac:dyDescent="0.2">
      <c r="A1137" s="97">
        <v>95752</v>
      </c>
      <c r="B1137" s="1031">
        <v>95752</v>
      </c>
      <c r="C1137" s="978" t="s">
        <v>883</v>
      </c>
      <c r="D1137" s="595" t="s">
        <v>1360</v>
      </c>
      <c r="E1137" s="596"/>
      <c r="F1137" s="671"/>
      <c r="G1137" s="597"/>
      <c r="H1137" s="682"/>
      <c r="I1137" s="592">
        <v>38.26</v>
      </c>
      <c r="J1137" s="592">
        <f t="shared" si="976"/>
        <v>38.26</v>
      </c>
      <c r="K1137" s="593">
        <f t="shared" si="975"/>
        <v>46.57</v>
      </c>
      <c r="L1137" s="594" t="s">
        <v>19</v>
      </c>
      <c r="M1137" s="92"/>
      <c r="N1137" s="92"/>
      <c r="O1137" s="93">
        <f t="shared" si="977"/>
        <v>0</v>
      </c>
      <c r="P1137" s="93">
        <f t="shared" si="978"/>
        <v>0</v>
      </c>
      <c r="Q1137" s="94"/>
      <c r="R1137" s="92">
        <f t="shared" si="979"/>
        <v>0</v>
      </c>
      <c r="S1137" s="92">
        <f t="shared" si="980"/>
        <v>0</v>
      </c>
      <c r="T1137" s="93">
        <f t="shared" si="981"/>
        <v>0</v>
      </c>
      <c r="U1137" s="95">
        <f t="shared" si="982"/>
        <v>0</v>
      </c>
      <c r="V1137" s="94"/>
      <c r="X1137" s="580" t="str">
        <f t="shared" si="983"/>
        <v/>
      </c>
      <c r="Y1137" s="580" t="str">
        <f t="shared" si="984"/>
        <v/>
      </c>
      <c r="Z1137" s="580" t="str">
        <f t="shared" si="985"/>
        <v/>
      </c>
    </row>
    <row r="1138" spans="1:26" ht="25.5" hidden="1" x14ac:dyDescent="0.2">
      <c r="A1138" s="97">
        <v>95753</v>
      </c>
      <c r="B1138" s="1031">
        <v>95753</v>
      </c>
      <c r="C1138" s="978" t="s">
        <v>883</v>
      </c>
      <c r="D1138" s="595" t="s">
        <v>1361</v>
      </c>
      <c r="E1138" s="596"/>
      <c r="F1138" s="671"/>
      <c r="G1138" s="597"/>
      <c r="H1138" s="682"/>
      <c r="I1138" s="592">
        <v>5.97</v>
      </c>
      <c r="J1138" s="592">
        <f t="shared" si="976"/>
        <v>5.97</v>
      </c>
      <c r="K1138" s="593">
        <f t="shared" si="975"/>
        <v>7.27</v>
      </c>
      <c r="L1138" s="594" t="s">
        <v>21</v>
      </c>
      <c r="M1138" s="92"/>
      <c r="N1138" s="92"/>
      <c r="O1138" s="93">
        <f t="shared" si="977"/>
        <v>0</v>
      </c>
      <c r="P1138" s="93">
        <f t="shared" si="978"/>
        <v>0</v>
      </c>
      <c r="Q1138" s="94"/>
      <c r="R1138" s="92">
        <f t="shared" si="979"/>
        <v>0</v>
      </c>
      <c r="S1138" s="92">
        <f t="shared" si="980"/>
        <v>0</v>
      </c>
      <c r="T1138" s="93">
        <f t="shared" si="981"/>
        <v>0</v>
      </c>
      <c r="U1138" s="95">
        <f t="shared" si="982"/>
        <v>0</v>
      </c>
      <c r="V1138" s="94"/>
      <c r="X1138" s="580" t="str">
        <f t="shared" si="983"/>
        <v/>
      </c>
      <c r="Y1138" s="580" t="str">
        <f t="shared" si="984"/>
        <v/>
      </c>
      <c r="Z1138" s="580" t="str">
        <f t="shared" si="985"/>
        <v/>
      </c>
    </row>
    <row r="1139" spans="1:26" ht="25.5" hidden="1" x14ac:dyDescent="0.2">
      <c r="A1139" s="97">
        <v>95754</v>
      </c>
      <c r="B1139" s="1031">
        <v>95754</v>
      </c>
      <c r="C1139" s="978" t="s">
        <v>883</v>
      </c>
      <c r="D1139" s="595" t="s">
        <v>1362</v>
      </c>
      <c r="E1139" s="596"/>
      <c r="F1139" s="671"/>
      <c r="G1139" s="597"/>
      <c r="H1139" s="682"/>
      <c r="I1139" s="592">
        <v>7.52</v>
      </c>
      <c r="J1139" s="592">
        <f t="shared" si="976"/>
        <v>7.52</v>
      </c>
      <c r="K1139" s="593">
        <f t="shared" si="975"/>
        <v>9.15</v>
      </c>
      <c r="L1139" s="594" t="s">
        <v>21</v>
      </c>
      <c r="M1139" s="92"/>
      <c r="N1139" s="92"/>
      <c r="O1139" s="93">
        <f t="shared" si="977"/>
        <v>0</v>
      </c>
      <c r="P1139" s="93">
        <f t="shared" si="978"/>
        <v>0</v>
      </c>
      <c r="Q1139" s="94"/>
      <c r="R1139" s="92">
        <f t="shared" si="979"/>
        <v>0</v>
      </c>
      <c r="S1139" s="92">
        <f t="shared" si="980"/>
        <v>0</v>
      </c>
      <c r="T1139" s="93">
        <f t="shared" si="981"/>
        <v>0</v>
      </c>
      <c r="U1139" s="95">
        <f t="shared" si="982"/>
        <v>0</v>
      </c>
      <c r="V1139" s="94"/>
      <c r="X1139" s="580" t="str">
        <f t="shared" si="983"/>
        <v/>
      </c>
      <c r="Y1139" s="580" t="str">
        <f t="shared" si="984"/>
        <v/>
      </c>
      <c r="Z1139" s="580" t="str">
        <f t="shared" si="985"/>
        <v/>
      </c>
    </row>
    <row r="1140" spans="1:26" ht="25.5" hidden="1" x14ac:dyDescent="0.2">
      <c r="A1140" s="97">
        <v>95755</v>
      </c>
      <c r="B1140" s="1031">
        <v>95755</v>
      </c>
      <c r="C1140" s="978" t="s">
        <v>883</v>
      </c>
      <c r="D1140" s="595" t="s">
        <v>1363</v>
      </c>
      <c r="E1140" s="596"/>
      <c r="F1140" s="671"/>
      <c r="G1140" s="597"/>
      <c r="H1140" s="682"/>
      <c r="I1140" s="592">
        <v>10.48</v>
      </c>
      <c r="J1140" s="592">
        <f t="shared" si="976"/>
        <v>10.48</v>
      </c>
      <c r="K1140" s="593">
        <f t="shared" si="975"/>
        <v>12.76</v>
      </c>
      <c r="L1140" s="594" t="s">
        <v>21</v>
      </c>
      <c r="M1140" s="92"/>
      <c r="N1140" s="92"/>
      <c r="O1140" s="93">
        <f t="shared" si="977"/>
        <v>0</v>
      </c>
      <c r="P1140" s="93">
        <f t="shared" si="978"/>
        <v>0</v>
      </c>
      <c r="Q1140" s="94"/>
      <c r="R1140" s="92">
        <f t="shared" si="979"/>
        <v>0</v>
      </c>
      <c r="S1140" s="92">
        <f t="shared" si="980"/>
        <v>0</v>
      </c>
      <c r="T1140" s="93">
        <f t="shared" si="981"/>
        <v>0</v>
      </c>
      <c r="U1140" s="95">
        <f t="shared" si="982"/>
        <v>0</v>
      </c>
      <c r="V1140" s="94"/>
      <c r="X1140" s="580" t="str">
        <f t="shared" si="983"/>
        <v/>
      </c>
      <c r="Y1140" s="580" t="str">
        <f t="shared" si="984"/>
        <v/>
      </c>
      <c r="Z1140" s="580" t="str">
        <f t="shared" si="985"/>
        <v/>
      </c>
    </row>
    <row r="1141" spans="1:26" ht="25.5" hidden="1" x14ac:dyDescent="0.2">
      <c r="A1141" s="97">
        <v>95756</v>
      </c>
      <c r="B1141" s="1031">
        <v>95756</v>
      </c>
      <c r="C1141" s="978" t="s">
        <v>883</v>
      </c>
      <c r="D1141" s="595" t="s">
        <v>1364</v>
      </c>
      <c r="E1141" s="596"/>
      <c r="F1141" s="671"/>
      <c r="G1141" s="597"/>
      <c r="H1141" s="682"/>
      <c r="I1141" s="592">
        <v>13.75</v>
      </c>
      <c r="J1141" s="592">
        <f t="shared" si="976"/>
        <v>13.75</v>
      </c>
      <c r="K1141" s="593">
        <f t="shared" si="975"/>
        <v>16.739999999999998</v>
      </c>
      <c r="L1141" s="594" t="s">
        <v>21</v>
      </c>
      <c r="M1141" s="92"/>
      <c r="N1141" s="92"/>
      <c r="O1141" s="93">
        <f t="shared" si="977"/>
        <v>0</v>
      </c>
      <c r="P1141" s="93">
        <f t="shared" si="978"/>
        <v>0</v>
      </c>
      <c r="Q1141" s="94"/>
      <c r="R1141" s="92">
        <f t="shared" si="979"/>
        <v>0</v>
      </c>
      <c r="S1141" s="92">
        <f t="shared" si="980"/>
        <v>0</v>
      </c>
      <c r="T1141" s="93">
        <f t="shared" si="981"/>
        <v>0</v>
      </c>
      <c r="U1141" s="95">
        <f t="shared" si="982"/>
        <v>0</v>
      </c>
      <c r="V1141" s="94"/>
      <c r="X1141" s="580" t="str">
        <f t="shared" si="983"/>
        <v/>
      </c>
      <c r="Y1141" s="580" t="str">
        <f t="shared" si="984"/>
        <v/>
      </c>
      <c r="Z1141" s="580" t="str">
        <f t="shared" si="985"/>
        <v/>
      </c>
    </row>
    <row r="1142" spans="1:26" ht="25.5" hidden="1" x14ac:dyDescent="0.2">
      <c r="A1142" s="97">
        <v>95757</v>
      </c>
      <c r="B1142" s="1031">
        <v>95757</v>
      </c>
      <c r="C1142" s="978" t="s">
        <v>883</v>
      </c>
      <c r="D1142" s="595" t="s">
        <v>1365</v>
      </c>
      <c r="E1142" s="596"/>
      <c r="F1142" s="671"/>
      <c r="G1142" s="597"/>
      <c r="H1142" s="682"/>
      <c r="I1142" s="592">
        <v>9.44</v>
      </c>
      <c r="J1142" s="592">
        <f t="shared" si="976"/>
        <v>9.44</v>
      </c>
      <c r="K1142" s="593">
        <f t="shared" si="975"/>
        <v>11.49</v>
      </c>
      <c r="L1142" s="594" t="s">
        <v>21</v>
      </c>
      <c r="M1142" s="92"/>
      <c r="N1142" s="92"/>
      <c r="O1142" s="93">
        <f t="shared" si="977"/>
        <v>0</v>
      </c>
      <c r="P1142" s="93">
        <f t="shared" si="978"/>
        <v>0</v>
      </c>
      <c r="Q1142" s="94"/>
      <c r="R1142" s="92">
        <f t="shared" si="979"/>
        <v>0</v>
      </c>
      <c r="S1142" s="92">
        <f t="shared" si="980"/>
        <v>0</v>
      </c>
      <c r="T1142" s="93">
        <f t="shared" si="981"/>
        <v>0</v>
      </c>
      <c r="U1142" s="95">
        <f t="shared" si="982"/>
        <v>0</v>
      </c>
      <c r="V1142" s="94"/>
      <c r="X1142" s="580" t="str">
        <f t="shared" si="983"/>
        <v/>
      </c>
      <c r="Y1142" s="580" t="str">
        <f t="shared" si="984"/>
        <v/>
      </c>
      <c r="Z1142" s="580" t="str">
        <f t="shared" si="985"/>
        <v/>
      </c>
    </row>
    <row r="1143" spans="1:26" ht="25.5" hidden="1" x14ac:dyDescent="0.2">
      <c r="A1143" s="97">
        <v>95758</v>
      </c>
      <c r="B1143" s="1031">
        <v>95758</v>
      </c>
      <c r="C1143" s="978" t="s">
        <v>883</v>
      </c>
      <c r="D1143" s="595" t="s">
        <v>1366</v>
      </c>
      <c r="E1143" s="596"/>
      <c r="F1143" s="671"/>
      <c r="G1143" s="597"/>
      <c r="H1143" s="682"/>
      <c r="I1143" s="592">
        <v>10.57</v>
      </c>
      <c r="J1143" s="592">
        <f t="shared" si="976"/>
        <v>10.57</v>
      </c>
      <c r="K1143" s="593">
        <f t="shared" si="975"/>
        <v>12.86</v>
      </c>
      <c r="L1143" s="594" t="s">
        <v>21</v>
      </c>
      <c r="M1143" s="92"/>
      <c r="N1143" s="92"/>
      <c r="O1143" s="93">
        <f t="shared" si="977"/>
        <v>0</v>
      </c>
      <c r="P1143" s="93">
        <f t="shared" si="978"/>
        <v>0</v>
      </c>
      <c r="Q1143" s="94"/>
      <c r="R1143" s="92">
        <f t="shared" si="979"/>
        <v>0</v>
      </c>
      <c r="S1143" s="92">
        <f t="shared" si="980"/>
        <v>0</v>
      </c>
      <c r="T1143" s="93">
        <f t="shared" si="981"/>
        <v>0</v>
      </c>
      <c r="U1143" s="95">
        <f t="shared" si="982"/>
        <v>0</v>
      </c>
      <c r="V1143" s="94"/>
      <c r="X1143" s="580" t="str">
        <f t="shared" si="983"/>
        <v/>
      </c>
      <c r="Y1143" s="580" t="str">
        <f t="shared" si="984"/>
        <v/>
      </c>
      <c r="Z1143" s="580" t="str">
        <f t="shared" si="985"/>
        <v/>
      </c>
    </row>
    <row r="1144" spans="1:26" ht="25.5" hidden="1" x14ac:dyDescent="0.2">
      <c r="A1144" s="97">
        <v>95759</v>
      </c>
      <c r="B1144" s="1031">
        <v>95759</v>
      </c>
      <c r="C1144" s="978" t="s">
        <v>883</v>
      </c>
      <c r="D1144" s="595" t="s">
        <v>1367</v>
      </c>
      <c r="E1144" s="596"/>
      <c r="F1144" s="671"/>
      <c r="G1144" s="597"/>
      <c r="H1144" s="682"/>
      <c r="I1144" s="592">
        <v>12.97</v>
      </c>
      <c r="J1144" s="592">
        <f t="shared" si="976"/>
        <v>12.97</v>
      </c>
      <c r="K1144" s="593">
        <f t="shared" si="975"/>
        <v>15.79</v>
      </c>
      <c r="L1144" s="594" t="s">
        <v>21</v>
      </c>
      <c r="M1144" s="92"/>
      <c r="N1144" s="92"/>
      <c r="O1144" s="93">
        <f t="shared" si="977"/>
        <v>0</v>
      </c>
      <c r="P1144" s="93">
        <f t="shared" si="978"/>
        <v>0</v>
      </c>
      <c r="Q1144" s="94"/>
      <c r="R1144" s="92">
        <f t="shared" si="979"/>
        <v>0</v>
      </c>
      <c r="S1144" s="92">
        <f t="shared" si="980"/>
        <v>0</v>
      </c>
      <c r="T1144" s="93">
        <f t="shared" si="981"/>
        <v>0</v>
      </c>
      <c r="U1144" s="95">
        <f t="shared" si="982"/>
        <v>0</v>
      </c>
      <c r="V1144" s="94"/>
      <c r="X1144" s="580" t="str">
        <f t="shared" si="983"/>
        <v/>
      </c>
      <c r="Y1144" s="580" t="str">
        <f t="shared" si="984"/>
        <v/>
      </c>
      <c r="Z1144" s="580" t="str">
        <f t="shared" si="985"/>
        <v/>
      </c>
    </row>
    <row r="1145" spans="1:26" ht="25.5" hidden="1" x14ac:dyDescent="0.2">
      <c r="A1145" s="97">
        <v>95760</v>
      </c>
      <c r="B1145" s="1031">
        <v>95760</v>
      </c>
      <c r="C1145" s="978" t="s">
        <v>883</v>
      </c>
      <c r="D1145" s="595" t="s">
        <v>1368</v>
      </c>
      <c r="E1145" s="596"/>
      <c r="F1145" s="671"/>
      <c r="G1145" s="597"/>
      <c r="H1145" s="682"/>
      <c r="I1145" s="592">
        <v>15.58</v>
      </c>
      <c r="J1145" s="592">
        <f t="shared" si="976"/>
        <v>15.58</v>
      </c>
      <c r="K1145" s="593">
        <f t="shared" si="975"/>
        <v>18.96</v>
      </c>
      <c r="L1145" s="594" t="s">
        <v>21</v>
      </c>
      <c r="M1145" s="92"/>
      <c r="N1145" s="92"/>
      <c r="O1145" s="93">
        <f t="shared" si="977"/>
        <v>0</v>
      </c>
      <c r="P1145" s="93">
        <f t="shared" si="978"/>
        <v>0</v>
      </c>
      <c r="Q1145" s="94"/>
      <c r="R1145" s="92">
        <f t="shared" si="979"/>
        <v>0</v>
      </c>
      <c r="S1145" s="92">
        <f t="shared" si="980"/>
        <v>0</v>
      </c>
      <c r="T1145" s="93">
        <f t="shared" si="981"/>
        <v>0</v>
      </c>
      <c r="U1145" s="95">
        <f t="shared" si="982"/>
        <v>0</v>
      </c>
      <c r="V1145" s="94"/>
      <c r="X1145" s="580" t="str">
        <f t="shared" si="983"/>
        <v/>
      </c>
      <c r="Y1145" s="580" t="str">
        <f t="shared" si="984"/>
        <v/>
      </c>
      <c r="Z1145" s="580" t="str">
        <f t="shared" si="985"/>
        <v/>
      </c>
    </row>
    <row r="1146" spans="1:26" ht="25.5" hidden="1" x14ac:dyDescent="0.2">
      <c r="A1146" s="97">
        <v>91839</v>
      </c>
      <c r="B1146" s="1031">
        <v>91839</v>
      </c>
      <c r="C1146" s="978" t="s">
        <v>883</v>
      </c>
      <c r="D1146" s="595" t="s">
        <v>1369</v>
      </c>
      <c r="E1146" s="596"/>
      <c r="F1146" s="671"/>
      <c r="G1146" s="597"/>
      <c r="H1146" s="682"/>
      <c r="I1146" s="592">
        <v>9.6300000000000008</v>
      </c>
      <c r="J1146" s="592">
        <f t="shared" si="976"/>
        <v>9.6300000000000008</v>
      </c>
      <c r="K1146" s="593">
        <f t="shared" si="975"/>
        <v>11.72</v>
      </c>
      <c r="L1146" s="594" t="s">
        <v>19</v>
      </c>
      <c r="M1146" s="92"/>
      <c r="N1146" s="92"/>
      <c r="O1146" s="93">
        <f t="shared" si="977"/>
        <v>0</v>
      </c>
      <c r="P1146" s="93">
        <f t="shared" si="978"/>
        <v>0</v>
      </c>
      <c r="Q1146" s="94"/>
      <c r="R1146" s="92">
        <f t="shared" si="979"/>
        <v>0</v>
      </c>
      <c r="S1146" s="92">
        <f t="shared" si="980"/>
        <v>0</v>
      </c>
      <c r="T1146" s="93">
        <f t="shared" si="981"/>
        <v>0</v>
      </c>
      <c r="U1146" s="95">
        <f t="shared" si="982"/>
        <v>0</v>
      </c>
      <c r="V1146" s="94"/>
      <c r="X1146" s="580" t="str">
        <f t="shared" si="983"/>
        <v/>
      </c>
      <c r="Y1146" s="580" t="str">
        <f t="shared" si="984"/>
        <v/>
      </c>
      <c r="Z1146" s="580" t="str">
        <f t="shared" si="985"/>
        <v/>
      </c>
    </row>
    <row r="1147" spans="1:26" ht="25.5" hidden="1" x14ac:dyDescent="0.2">
      <c r="A1147" s="97">
        <v>91840</v>
      </c>
      <c r="B1147" s="1031">
        <v>91840</v>
      </c>
      <c r="C1147" s="978" t="s">
        <v>883</v>
      </c>
      <c r="D1147" s="595" t="s">
        <v>1370</v>
      </c>
      <c r="E1147" s="596"/>
      <c r="F1147" s="671"/>
      <c r="G1147" s="597"/>
      <c r="H1147" s="682"/>
      <c r="I1147" s="592">
        <v>12.18</v>
      </c>
      <c r="J1147" s="592">
        <f t="shared" si="976"/>
        <v>12.18</v>
      </c>
      <c r="K1147" s="593">
        <f t="shared" si="975"/>
        <v>14.82</v>
      </c>
      <c r="L1147" s="594" t="s">
        <v>19</v>
      </c>
      <c r="M1147" s="92"/>
      <c r="N1147" s="92"/>
      <c r="O1147" s="93">
        <f t="shared" si="977"/>
        <v>0</v>
      </c>
      <c r="P1147" s="93">
        <f t="shared" si="978"/>
        <v>0</v>
      </c>
      <c r="Q1147" s="94"/>
      <c r="R1147" s="92">
        <f t="shared" si="979"/>
        <v>0</v>
      </c>
      <c r="S1147" s="92">
        <f t="shared" si="980"/>
        <v>0</v>
      </c>
      <c r="T1147" s="93">
        <f t="shared" si="981"/>
        <v>0</v>
      </c>
      <c r="U1147" s="95">
        <f t="shared" si="982"/>
        <v>0</v>
      </c>
      <c r="V1147" s="94"/>
      <c r="X1147" s="580" t="str">
        <f t="shared" si="983"/>
        <v/>
      </c>
      <c r="Y1147" s="580" t="str">
        <f t="shared" si="984"/>
        <v/>
      </c>
      <c r="Z1147" s="580" t="str">
        <f t="shared" si="985"/>
        <v/>
      </c>
    </row>
    <row r="1148" spans="1:26" ht="25.5" hidden="1" x14ac:dyDescent="0.2">
      <c r="A1148" s="97">
        <v>91841</v>
      </c>
      <c r="B1148" s="1031">
        <v>91841</v>
      </c>
      <c r="C1148" s="978" t="s">
        <v>883</v>
      </c>
      <c r="D1148" s="595" t="s">
        <v>1371</v>
      </c>
      <c r="E1148" s="596"/>
      <c r="F1148" s="671"/>
      <c r="G1148" s="597"/>
      <c r="H1148" s="682"/>
      <c r="I1148" s="592">
        <v>11.5</v>
      </c>
      <c r="J1148" s="592">
        <f t="shared" si="976"/>
        <v>11.5</v>
      </c>
      <c r="K1148" s="593">
        <f t="shared" si="975"/>
        <v>14</v>
      </c>
      <c r="L1148" s="594" t="s">
        <v>19</v>
      </c>
      <c r="M1148" s="92"/>
      <c r="N1148" s="92"/>
      <c r="O1148" s="93">
        <f t="shared" si="977"/>
        <v>0</v>
      </c>
      <c r="P1148" s="93">
        <f t="shared" si="978"/>
        <v>0</v>
      </c>
      <c r="Q1148" s="94"/>
      <c r="R1148" s="92">
        <f t="shared" si="979"/>
        <v>0</v>
      </c>
      <c r="S1148" s="92">
        <f t="shared" si="980"/>
        <v>0</v>
      </c>
      <c r="T1148" s="93">
        <f t="shared" si="981"/>
        <v>0</v>
      </c>
      <c r="U1148" s="95">
        <f t="shared" si="982"/>
        <v>0</v>
      </c>
      <c r="V1148" s="94"/>
      <c r="X1148" s="580" t="str">
        <f t="shared" si="983"/>
        <v/>
      </c>
      <c r="Y1148" s="580" t="str">
        <f t="shared" si="984"/>
        <v/>
      </c>
      <c r="Z1148" s="580" t="str">
        <f t="shared" si="985"/>
        <v/>
      </c>
    </row>
    <row r="1149" spans="1:26" ht="25.5" hidden="1" x14ac:dyDescent="0.2">
      <c r="A1149" s="97">
        <v>91849</v>
      </c>
      <c r="B1149" s="1031">
        <v>91849</v>
      </c>
      <c r="C1149" s="978" t="s">
        <v>883</v>
      </c>
      <c r="D1149" s="595" t="s">
        <v>1372</v>
      </c>
      <c r="E1149" s="596"/>
      <c r="F1149" s="671"/>
      <c r="G1149" s="597"/>
      <c r="H1149" s="682"/>
      <c r="I1149" s="592">
        <v>7.76</v>
      </c>
      <c r="J1149" s="592">
        <f t="shared" si="976"/>
        <v>7.76</v>
      </c>
      <c r="K1149" s="593">
        <f t="shared" si="975"/>
        <v>9.44</v>
      </c>
      <c r="L1149" s="594" t="s">
        <v>19</v>
      </c>
      <c r="M1149" s="92"/>
      <c r="N1149" s="92"/>
      <c r="O1149" s="93">
        <f t="shared" si="977"/>
        <v>0</v>
      </c>
      <c r="P1149" s="93">
        <f t="shared" si="978"/>
        <v>0</v>
      </c>
      <c r="Q1149" s="94"/>
      <c r="R1149" s="92">
        <f t="shared" si="979"/>
        <v>0</v>
      </c>
      <c r="S1149" s="92">
        <f t="shared" si="980"/>
        <v>0</v>
      </c>
      <c r="T1149" s="93">
        <f t="shared" si="981"/>
        <v>0</v>
      </c>
      <c r="U1149" s="95">
        <f t="shared" si="982"/>
        <v>0</v>
      </c>
      <c r="V1149" s="94"/>
      <c r="X1149" s="580" t="str">
        <f t="shared" si="983"/>
        <v/>
      </c>
      <c r="Y1149" s="580" t="str">
        <f t="shared" si="984"/>
        <v/>
      </c>
      <c r="Z1149" s="580" t="str">
        <f t="shared" si="985"/>
        <v/>
      </c>
    </row>
    <row r="1150" spans="1:26" ht="25.5" hidden="1" x14ac:dyDescent="0.2">
      <c r="A1150" s="97">
        <v>91850</v>
      </c>
      <c r="B1150" s="1031">
        <v>91850</v>
      </c>
      <c r="C1150" s="978" t="s">
        <v>883</v>
      </c>
      <c r="D1150" s="595" t="s">
        <v>1373</v>
      </c>
      <c r="E1150" s="596"/>
      <c r="F1150" s="671"/>
      <c r="G1150" s="597"/>
      <c r="H1150" s="682"/>
      <c r="I1150" s="592">
        <v>10.36</v>
      </c>
      <c r="J1150" s="592">
        <f t="shared" si="976"/>
        <v>10.36</v>
      </c>
      <c r="K1150" s="593">
        <f t="shared" si="975"/>
        <v>12.61</v>
      </c>
      <c r="L1150" s="594" t="s">
        <v>19</v>
      </c>
      <c r="M1150" s="92"/>
      <c r="N1150" s="92"/>
      <c r="O1150" s="93">
        <f t="shared" si="977"/>
        <v>0</v>
      </c>
      <c r="P1150" s="93">
        <f t="shared" si="978"/>
        <v>0</v>
      </c>
      <c r="Q1150" s="94"/>
      <c r="R1150" s="92">
        <f t="shared" si="979"/>
        <v>0</v>
      </c>
      <c r="S1150" s="92">
        <f t="shared" si="980"/>
        <v>0</v>
      </c>
      <c r="T1150" s="93">
        <f t="shared" si="981"/>
        <v>0</v>
      </c>
      <c r="U1150" s="95">
        <f t="shared" si="982"/>
        <v>0</v>
      </c>
      <c r="V1150" s="94"/>
      <c r="X1150" s="580" t="str">
        <f t="shared" si="983"/>
        <v/>
      </c>
      <c r="Y1150" s="580" t="str">
        <f t="shared" si="984"/>
        <v/>
      </c>
      <c r="Z1150" s="580" t="str">
        <f t="shared" si="985"/>
        <v/>
      </c>
    </row>
    <row r="1151" spans="1:26" ht="25.5" hidden="1" x14ac:dyDescent="0.2">
      <c r="A1151" s="97">
        <v>91851</v>
      </c>
      <c r="B1151" s="1031">
        <v>91851</v>
      </c>
      <c r="C1151" s="978" t="s">
        <v>883</v>
      </c>
      <c r="D1151" s="595" t="s">
        <v>1374</v>
      </c>
      <c r="E1151" s="596"/>
      <c r="F1151" s="671"/>
      <c r="G1151" s="597"/>
      <c r="H1151" s="682"/>
      <c r="I1151" s="592">
        <v>9.68</v>
      </c>
      <c r="J1151" s="592">
        <f t="shared" si="976"/>
        <v>9.68</v>
      </c>
      <c r="K1151" s="593">
        <f t="shared" si="975"/>
        <v>11.78</v>
      </c>
      <c r="L1151" s="594" t="s">
        <v>19</v>
      </c>
      <c r="M1151" s="92"/>
      <c r="N1151" s="92"/>
      <c r="O1151" s="93">
        <f t="shared" si="977"/>
        <v>0</v>
      </c>
      <c r="P1151" s="93">
        <f t="shared" si="978"/>
        <v>0</v>
      </c>
      <c r="Q1151" s="94"/>
      <c r="R1151" s="92">
        <f t="shared" si="979"/>
        <v>0</v>
      </c>
      <c r="S1151" s="92">
        <f t="shared" si="980"/>
        <v>0</v>
      </c>
      <c r="T1151" s="93">
        <f t="shared" si="981"/>
        <v>0</v>
      </c>
      <c r="U1151" s="95">
        <f t="shared" si="982"/>
        <v>0</v>
      </c>
      <c r="V1151" s="94"/>
      <c r="X1151" s="580" t="str">
        <f t="shared" si="983"/>
        <v/>
      </c>
      <c r="Y1151" s="580" t="str">
        <f t="shared" si="984"/>
        <v/>
      </c>
      <c r="Z1151" s="580" t="str">
        <f t="shared" si="985"/>
        <v/>
      </c>
    </row>
    <row r="1152" spans="1:26" ht="25.5" hidden="1" x14ac:dyDescent="0.2">
      <c r="A1152" s="97">
        <v>91859</v>
      </c>
      <c r="B1152" s="1031">
        <v>91859</v>
      </c>
      <c r="C1152" s="978" t="s">
        <v>883</v>
      </c>
      <c r="D1152" s="595" t="s">
        <v>1375</v>
      </c>
      <c r="E1152" s="596"/>
      <c r="F1152" s="671"/>
      <c r="G1152" s="597"/>
      <c r="H1152" s="682"/>
      <c r="I1152" s="592">
        <v>10.07</v>
      </c>
      <c r="J1152" s="592">
        <f t="shared" si="976"/>
        <v>10.07</v>
      </c>
      <c r="K1152" s="593">
        <f t="shared" si="975"/>
        <v>12.26</v>
      </c>
      <c r="L1152" s="594" t="s">
        <v>19</v>
      </c>
      <c r="M1152" s="92"/>
      <c r="N1152" s="92"/>
      <c r="O1152" s="93">
        <f t="shared" si="977"/>
        <v>0</v>
      </c>
      <c r="P1152" s="93">
        <f t="shared" si="978"/>
        <v>0</v>
      </c>
      <c r="Q1152" s="94"/>
      <c r="R1152" s="92">
        <f t="shared" si="979"/>
        <v>0</v>
      </c>
      <c r="S1152" s="92">
        <f t="shared" si="980"/>
        <v>0</v>
      </c>
      <c r="T1152" s="93">
        <f t="shared" si="981"/>
        <v>0</v>
      </c>
      <c r="U1152" s="95">
        <f t="shared" si="982"/>
        <v>0</v>
      </c>
      <c r="V1152" s="94"/>
      <c r="X1152" s="580" t="str">
        <f t="shared" si="983"/>
        <v/>
      </c>
      <c r="Y1152" s="580" t="str">
        <f t="shared" si="984"/>
        <v/>
      </c>
      <c r="Z1152" s="580" t="str">
        <f t="shared" si="985"/>
        <v/>
      </c>
    </row>
    <row r="1153" spans="1:26" ht="25.5" hidden="1" x14ac:dyDescent="0.2">
      <c r="A1153" s="97">
        <v>91860</v>
      </c>
      <c r="B1153" s="1031">
        <v>91860</v>
      </c>
      <c r="C1153" s="978" t="s">
        <v>883</v>
      </c>
      <c r="D1153" s="595" t="s">
        <v>1376</v>
      </c>
      <c r="E1153" s="596"/>
      <c r="F1153" s="671"/>
      <c r="G1153" s="597"/>
      <c r="H1153" s="682"/>
      <c r="I1153" s="592">
        <v>12.54</v>
      </c>
      <c r="J1153" s="592">
        <f t="shared" si="976"/>
        <v>12.54</v>
      </c>
      <c r="K1153" s="593">
        <f t="shared" si="975"/>
        <v>15.26</v>
      </c>
      <c r="L1153" s="594" t="s">
        <v>19</v>
      </c>
      <c r="M1153" s="92"/>
      <c r="N1153" s="92"/>
      <c r="O1153" s="93">
        <f t="shared" si="977"/>
        <v>0</v>
      </c>
      <c r="P1153" s="93">
        <f t="shared" si="978"/>
        <v>0</v>
      </c>
      <c r="Q1153" s="94"/>
      <c r="R1153" s="92">
        <f t="shared" si="979"/>
        <v>0</v>
      </c>
      <c r="S1153" s="92">
        <f t="shared" si="980"/>
        <v>0</v>
      </c>
      <c r="T1153" s="93">
        <f t="shared" si="981"/>
        <v>0</v>
      </c>
      <c r="U1153" s="95">
        <f t="shared" si="982"/>
        <v>0</v>
      </c>
      <c r="V1153" s="94"/>
      <c r="X1153" s="580" t="str">
        <f t="shared" si="983"/>
        <v/>
      </c>
      <c r="Y1153" s="580" t="str">
        <f t="shared" si="984"/>
        <v/>
      </c>
      <c r="Z1153" s="580" t="str">
        <f t="shared" si="985"/>
        <v/>
      </c>
    </row>
    <row r="1154" spans="1:26" ht="25.5" hidden="1" x14ac:dyDescent="0.2">
      <c r="A1154" s="97">
        <v>91861</v>
      </c>
      <c r="B1154" s="1031">
        <v>91861</v>
      </c>
      <c r="C1154" s="978" t="s">
        <v>883</v>
      </c>
      <c r="D1154" s="595" t="s">
        <v>1377</v>
      </c>
      <c r="E1154" s="596"/>
      <c r="F1154" s="671"/>
      <c r="G1154" s="597"/>
      <c r="H1154" s="682"/>
      <c r="I1154" s="592">
        <v>11.91</v>
      </c>
      <c r="J1154" s="592">
        <f t="shared" si="976"/>
        <v>11.91</v>
      </c>
      <c r="K1154" s="593">
        <f t="shared" si="975"/>
        <v>14.5</v>
      </c>
      <c r="L1154" s="594" t="s">
        <v>19</v>
      </c>
      <c r="M1154" s="92"/>
      <c r="N1154" s="92"/>
      <c r="O1154" s="93">
        <f t="shared" si="977"/>
        <v>0</v>
      </c>
      <c r="P1154" s="93">
        <f t="shared" si="978"/>
        <v>0</v>
      </c>
      <c r="Q1154" s="94"/>
      <c r="R1154" s="92">
        <f t="shared" si="979"/>
        <v>0</v>
      </c>
      <c r="S1154" s="92">
        <f t="shared" si="980"/>
        <v>0</v>
      </c>
      <c r="T1154" s="93">
        <f t="shared" si="981"/>
        <v>0</v>
      </c>
      <c r="U1154" s="95">
        <f t="shared" si="982"/>
        <v>0</v>
      </c>
      <c r="V1154" s="94"/>
      <c r="X1154" s="580" t="str">
        <f t="shared" si="983"/>
        <v/>
      </c>
      <c r="Y1154" s="580" t="str">
        <f t="shared" si="984"/>
        <v/>
      </c>
      <c r="Z1154" s="580" t="str">
        <f t="shared" si="985"/>
        <v/>
      </c>
    </row>
    <row r="1155" spans="1:26" ht="25.5" hidden="1" x14ac:dyDescent="0.2">
      <c r="A1155" s="97">
        <v>97667</v>
      </c>
      <c r="B1155" s="1031">
        <v>97667</v>
      </c>
      <c r="C1155" s="978" t="s">
        <v>883</v>
      </c>
      <c r="D1155" s="595" t="s">
        <v>1378</v>
      </c>
      <c r="E1155" s="596"/>
      <c r="F1155" s="671"/>
      <c r="G1155" s="597"/>
      <c r="H1155" s="682"/>
      <c r="I1155" s="592">
        <v>7.86</v>
      </c>
      <c r="J1155" s="592">
        <f t="shared" si="976"/>
        <v>7.86</v>
      </c>
      <c r="K1155" s="593">
        <f t="shared" si="975"/>
        <v>9.57</v>
      </c>
      <c r="L1155" s="594" t="s">
        <v>19</v>
      </c>
      <c r="M1155" s="92"/>
      <c r="N1155" s="92"/>
      <c r="O1155" s="93">
        <f t="shared" si="977"/>
        <v>0</v>
      </c>
      <c r="P1155" s="93">
        <f t="shared" si="978"/>
        <v>0</v>
      </c>
      <c r="Q1155" s="94"/>
      <c r="R1155" s="92">
        <f t="shared" si="979"/>
        <v>0</v>
      </c>
      <c r="S1155" s="92">
        <f t="shared" si="980"/>
        <v>0</v>
      </c>
      <c r="T1155" s="93">
        <f t="shared" si="981"/>
        <v>0</v>
      </c>
      <c r="U1155" s="95">
        <f t="shared" si="982"/>
        <v>0</v>
      </c>
      <c r="V1155" s="94"/>
      <c r="X1155" s="580" t="str">
        <f t="shared" si="983"/>
        <v/>
      </c>
      <c r="Y1155" s="580" t="str">
        <f t="shared" si="984"/>
        <v/>
      </c>
      <c r="Z1155" s="580" t="str">
        <f t="shared" si="985"/>
        <v/>
      </c>
    </row>
    <row r="1156" spans="1:26" ht="25.5" hidden="1" x14ac:dyDescent="0.2">
      <c r="A1156" s="97">
        <v>97668</v>
      </c>
      <c r="B1156" s="1031">
        <v>97668</v>
      </c>
      <c r="C1156" s="978" t="s">
        <v>883</v>
      </c>
      <c r="D1156" s="595" t="s">
        <v>1379</v>
      </c>
      <c r="E1156" s="596"/>
      <c r="F1156" s="671"/>
      <c r="G1156" s="597"/>
      <c r="H1156" s="682"/>
      <c r="I1156" s="592">
        <v>12.01</v>
      </c>
      <c r="J1156" s="592">
        <f t="shared" si="976"/>
        <v>12.01</v>
      </c>
      <c r="K1156" s="593">
        <f t="shared" si="975"/>
        <v>14.62</v>
      </c>
      <c r="L1156" s="594" t="s">
        <v>19</v>
      </c>
      <c r="M1156" s="92"/>
      <c r="N1156" s="92"/>
      <c r="O1156" s="93">
        <f t="shared" si="977"/>
        <v>0</v>
      </c>
      <c r="P1156" s="93">
        <f t="shared" si="978"/>
        <v>0</v>
      </c>
      <c r="Q1156" s="94"/>
      <c r="R1156" s="92">
        <f t="shared" si="979"/>
        <v>0</v>
      </c>
      <c r="S1156" s="92">
        <f t="shared" si="980"/>
        <v>0</v>
      </c>
      <c r="T1156" s="93">
        <f t="shared" si="981"/>
        <v>0</v>
      </c>
      <c r="U1156" s="95">
        <f t="shared" si="982"/>
        <v>0</v>
      </c>
      <c r="V1156" s="94"/>
      <c r="X1156" s="580" t="str">
        <f t="shared" si="983"/>
        <v/>
      </c>
      <c r="Y1156" s="580" t="str">
        <f t="shared" si="984"/>
        <v/>
      </c>
      <c r="Z1156" s="580" t="str">
        <f t="shared" si="985"/>
        <v/>
      </c>
    </row>
    <row r="1157" spans="1:26" ht="25.5" hidden="1" x14ac:dyDescent="0.2">
      <c r="A1157" s="97">
        <v>97669</v>
      </c>
      <c r="B1157" s="1031">
        <v>97669</v>
      </c>
      <c r="C1157" s="978" t="s">
        <v>883</v>
      </c>
      <c r="D1157" s="595" t="s">
        <v>1380</v>
      </c>
      <c r="E1157" s="596"/>
      <c r="F1157" s="671"/>
      <c r="G1157" s="597"/>
      <c r="H1157" s="682"/>
      <c r="I1157" s="592">
        <v>19.04</v>
      </c>
      <c r="J1157" s="592">
        <f t="shared" si="976"/>
        <v>19.04</v>
      </c>
      <c r="K1157" s="593">
        <f t="shared" si="975"/>
        <v>23.17</v>
      </c>
      <c r="L1157" s="594" t="s">
        <v>19</v>
      </c>
      <c r="M1157" s="92"/>
      <c r="N1157" s="92"/>
      <c r="O1157" s="93">
        <f t="shared" si="977"/>
        <v>0</v>
      </c>
      <c r="P1157" s="93">
        <f t="shared" si="978"/>
        <v>0</v>
      </c>
      <c r="Q1157" s="94"/>
      <c r="R1157" s="92">
        <f t="shared" si="979"/>
        <v>0</v>
      </c>
      <c r="S1157" s="92">
        <f t="shared" si="980"/>
        <v>0</v>
      </c>
      <c r="T1157" s="93">
        <f t="shared" si="981"/>
        <v>0</v>
      </c>
      <c r="U1157" s="95">
        <f t="shared" si="982"/>
        <v>0</v>
      </c>
      <c r="V1157" s="94"/>
      <c r="X1157" s="580" t="str">
        <f t="shared" si="983"/>
        <v/>
      </c>
      <c r="Y1157" s="580" t="str">
        <f t="shared" si="984"/>
        <v/>
      </c>
      <c r="Z1157" s="580" t="str">
        <f t="shared" si="985"/>
        <v/>
      </c>
    </row>
    <row r="1158" spans="1:26" ht="25.5" hidden="1" x14ac:dyDescent="0.2">
      <c r="A1158" s="97">
        <v>97670</v>
      </c>
      <c r="B1158" s="1031">
        <v>97670</v>
      </c>
      <c r="C1158" s="978" t="s">
        <v>883</v>
      </c>
      <c r="D1158" s="595" t="s">
        <v>1381</v>
      </c>
      <c r="E1158" s="596"/>
      <c r="F1158" s="671"/>
      <c r="G1158" s="597"/>
      <c r="H1158" s="682"/>
      <c r="I1158" s="592">
        <v>24.59</v>
      </c>
      <c r="J1158" s="592">
        <f t="shared" si="976"/>
        <v>24.59</v>
      </c>
      <c r="K1158" s="593">
        <f t="shared" si="975"/>
        <v>29.93</v>
      </c>
      <c r="L1158" s="594" t="s">
        <v>19</v>
      </c>
      <c r="M1158" s="92"/>
      <c r="N1158" s="92"/>
      <c r="O1158" s="93">
        <f t="shared" si="977"/>
        <v>0</v>
      </c>
      <c r="P1158" s="93">
        <f t="shared" si="978"/>
        <v>0</v>
      </c>
      <c r="Q1158" s="94"/>
      <c r="R1158" s="92">
        <f t="shared" si="979"/>
        <v>0</v>
      </c>
      <c r="S1158" s="92">
        <f t="shared" si="980"/>
        <v>0</v>
      </c>
      <c r="T1158" s="93">
        <f t="shared" si="981"/>
        <v>0</v>
      </c>
      <c r="U1158" s="95">
        <f t="shared" si="982"/>
        <v>0</v>
      </c>
      <c r="V1158" s="94"/>
      <c r="X1158" s="580" t="str">
        <f t="shared" si="983"/>
        <v/>
      </c>
      <c r="Y1158" s="580" t="str">
        <f t="shared" si="984"/>
        <v/>
      </c>
      <c r="Z1158" s="580" t="str">
        <f t="shared" si="985"/>
        <v/>
      </c>
    </row>
    <row r="1159" spans="1:26" ht="25.5" hidden="1" x14ac:dyDescent="0.2">
      <c r="A1159" s="97">
        <v>91924</v>
      </c>
      <c r="B1159" s="1031">
        <v>91924</v>
      </c>
      <c r="C1159" s="978" t="s">
        <v>883</v>
      </c>
      <c r="D1159" s="595" t="s">
        <v>1382</v>
      </c>
      <c r="E1159" s="596"/>
      <c r="F1159" s="671"/>
      <c r="G1159" s="597"/>
      <c r="H1159" s="682"/>
      <c r="I1159" s="592">
        <v>2.44</v>
      </c>
      <c r="J1159" s="592">
        <f t="shared" si="976"/>
        <v>2.44</v>
      </c>
      <c r="K1159" s="593">
        <f t="shared" si="975"/>
        <v>2.97</v>
      </c>
      <c r="L1159" s="594" t="s">
        <v>19</v>
      </c>
      <c r="M1159" s="92"/>
      <c r="N1159" s="92"/>
      <c r="O1159" s="93">
        <f t="shared" si="977"/>
        <v>0</v>
      </c>
      <c r="P1159" s="93">
        <f t="shared" si="978"/>
        <v>0</v>
      </c>
      <c r="Q1159" s="94"/>
      <c r="R1159" s="92">
        <f t="shared" si="979"/>
        <v>0</v>
      </c>
      <c r="S1159" s="92">
        <f t="shared" si="980"/>
        <v>0</v>
      </c>
      <c r="T1159" s="93">
        <f t="shared" si="981"/>
        <v>0</v>
      </c>
      <c r="U1159" s="95">
        <f t="shared" si="982"/>
        <v>0</v>
      </c>
      <c r="V1159" s="94"/>
      <c r="X1159" s="580" t="str">
        <f t="shared" si="983"/>
        <v/>
      </c>
      <c r="Y1159" s="580" t="str">
        <f t="shared" si="984"/>
        <v/>
      </c>
      <c r="Z1159" s="580" t="str">
        <f t="shared" si="985"/>
        <v/>
      </c>
    </row>
    <row r="1160" spans="1:26" ht="25.5" hidden="1" x14ac:dyDescent="0.2">
      <c r="A1160" s="97">
        <v>91926</v>
      </c>
      <c r="B1160" s="1031">
        <v>91926</v>
      </c>
      <c r="C1160" s="978" t="s">
        <v>883</v>
      </c>
      <c r="D1160" s="595" t="s">
        <v>1383</v>
      </c>
      <c r="E1160" s="596"/>
      <c r="F1160" s="671"/>
      <c r="G1160" s="597"/>
      <c r="H1160" s="682"/>
      <c r="I1160" s="592">
        <v>3.52</v>
      </c>
      <c r="J1160" s="592">
        <f t="shared" si="976"/>
        <v>3.52</v>
      </c>
      <c r="K1160" s="593">
        <f t="shared" si="975"/>
        <v>4.28</v>
      </c>
      <c r="L1160" s="594" t="s">
        <v>19</v>
      </c>
      <c r="M1160" s="92"/>
      <c r="N1160" s="92"/>
      <c r="O1160" s="93">
        <f t="shared" si="977"/>
        <v>0</v>
      </c>
      <c r="P1160" s="93">
        <f t="shared" si="978"/>
        <v>0</v>
      </c>
      <c r="Q1160" s="94"/>
      <c r="R1160" s="92">
        <f t="shared" si="979"/>
        <v>0</v>
      </c>
      <c r="S1160" s="92">
        <f t="shared" si="980"/>
        <v>0</v>
      </c>
      <c r="T1160" s="93">
        <f t="shared" si="981"/>
        <v>0</v>
      </c>
      <c r="U1160" s="95">
        <f t="shared" si="982"/>
        <v>0</v>
      </c>
      <c r="V1160" s="94"/>
      <c r="X1160" s="580" t="str">
        <f t="shared" si="983"/>
        <v/>
      </c>
      <c r="Y1160" s="580" t="str">
        <f t="shared" si="984"/>
        <v/>
      </c>
      <c r="Z1160" s="580" t="str">
        <f t="shared" si="985"/>
        <v/>
      </c>
    </row>
    <row r="1161" spans="1:26" ht="25.5" hidden="1" x14ac:dyDescent="0.2">
      <c r="A1161" s="97">
        <v>91928</v>
      </c>
      <c r="B1161" s="1031">
        <v>91928</v>
      </c>
      <c r="C1161" s="978" t="s">
        <v>883</v>
      </c>
      <c r="D1161" s="595" t="s">
        <v>1384</v>
      </c>
      <c r="E1161" s="596"/>
      <c r="F1161" s="671"/>
      <c r="G1161" s="597"/>
      <c r="H1161" s="682"/>
      <c r="I1161" s="592">
        <v>5.66</v>
      </c>
      <c r="J1161" s="592">
        <f t="shared" si="976"/>
        <v>5.66</v>
      </c>
      <c r="K1161" s="593">
        <f t="shared" si="975"/>
        <v>6.89</v>
      </c>
      <c r="L1161" s="594" t="s">
        <v>19</v>
      </c>
      <c r="M1161" s="92"/>
      <c r="N1161" s="92"/>
      <c r="O1161" s="93">
        <f t="shared" si="977"/>
        <v>0</v>
      </c>
      <c r="P1161" s="93">
        <f t="shared" si="978"/>
        <v>0</v>
      </c>
      <c r="Q1161" s="94"/>
      <c r="R1161" s="92">
        <f t="shared" si="979"/>
        <v>0</v>
      </c>
      <c r="S1161" s="92">
        <f t="shared" si="980"/>
        <v>0</v>
      </c>
      <c r="T1161" s="93">
        <f t="shared" si="981"/>
        <v>0</v>
      </c>
      <c r="U1161" s="95">
        <f t="shared" si="982"/>
        <v>0</v>
      </c>
      <c r="V1161" s="94"/>
      <c r="X1161" s="580" t="str">
        <f t="shared" si="983"/>
        <v/>
      </c>
      <c r="Y1161" s="580" t="str">
        <f t="shared" si="984"/>
        <v/>
      </c>
      <c r="Z1161" s="580" t="str">
        <f t="shared" si="985"/>
        <v/>
      </c>
    </row>
    <row r="1162" spans="1:26" ht="25.5" hidden="1" x14ac:dyDescent="0.2">
      <c r="A1162" s="97">
        <v>91930</v>
      </c>
      <c r="B1162" s="1031">
        <v>91930</v>
      </c>
      <c r="C1162" s="978" t="s">
        <v>883</v>
      </c>
      <c r="D1162" s="595" t="s">
        <v>1385</v>
      </c>
      <c r="E1162" s="596"/>
      <c r="F1162" s="671"/>
      <c r="G1162" s="597"/>
      <c r="H1162" s="682"/>
      <c r="I1162" s="592">
        <v>7.73</v>
      </c>
      <c r="J1162" s="592">
        <f t="shared" si="976"/>
        <v>7.73</v>
      </c>
      <c r="K1162" s="593">
        <f t="shared" si="975"/>
        <v>9.41</v>
      </c>
      <c r="L1162" s="594" t="s">
        <v>19</v>
      </c>
      <c r="M1162" s="92"/>
      <c r="N1162" s="92"/>
      <c r="O1162" s="93">
        <f t="shared" si="977"/>
        <v>0</v>
      </c>
      <c r="P1162" s="93">
        <f t="shared" si="978"/>
        <v>0</v>
      </c>
      <c r="Q1162" s="94"/>
      <c r="R1162" s="92">
        <f t="shared" si="979"/>
        <v>0</v>
      </c>
      <c r="S1162" s="92">
        <f t="shared" si="980"/>
        <v>0</v>
      </c>
      <c r="T1162" s="93">
        <f t="shared" si="981"/>
        <v>0</v>
      </c>
      <c r="U1162" s="95">
        <f t="shared" si="982"/>
        <v>0</v>
      </c>
      <c r="V1162" s="94"/>
      <c r="X1162" s="580" t="str">
        <f t="shared" si="983"/>
        <v/>
      </c>
      <c r="Y1162" s="580" t="str">
        <f t="shared" si="984"/>
        <v/>
      </c>
      <c r="Z1162" s="580" t="str">
        <f t="shared" si="985"/>
        <v/>
      </c>
    </row>
    <row r="1163" spans="1:26" ht="25.5" hidden="1" x14ac:dyDescent="0.2">
      <c r="A1163" s="97">
        <v>91932</v>
      </c>
      <c r="B1163" s="1031">
        <v>91932</v>
      </c>
      <c r="C1163" s="978" t="s">
        <v>883</v>
      </c>
      <c r="D1163" s="595" t="s">
        <v>1386</v>
      </c>
      <c r="E1163" s="596"/>
      <c r="F1163" s="671"/>
      <c r="G1163" s="597"/>
      <c r="H1163" s="682"/>
      <c r="I1163" s="592">
        <v>12.67</v>
      </c>
      <c r="J1163" s="592">
        <f t="shared" si="976"/>
        <v>12.67</v>
      </c>
      <c r="K1163" s="593">
        <f t="shared" si="975"/>
        <v>15.42</v>
      </c>
      <c r="L1163" s="594" t="s">
        <v>19</v>
      </c>
      <c r="M1163" s="92"/>
      <c r="N1163" s="92"/>
      <c r="O1163" s="93">
        <f t="shared" si="977"/>
        <v>0</v>
      </c>
      <c r="P1163" s="93">
        <f t="shared" si="978"/>
        <v>0</v>
      </c>
      <c r="Q1163" s="94"/>
      <c r="R1163" s="92">
        <f t="shared" si="979"/>
        <v>0</v>
      </c>
      <c r="S1163" s="92">
        <f t="shared" si="980"/>
        <v>0</v>
      </c>
      <c r="T1163" s="93">
        <f t="shared" si="981"/>
        <v>0</v>
      </c>
      <c r="U1163" s="95">
        <f t="shared" si="982"/>
        <v>0</v>
      </c>
      <c r="V1163" s="94"/>
      <c r="X1163" s="580" t="str">
        <f t="shared" si="983"/>
        <v/>
      </c>
      <c r="Y1163" s="580" t="str">
        <f t="shared" si="984"/>
        <v/>
      </c>
      <c r="Z1163" s="580" t="str">
        <f t="shared" si="985"/>
        <v/>
      </c>
    </row>
    <row r="1164" spans="1:26" ht="25.5" hidden="1" x14ac:dyDescent="0.2">
      <c r="A1164" s="97">
        <v>91934</v>
      </c>
      <c r="B1164" s="1031">
        <v>91934</v>
      </c>
      <c r="C1164" s="978" t="s">
        <v>883</v>
      </c>
      <c r="D1164" s="595" t="s">
        <v>1387</v>
      </c>
      <c r="E1164" s="596"/>
      <c r="F1164" s="671"/>
      <c r="G1164" s="597"/>
      <c r="H1164" s="682"/>
      <c r="I1164" s="592">
        <v>19.37</v>
      </c>
      <c r="J1164" s="592">
        <f t="shared" si="976"/>
        <v>19.37</v>
      </c>
      <c r="K1164" s="593">
        <f t="shared" ref="K1164:K1227" si="986">IF(ISBLANK(I1164),0,ROUND(J1164*(1+$F$10)*(1+$F$11*E1164),2))</f>
        <v>23.58</v>
      </c>
      <c r="L1164" s="594" t="s">
        <v>19</v>
      </c>
      <c r="M1164" s="92"/>
      <c r="N1164" s="92"/>
      <c r="O1164" s="93">
        <f t="shared" si="977"/>
        <v>0</v>
      </c>
      <c r="P1164" s="93">
        <f t="shared" si="978"/>
        <v>0</v>
      </c>
      <c r="Q1164" s="94"/>
      <c r="R1164" s="92">
        <f t="shared" si="979"/>
        <v>0</v>
      </c>
      <c r="S1164" s="92">
        <f t="shared" si="980"/>
        <v>0</v>
      </c>
      <c r="T1164" s="93">
        <f t="shared" si="981"/>
        <v>0</v>
      </c>
      <c r="U1164" s="95">
        <f t="shared" si="982"/>
        <v>0</v>
      </c>
      <c r="V1164" s="94"/>
      <c r="X1164" s="580" t="str">
        <f t="shared" si="983"/>
        <v/>
      </c>
      <c r="Y1164" s="580" t="str">
        <f t="shared" si="984"/>
        <v/>
      </c>
      <c r="Z1164" s="580" t="str">
        <f t="shared" si="985"/>
        <v/>
      </c>
    </row>
    <row r="1165" spans="1:26" ht="25.5" hidden="1" x14ac:dyDescent="0.2">
      <c r="A1165" s="97">
        <v>92979</v>
      </c>
      <c r="B1165" s="1031">
        <v>92979</v>
      </c>
      <c r="C1165" s="978" t="s">
        <v>883</v>
      </c>
      <c r="D1165" s="595" t="s">
        <v>1388</v>
      </c>
      <c r="E1165" s="596"/>
      <c r="F1165" s="671"/>
      <c r="G1165" s="597"/>
      <c r="H1165" s="682"/>
      <c r="I1165" s="592">
        <v>8.35</v>
      </c>
      <c r="J1165" s="592">
        <f t="shared" si="976"/>
        <v>8.35</v>
      </c>
      <c r="K1165" s="593">
        <f t="shared" si="986"/>
        <v>10.16</v>
      </c>
      <c r="L1165" s="594" t="s">
        <v>19</v>
      </c>
      <c r="M1165" s="92"/>
      <c r="N1165" s="92"/>
      <c r="O1165" s="93">
        <f t="shared" si="977"/>
        <v>0</v>
      </c>
      <c r="P1165" s="93">
        <f t="shared" si="978"/>
        <v>0</v>
      </c>
      <c r="Q1165" s="94"/>
      <c r="R1165" s="92">
        <f t="shared" si="979"/>
        <v>0</v>
      </c>
      <c r="S1165" s="92">
        <f t="shared" si="980"/>
        <v>0</v>
      </c>
      <c r="T1165" s="93">
        <f t="shared" si="981"/>
        <v>0</v>
      </c>
      <c r="U1165" s="95">
        <f t="shared" si="982"/>
        <v>0</v>
      </c>
      <c r="V1165" s="94"/>
      <c r="X1165" s="580" t="str">
        <f t="shared" si="983"/>
        <v/>
      </c>
      <c r="Y1165" s="580" t="str">
        <f t="shared" si="984"/>
        <v/>
      </c>
      <c r="Z1165" s="580" t="str">
        <f t="shared" si="985"/>
        <v/>
      </c>
    </row>
    <row r="1166" spans="1:26" ht="25.5" hidden="1" x14ac:dyDescent="0.2">
      <c r="A1166" s="97">
        <v>92981</v>
      </c>
      <c r="B1166" s="1031">
        <v>92981</v>
      </c>
      <c r="C1166" s="978" t="s">
        <v>883</v>
      </c>
      <c r="D1166" s="595" t="s">
        <v>1389</v>
      </c>
      <c r="E1166" s="596"/>
      <c r="F1166" s="671"/>
      <c r="G1166" s="597"/>
      <c r="H1166" s="682"/>
      <c r="I1166" s="592">
        <v>12.84</v>
      </c>
      <c r="J1166" s="592">
        <f t="shared" si="976"/>
        <v>12.84</v>
      </c>
      <c r="K1166" s="593">
        <f t="shared" si="986"/>
        <v>15.63</v>
      </c>
      <c r="L1166" s="594" t="s">
        <v>19</v>
      </c>
      <c r="M1166" s="92"/>
      <c r="N1166" s="92"/>
      <c r="O1166" s="93">
        <f t="shared" si="977"/>
        <v>0</v>
      </c>
      <c r="P1166" s="93">
        <f t="shared" si="978"/>
        <v>0</v>
      </c>
      <c r="Q1166" s="94"/>
      <c r="R1166" s="92">
        <f t="shared" si="979"/>
        <v>0</v>
      </c>
      <c r="S1166" s="92">
        <f t="shared" si="980"/>
        <v>0</v>
      </c>
      <c r="T1166" s="93">
        <f t="shared" si="981"/>
        <v>0</v>
      </c>
      <c r="U1166" s="95">
        <f t="shared" si="982"/>
        <v>0</v>
      </c>
      <c r="V1166" s="94"/>
      <c r="X1166" s="580" t="str">
        <f t="shared" si="983"/>
        <v/>
      </c>
      <c r="Y1166" s="580" t="str">
        <f t="shared" si="984"/>
        <v/>
      </c>
      <c r="Z1166" s="580" t="str">
        <f t="shared" si="985"/>
        <v/>
      </c>
    </row>
    <row r="1167" spans="1:26" ht="25.5" hidden="1" x14ac:dyDescent="0.2">
      <c r="A1167" s="97">
        <v>92983</v>
      </c>
      <c r="B1167" s="1031">
        <v>92983</v>
      </c>
      <c r="C1167" s="978" t="s">
        <v>883</v>
      </c>
      <c r="D1167" s="595" t="s">
        <v>1390</v>
      </c>
      <c r="E1167" s="596"/>
      <c r="F1167" s="671"/>
      <c r="G1167" s="597"/>
      <c r="H1167" s="682"/>
      <c r="I1167" s="592">
        <v>22.29</v>
      </c>
      <c r="J1167" s="592">
        <f t="shared" si="976"/>
        <v>22.29</v>
      </c>
      <c r="K1167" s="593">
        <f t="shared" si="986"/>
        <v>27.13</v>
      </c>
      <c r="L1167" s="594" t="s">
        <v>19</v>
      </c>
      <c r="M1167" s="92"/>
      <c r="N1167" s="92"/>
      <c r="O1167" s="93">
        <f t="shared" si="977"/>
        <v>0</v>
      </c>
      <c r="P1167" s="93">
        <f t="shared" si="978"/>
        <v>0</v>
      </c>
      <c r="Q1167" s="94"/>
      <c r="R1167" s="92">
        <f t="shared" si="979"/>
        <v>0</v>
      </c>
      <c r="S1167" s="92">
        <f t="shared" si="980"/>
        <v>0</v>
      </c>
      <c r="T1167" s="93">
        <f t="shared" si="981"/>
        <v>0</v>
      </c>
      <c r="U1167" s="95">
        <f t="shared" si="982"/>
        <v>0</v>
      </c>
      <c r="V1167" s="94"/>
      <c r="X1167" s="580" t="str">
        <f t="shared" si="983"/>
        <v/>
      </c>
      <c r="Y1167" s="580" t="str">
        <f t="shared" si="984"/>
        <v/>
      </c>
      <c r="Z1167" s="580" t="str">
        <f t="shared" si="985"/>
        <v/>
      </c>
    </row>
    <row r="1168" spans="1:26" ht="25.5" hidden="1" x14ac:dyDescent="0.2">
      <c r="A1168" s="97">
        <v>92985</v>
      </c>
      <c r="B1168" s="1031">
        <v>92985</v>
      </c>
      <c r="C1168" s="978" t="s">
        <v>883</v>
      </c>
      <c r="D1168" s="595" t="s">
        <v>1391</v>
      </c>
      <c r="E1168" s="596"/>
      <c r="F1168" s="671"/>
      <c r="G1168" s="597"/>
      <c r="H1168" s="682"/>
      <c r="I1168" s="592">
        <v>29.96</v>
      </c>
      <c r="J1168" s="592">
        <f t="shared" si="976"/>
        <v>29.96</v>
      </c>
      <c r="K1168" s="593">
        <f t="shared" si="986"/>
        <v>36.46</v>
      </c>
      <c r="L1168" s="594" t="s">
        <v>19</v>
      </c>
      <c r="M1168" s="92"/>
      <c r="N1168" s="92"/>
      <c r="O1168" s="93">
        <f t="shared" si="977"/>
        <v>0</v>
      </c>
      <c r="P1168" s="93">
        <f t="shared" si="978"/>
        <v>0</v>
      </c>
      <c r="Q1168" s="94"/>
      <c r="R1168" s="92">
        <f t="shared" si="979"/>
        <v>0</v>
      </c>
      <c r="S1168" s="92">
        <f t="shared" si="980"/>
        <v>0</v>
      </c>
      <c r="T1168" s="93">
        <f t="shared" si="981"/>
        <v>0</v>
      </c>
      <c r="U1168" s="95">
        <f t="shared" si="982"/>
        <v>0</v>
      </c>
      <c r="V1168" s="94"/>
      <c r="X1168" s="580" t="str">
        <f t="shared" si="983"/>
        <v/>
      </c>
      <c r="Y1168" s="580" t="str">
        <f t="shared" si="984"/>
        <v/>
      </c>
      <c r="Z1168" s="580" t="str">
        <f t="shared" si="985"/>
        <v/>
      </c>
    </row>
    <row r="1169" spans="1:26" ht="25.5" hidden="1" x14ac:dyDescent="0.2">
      <c r="A1169" s="97">
        <v>92987</v>
      </c>
      <c r="B1169" s="1031">
        <v>92987</v>
      </c>
      <c r="C1169" s="978" t="s">
        <v>883</v>
      </c>
      <c r="D1169" s="595" t="s">
        <v>1392</v>
      </c>
      <c r="E1169" s="596"/>
      <c r="F1169" s="671"/>
      <c r="G1169" s="597"/>
      <c r="H1169" s="682"/>
      <c r="I1169" s="592">
        <v>43.06</v>
      </c>
      <c r="J1169" s="592">
        <f t="shared" si="976"/>
        <v>43.06</v>
      </c>
      <c r="K1169" s="593">
        <f t="shared" si="986"/>
        <v>52.41</v>
      </c>
      <c r="L1169" s="594" t="s">
        <v>19</v>
      </c>
      <c r="M1169" s="92"/>
      <c r="N1169" s="92"/>
      <c r="O1169" s="93">
        <f t="shared" si="977"/>
        <v>0</v>
      </c>
      <c r="P1169" s="93">
        <f t="shared" si="978"/>
        <v>0</v>
      </c>
      <c r="Q1169" s="94"/>
      <c r="R1169" s="92">
        <f t="shared" si="979"/>
        <v>0</v>
      </c>
      <c r="S1169" s="92">
        <f t="shared" si="980"/>
        <v>0</v>
      </c>
      <c r="T1169" s="93">
        <f t="shared" si="981"/>
        <v>0</v>
      </c>
      <c r="U1169" s="95">
        <f t="shared" si="982"/>
        <v>0</v>
      </c>
      <c r="V1169" s="94"/>
      <c r="X1169" s="580" t="str">
        <f t="shared" si="983"/>
        <v/>
      </c>
      <c r="Y1169" s="580" t="str">
        <f t="shared" si="984"/>
        <v/>
      </c>
      <c r="Z1169" s="580" t="str">
        <f t="shared" si="985"/>
        <v/>
      </c>
    </row>
    <row r="1170" spans="1:26" ht="25.5" hidden="1" x14ac:dyDescent="0.2">
      <c r="A1170" s="97">
        <v>92989</v>
      </c>
      <c r="B1170" s="1031">
        <v>92989</v>
      </c>
      <c r="C1170" s="978" t="s">
        <v>883</v>
      </c>
      <c r="D1170" s="595" t="s">
        <v>1393</v>
      </c>
      <c r="E1170" s="596"/>
      <c r="F1170" s="671"/>
      <c r="G1170" s="597"/>
      <c r="H1170" s="682"/>
      <c r="I1170" s="592">
        <v>59.77</v>
      </c>
      <c r="J1170" s="592">
        <f t="shared" si="976"/>
        <v>59.77</v>
      </c>
      <c r="K1170" s="593">
        <f t="shared" si="986"/>
        <v>72.75</v>
      </c>
      <c r="L1170" s="594" t="s">
        <v>19</v>
      </c>
      <c r="M1170" s="92"/>
      <c r="N1170" s="92"/>
      <c r="O1170" s="93">
        <f t="shared" si="977"/>
        <v>0</v>
      </c>
      <c r="P1170" s="93">
        <f t="shared" si="978"/>
        <v>0</v>
      </c>
      <c r="Q1170" s="94"/>
      <c r="R1170" s="92">
        <f t="shared" si="979"/>
        <v>0</v>
      </c>
      <c r="S1170" s="92">
        <f t="shared" si="980"/>
        <v>0</v>
      </c>
      <c r="T1170" s="93">
        <f t="shared" si="981"/>
        <v>0</v>
      </c>
      <c r="U1170" s="95">
        <f t="shared" si="982"/>
        <v>0</v>
      </c>
      <c r="V1170" s="94"/>
      <c r="X1170" s="580" t="str">
        <f t="shared" si="983"/>
        <v/>
      </c>
      <c r="Y1170" s="580" t="str">
        <f t="shared" si="984"/>
        <v/>
      </c>
      <c r="Z1170" s="580" t="str">
        <f t="shared" si="985"/>
        <v/>
      </c>
    </row>
    <row r="1171" spans="1:26" ht="25.5" hidden="1" x14ac:dyDescent="0.2">
      <c r="A1171" s="97">
        <v>92991</v>
      </c>
      <c r="B1171" s="1031">
        <v>92991</v>
      </c>
      <c r="C1171" s="978" t="s">
        <v>883</v>
      </c>
      <c r="D1171" s="595" t="s">
        <v>1394</v>
      </c>
      <c r="E1171" s="596"/>
      <c r="F1171" s="671"/>
      <c r="G1171" s="597"/>
      <c r="H1171" s="682"/>
      <c r="I1171" s="592">
        <v>77.92</v>
      </c>
      <c r="J1171" s="592">
        <f t="shared" si="976"/>
        <v>77.92</v>
      </c>
      <c r="K1171" s="593">
        <f t="shared" si="986"/>
        <v>94.84</v>
      </c>
      <c r="L1171" s="594" t="s">
        <v>19</v>
      </c>
      <c r="M1171" s="92"/>
      <c r="N1171" s="92"/>
      <c r="O1171" s="93">
        <f t="shared" si="977"/>
        <v>0</v>
      </c>
      <c r="P1171" s="93">
        <f t="shared" si="978"/>
        <v>0</v>
      </c>
      <c r="Q1171" s="94"/>
      <c r="R1171" s="92">
        <f t="shared" si="979"/>
        <v>0</v>
      </c>
      <c r="S1171" s="92">
        <f t="shared" si="980"/>
        <v>0</v>
      </c>
      <c r="T1171" s="93">
        <f t="shared" si="981"/>
        <v>0</v>
      </c>
      <c r="U1171" s="95">
        <f t="shared" si="982"/>
        <v>0</v>
      </c>
      <c r="V1171" s="94"/>
      <c r="X1171" s="580" t="str">
        <f t="shared" si="983"/>
        <v/>
      </c>
      <c r="Y1171" s="580" t="str">
        <f t="shared" si="984"/>
        <v/>
      </c>
      <c r="Z1171" s="580" t="str">
        <f t="shared" si="985"/>
        <v/>
      </c>
    </row>
    <row r="1172" spans="1:26" ht="25.5" hidden="1" x14ac:dyDescent="0.2">
      <c r="A1172" s="97">
        <v>92993</v>
      </c>
      <c r="B1172" s="1031">
        <v>92993</v>
      </c>
      <c r="C1172" s="978" t="s">
        <v>883</v>
      </c>
      <c r="D1172" s="595" t="s">
        <v>1395</v>
      </c>
      <c r="E1172" s="596"/>
      <c r="F1172" s="671"/>
      <c r="G1172" s="597"/>
      <c r="H1172" s="682"/>
      <c r="I1172" s="592">
        <v>99.86</v>
      </c>
      <c r="J1172" s="592">
        <f t="shared" si="976"/>
        <v>99.86</v>
      </c>
      <c r="K1172" s="593">
        <f t="shared" si="986"/>
        <v>121.54</v>
      </c>
      <c r="L1172" s="594" t="s">
        <v>19</v>
      </c>
      <c r="M1172" s="92"/>
      <c r="N1172" s="92"/>
      <c r="O1172" s="93">
        <f t="shared" si="977"/>
        <v>0</v>
      </c>
      <c r="P1172" s="93">
        <f t="shared" si="978"/>
        <v>0</v>
      </c>
      <c r="Q1172" s="94"/>
      <c r="R1172" s="92">
        <f t="shared" si="979"/>
        <v>0</v>
      </c>
      <c r="S1172" s="92">
        <f t="shared" si="980"/>
        <v>0</v>
      </c>
      <c r="T1172" s="93">
        <f t="shared" si="981"/>
        <v>0</v>
      </c>
      <c r="U1172" s="95">
        <f t="shared" si="982"/>
        <v>0</v>
      </c>
      <c r="V1172" s="94"/>
      <c r="X1172" s="580" t="str">
        <f t="shared" si="983"/>
        <v/>
      </c>
      <c r="Y1172" s="580" t="str">
        <f t="shared" si="984"/>
        <v/>
      </c>
      <c r="Z1172" s="580" t="str">
        <f t="shared" si="985"/>
        <v/>
      </c>
    </row>
    <row r="1173" spans="1:26" ht="25.5" hidden="1" x14ac:dyDescent="0.2">
      <c r="A1173" s="97">
        <v>92995</v>
      </c>
      <c r="B1173" s="1031">
        <v>92995</v>
      </c>
      <c r="C1173" s="978" t="s">
        <v>883</v>
      </c>
      <c r="D1173" s="595" t="s">
        <v>1396</v>
      </c>
      <c r="E1173" s="596"/>
      <c r="F1173" s="671"/>
      <c r="G1173" s="597"/>
      <c r="H1173" s="682"/>
      <c r="I1173" s="592">
        <v>124.19</v>
      </c>
      <c r="J1173" s="592">
        <f t="shared" si="976"/>
        <v>124.19</v>
      </c>
      <c r="K1173" s="593">
        <f t="shared" si="986"/>
        <v>151.15</v>
      </c>
      <c r="L1173" s="594" t="s">
        <v>19</v>
      </c>
      <c r="M1173" s="92"/>
      <c r="N1173" s="92"/>
      <c r="O1173" s="93">
        <f t="shared" si="977"/>
        <v>0</v>
      </c>
      <c r="P1173" s="93">
        <f t="shared" si="978"/>
        <v>0</v>
      </c>
      <c r="Q1173" s="94"/>
      <c r="R1173" s="92">
        <f t="shared" si="979"/>
        <v>0</v>
      </c>
      <c r="S1173" s="92">
        <f t="shared" si="980"/>
        <v>0</v>
      </c>
      <c r="T1173" s="93">
        <f t="shared" si="981"/>
        <v>0</v>
      </c>
      <c r="U1173" s="95">
        <f t="shared" si="982"/>
        <v>0</v>
      </c>
      <c r="V1173" s="94"/>
      <c r="X1173" s="580" t="str">
        <f t="shared" si="983"/>
        <v/>
      </c>
      <c r="Y1173" s="580" t="str">
        <f t="shared" si="984"/>
        <v/>
      </c>
      <c r="Z1173" s="580" t="str">
        <f t="shared" si="985"/>
        <v/>
      </c>
    </row>
    <row r="1174" spans="1:26" ht="25.5" hidden="1" x14ac:dyDescent="0.2">
      <c r="A1174" s="97">
        <v>92997</v>
      </c>
      <c r="B1174" s="1031">
        <v>92997</v>
      </c>
      <c r="C1174" s="978" t="s">
        <v>883</v>
      </c>
      <c r="D1174" s="595" t="s">
        <v>1397</v>
      </c>
      <c r="E1174" s="596"/>
      <c r="F1174" s="671"/>
      <c r="G1174" s="597"/>
      <c r="H1174" s="682"/>
      <c r="I1174" s="592">
        <v>150.86000000000001</v>
      </c>
      <c r="J1174" s="592">
        <f t="shared" ref="J1174:J1237" si="987">IF(ISBLANK(I1174),"",SUM(H1174:I1174))</f>
        <v>150.86000000000001</v>
      </c>
      <c r="K1174" s="593">
        <f t="shared" si="986"/>
        <v>183.61</v>
      </c>
      <c r="L1174" s="594" t="s">
        <v>19</v>
      </c>
      <c r="M1174" s="92"/>
      <c r="N1174" s="92"/>
      <c r="O1174" s="93">
        <f t="shared" ref="O1174:O1237" si="988">IF(ISBLANK(M1174),0,ROUND(K1174*M1174,2))</f>
        <v>0</v>
      </c>
      <c r="P1174" s="93">
        <f t="shared" ref="P1174:P1237" si="989">IF(ISBLANK(N1174),0,ROUND(M1174*N1174,2))</f>
        <v>0</v>
      </c>
      <c r="Q1174" s="94"/>
      <c r="R1174" s="92">
        <f t="shared" ref="R1174:R1237" si="990">M1174</f>
        <v>0</v>
      </c>
      <c r="S1174" s="92">
        <f t="shared" ref="S1174:S1237" si="991">N1174</f>
        <v>0</v>
      </c>
      <c r="T1174" s="93">
        <f t="shared" ref="T1174:T1237" si="992">IF(ISBLANK(R1174),0,ROUND(K1174*R1174,2))</f>
        <v>0</v>
      </c>
      <c r="U1174" s="95">
        <f t="shared" ref="U1174:U1237" si="993">IF(ISBLANK(R1174),0,ROUND(R1174*S1174,2))</f>
        <v>0</v>
      </c>
      <c r="V1174" s="94"/>
      <c r="X1174" s="580" t="str">
        <f t="shared" ref="X1174:X1237" si="994">IF(W1174="X","x",IF(W1174="xx","x",IF(W1174="xy","x",IF(W1174="y","x",IF(OR(P1174&gt;0,U1174&gt;0),"x","")))))</f>
        <v/>
      </c>
      <c r="Y1174" s="580" t="str">
        <f t="shared" ref="Y1174:Y1237" si="995">IF(W1174="X","x",IF(W1174="y","x",IF(W1174="xx","x",IF(U1174&gt;0,"x",""))))</f>
        <v/>
      </c>
      <c r="Z1174" s="580" t="str">
        <f t="shared" ref="Z1174:Z1237" si="996">IF(W1174="X","x",IF(U1174&gt;0,"x",""))</f>
        <v/>
      </c>
    </row>
    <row r="1175" spans="1:26" ht="25.5" hidden="1" x14ac:dyDescent="0.2">
      <c r="A1175" s="97">
        <v>92999</v>
      </c>
      <c r="B1175" s="1031">
        <v>92999</v>
      </c>
      <c r="C1175" s="978" t="s">
        <v>883</v>
      </c>
      <c r="D1175" s="595" t="s">
        <v>1398</v>
      </c>
      <c r="E1175" s="596"/>
      <c r="F1175" s="671"/>
      <c r="G1175" s="597"/>
      <c r="H1175" s="682"/>
      <c r="I1175" s="592">
        <v>198.62</v>
      </c>
      <c r="J1175" s="592">
        <f t="shared" si="987"/>
        <v>198.62</v>
      </c>
      <c r="K1175" s="593">
        <f t="shared" si="986"/>
        <v>241.74</v>
      </c>
      <c r="L1175" s="594" t="s">
        <v>19</v>
      </c>
      <c r="M1175" s="92"/>
      <c r="N1175" s="92"/>
      <c r="O1175" s="93">
        <f t="shared" si="988"/>
        <v>0</v>
      </c>
      <c r="P1175" s="93">
        <f t="shared" si="989"/>
        <v>0</v>
      </c>
      <c r="Q1175" s="94"/>
      <c r="R1175" s="92">
        <f t="shared" si="990"/>
        <v>0</v>
      </c>
      <c r="S1175" s="92">
        <f t="shared" si="991"/>
        <v>0</v>
      </c>
      <c r="T1175" s="93">
        <f t="shared" si="992"/>
        <v>0</v>
      </c>
      <c r="U1175" s="95">
        <f t="shared" si="993"/>
        <v>0</v>
      </c>
      <c r="V1175" s="94"/>
      <c r="X1175" s="580" t="str">
        <f t="shared" si="994"/>
        <v/>
      </c>
      <c r="Y1175" s="580" t="str">
        <f t="shared" si="995"/>
        <v/>
      </c>
      <c r="Z1175" s="580" t="str">
        <f t="shared" si="996"/>
        <v/>
      </c>
    </row>
    <row r="1176" spans="1:26" ht="25.5" hidden="1" x14ac:dyDescent="0.2">
      <c r="A1176" s="97">
        <v>93001</v>
      </c>
      <c r="B1176" s="1031">
        <v>93001</v>
      </c>
      <c r="C1176" s="978" t="s">
        <v>883</v>
      </c>
      <c r="D1176" s="595" t="s">
        <v>1399</v>
      </c>
      <c r="E1176" s="596"/>
      <c r="F1176" s="671"/>
      <c r="G1176" s="597"/>
      <c r="H1176" s="682"/>
      <c r="I1176" s="592">
        <v>242.53</v>
      </c>
      <c r="J1176" s="592">
        <f t="shared" si="987"/>
        <v>242.53</v>
      </c>
      <c r="K1176" s="593">
        <f t="shared" si="986"/>
        <v>295.18</v>
      </c>
      <c r="L1176" s="594" t="s">
        <v>19</v>
      </c>
      <c r="M1176" s="92"/>
      <c r="N1176" s="92"/>
      <c r="O1176" s="93">
        <f t="shared" si="988"/>
        <v>0</v>
      </c>
      <c r="P1176" s="93">
        <f t="shared" si="989"/>
        <v>0</v>
      </c>
      <c r="Q1176" s="94"/>
      <c r="R1176" s="92">
        <f t="shared" si="990"/>
        <v>0</v>
      </c>
      <c r="S1176" s="92">
        <f t="shared" si="991"/>
        <v>0</v>
      </c>
      <c r="T1176" s="93">
        <f t="shared" si="992"/>
        <v>0</v>
      </c>
      <c r="U1176" s="95">
        <f t="shared" si="993"/>
        <v>0</v>
      </c>
      <c r="V1176" s="94"/>
      <c r="X1176" s="580" t="str">
        <f t="shared" si="994"/>
        <v/>
      </c>
      <c r="Y1176" s="580" t="str">
        <f t="shared" si="995"/>
        <v/>
      </c>
      <c r="Z1176" s="580" t="str">
        <f t="shared" si="996"/>
        <v/>
      </c>
    </row>
    <row r="1177" spans="1:26" ht="25.5" hidden="1" x14ac:dyDescent="0.2">
      <c r="A1177" s="97">
        <v>91925</v>
      </c>
      <c r="B1177" s="1031">
        <v>91925</v>
      </c>
      <c r="C1177" s="978" t="s">
        <v>883</v>
      </c>
      <c r="D1177" s="595" t="s">
        <v>1400</v>
      </c>
      <c r="E1177" s="596"/>
      <c r="F1177" s="671"/>
      <c r="G1177" s="597"/>
      <c r="H1177" s="682"/>
      <c r="I1177" s="592">
        <v>3.39</v>
      </c>
      <c r="J1177" s="592">
        <f t="shared" si="987"/>
        <v>3.39</v>
      </c>
      <c r="K1177" s="593">
        <f t="shared" si="986"/>
        <v>4.13</v>
      </c>
      <c r="L1177" s="594" t="s">
        <v>19</v>
      </c>
      <c r="M1177" s="92"/>
      <c r="N1177" s="92"/>
      <c r="O1177" s="93">
        <f t="shared" si="988"/>
        <v>0</v>
      </c>
      <c r="P1177" s="93">
        <f t="shared" si="989"/>
        <v>0</v>
      </c>
      <c r="Q1177" s="94"/>
      <c r="R1177" s="92">
        <f t="shared" si="990"/>
        <v>0</v>
      </c>
      <c r="S1177" s="92">
        <f t="shared" si="991"/>
        <v>0</v>
      </c>
      <c r="T1177" s="93">
        <f t="shared" si="992"/>
        <v>0</v>
      </c>
      <c r="U1177" s="95">
        <f t="shared" si="993"/>
        <v>0</v>
      </c>
      <c r="V1177" s="94"/>
      <c r="X1177" s="580" t="str">
        <f t="shared" si="994"/>
        <v/>
      </c>
      <c r="Y1177" s="580" t="str">
        <f t="shared" si="995"/>
        <v/>
      </c>
      <c r="Z1177" s="580" t="str">
        <f t="shared" si="996"/>
        <v/>
      </c>
    </row>
    <row r="1178" spans="1:26" ht="25.5" hidden="1" x14ac:dyDescent="0.2">
      <c r="A1178" s="97">
        <v>91927</v>
      </c>
      <c r="B1178" s="1031">
        <v>91927</v>
      </c>
      <c r="C1178" s="978" t="s">
        <v>883</v>
      </c>
      <c r="D1178" s="595" t="s">
        <v>1401</v>
      </c>
      <c r="E1178" s="596"/>
      <c r="F1178" s="671"/>
      <c r="G1178" s="597"/>
      <c r="H1178" s="682"/>
      <c r="I1178" s="592">
        <v>4.55</v>
      </c>
      <c r="J1178" s="592">
        <f t="shared" si="987"/>
        <v>4.55</v>
      </c>
      <c r="K1178" s="593">
        <f t="shared" si="986"/>
        <v>5.54</v>
      </c>
      <c r="L1178" s="594" t="s">
        <v>19</v>
      </c>
      <c r="M1178" s="92"/>
      <c r="N1178" s="92"/>
      <c r="O1178" s="93">
        <f t="shared" si="988"/>
        <v>0</v>
      </c>
      <c r="P1178" s="93">
        <f t="shared" si="989"/>
        <v>0</v>
      </c>
      <c r="Q1178" s="94"/>
      <c r="R1178" s="92">
        <f t="shared" si="990"/>
        <v>0</v>
      </c>
      <c r="S1178" s="92">
        <f t="shared" si="991"/>
        <v>0</v>
      </c>
      <c r="T1178" s="93">
        <f t="shared" si="992"/>
        <v>0</v>
      </c>
      <c r="U1178" s="95">
        <f t="shared" si="993"/>
        <v>0</v>
      </c>
      <c r="V1178" s="94"/>
      <c r="X1178" s="580" t="str">
        <f t="shared" si="994"/>
        <v/>
      </c>
      <c r="Y1178" s="580" t="str">
        <f t="shared" si="995"/>
        <v/>
      </c>
      <c r="Z1178" s="580" t="str">
        <f t="shared" si="996"/>
        <v/>
      </c>
    </row>
    <row r="1179" spans="1:26" ht="25.5" hidden="1" x14ac:dyDescent="0.2">
      <c r="A1179" s="97">
        <v>91929</v>
      </c>
      <c r="B1179" s="1031">
        <v>91929</v>
      </c>
      <c r="C1179" s="978" t="s">
        <v>883</v>
      </c>
      <c r="D1179" s="595" t="s">
        <v>1402</v>
      </c>
      <c r="E1179" s="596"/>
      <c r="F1179" s="671"/>
      <c r="G1179" s="597"/>
      <c r="H1179" s="682"/>
      <c r="I1179" s="592">
        <v>6.4</v>
      </c>
      <c r="J1179" s="592">
        <f t="shared" si="987"/>
        <v>6.4</v>
      </c>
      <c r="K1179" s="593">
        <f t="shared" si="986"/>
        <v>7.79</v>
      </c>
      <c r="L1179" s="594" t="s">
        <v>19</v>
      </c>
      <c r="M1179" s="92"/>
      <c r="N1179" s="92"/>
      <c r="O1179" s="93">
        <f t="shared" si="988"/>
        <v>0</v>
      </c>
      <c r="P1179" s="93">
        <f t="shared" si="989"/>
        <v>0</v>
      </c>
      <c r="Q1179" s="94"/>
      <c r="R1179" s="92">
        <f t="shared" si="990"/>
        <v>0</v>
      </c>
      <c r="S1179" s="92">
        <f t="shared" si="991"/>
        <v>0</v>
      </c>
      <c r="T1179" s="93">
        <f t="shared" si="992"/>
        <v>0</v>
      </c>
      <c r="U1179" s="95">
        <f t="shared" si="993"/>
        <v>0</v>
      </c>
      <c r="V1179" s="94"/>
      <c r="X1179" s="580" t="str">
        <f t="shared" si="994"/>
        <v/>
      </c>
      <c r="Y1179" s="580" t="str">
        <f t="shared" si="995"/>
        <v/>
      </c>
      <c r="Z1179" s="580" t="str">
        <f t="shared" si="996"/>
        <v/>
      </c>
    </row>
    <row r="1180" spans="1:26" ht="25.5" hidden="1" x14ac:dyDescent="0.2">
      <c r="A1180" s="97">
        <v>91931</v>
      </c>
      <c r="B1180" s="1031">
        <v>91931</v>
      </c>
      <c r="C1180" s="978" t="s">
        <v>883</v>
      </c>
      <c r="D1180" s="595" t="s">
        <v>1403</v>
      </c>
      <c r="E1180" s="596"/>
      <c r="F1180" s="671"/>
      <c r="G1180" s="597"/>
      <c r="H1180" s="682"/>
      <c r="I1180" s="592">
        <v>8.61</v>
      </c>
      <c r="J1180" s="592">
        <f t="shared" si="987"/>
        <v>8.61</v>
      </c>
      <c r="K1180" s="593">
        <f t="shared" si="986"/>
        <v>10.48</v>
      </c>
      <c r="L1180" s="594" t="s">
        <v>19</v>
      </c>
      <c r="M1180" s="92"/>
      <c r="N1180" s="92"/>
      <c r="O1180" s="93">
        <f t="shared" si="988"/>
        <v>0</v>
      </c>
      <c r="P1180" s="93">
        <f t="shared" si="989"/>
        <v>0</v>
      </c>
      <c r="Q1180" s="94"/>
      <c r="R1180" s="92">
        <f t="shared" si="990"/>
        <v>0</v>
      </c>
      <c r="S1180" s="92">
        <f t="shared" si="991"/>
        <v>0</v>
      </c>
      <c r="T1180" s="93">
        <f t="shared" si="992"/>
        <v>0</v>
      </c>
      <c r="U1180" s="95">
        <f t="shared" si="993"/>
        <v>0</v>
      </c>
      <c r="V1180" s="94"/>
      <c r="X1180" s="580" t="str">
        <f t="shared" si="994"/>
        <v/>
      </c>
      <c r="Y1180" s="580" t="str">
        <f t="shared" si="995"/>
        <v/>
      </c>
      <c r="Z1180" s="580" t="str">
        <f t="shared" si="996"/>
        <v/>
      </c>
    </row>
    <row r="1181" spans="1:26" ht="25.5" hidden="1" x14ac:dyDescent="0.2">
      <c r="A1181" s="97">
        <v>91933</v>
      </c>
      <c r="B1181" s="1031">
        <v>91933</v>
      </c>
      <c r="C1181" s="978" t="s">
        <v>883</v>
      </c>
      <c r="D1181" s="595" t="s">
        <v>1404</v>
      </c>
      <c r="E1181" s="596"/>
      <c r="F1181" s="671"/>
      <c r="G1181" s="597"/>
      <c r="H1181" s="682"/>
      <c r="I1181" s="592">
        <v>13.51</v>
      </c>
      <c r="J1181" s="592">
        <f t="shared" si="987"/>
        <v>13.51</v>
      </c>
      <c r="K1181" s="593">
        <f t="shared" si="986"/>
        <v>16.440000000000001</v>
      </c>
      <c r="L1181" s="594" t="s">
        <v>19</v>
      </c>
      <c r="M1181" s="92"/>
      <c r="N1181" s="92"/>
      <c r="O1181" s="93">
        <f t="shared" si="988"/>
        <v>0</v>
      </c>
      <c r="P1181" s="93">
        <f t="shared" si="989"/>
        <v>0</v>
      </c>
      <c r="Q1181" s="94"/>
      <c r="R1181" s="92">
        <f t="shared" si="990"/>
        <v>0</v>
      </c>
      <c r="S1181" s="92">
        <f t="shared" si="991"/>
        <v>0</v>
      </c>
      <c r="T1181" s="93">
        <f t="shared" si="992"/>
        <v>0</v>
      </c>
      <c r="U1181" s="95">
        <f t="shared" si="993"/>
        <v>0</v>
      </c>
      <c r="V1181" s="94"/>
      <c r="X1181" s="580" t="str">
        <f t="shared" si="994"/>
        <v/>
      </c>
      <c r="Y1181" s="580" t="str">
        <f t="shared" si="995"/>
        <v/>
      </c>
      <c r="Z1181" s="580" t="str">
        <f t="shared" si="996"/>
        <v/>
      </c>
    </row>
    <row r="1182" spans="1:26" ht="25.5" hidden="1" x14ac:dyDescent="0.2">
      <c r="A1182" s="97">
        <v>91935</v>
      </c>
      <c r="B1182" s="1031">
        <v>91935</v>
      </c>
      <c r="C1182" s="978" t="s">
        <v>883</v>
      </c>
      <c r="D1182" s="595" t="s">
        <v>1405</v>
      </c>
      <c r="E1182" s="596"/>
      <c r="F1182" s="671"/>
      <c r="G1182" s="597"/>
      <c r="H1182" s="682"/>
      <c r="I1182" s="592">
        <v>20.57</v>
      </c>
      <c r="J1182" s="592">
        <f t="shared" si="987"/>
        <v>20.57</v>
      </c>
      <c r="K1182" s="593">
        <f t="shared" si="986"/>
        <v>25.04</v>
      </c>
      <c r="L1182" s="594" t="s">
        <v>19</v>
      </c>
      <c r="M1182" s="92"/>
      <c r="N1182" s="92"/>
      <c r="O1182" s="93">
        <f t="shared" si="988"/>
        <v>0</v>
      </c>
      <c r="P1182" s="93">
        <f t="shared" si="989"/>
        <v>0</v>
      </c>
      <c r="Q1182" s="94"/>
      <c r="R1182" s="92">
        <f t="shared" si="990"/>
        <v>0</v>
      </c>
      <c r="S1182" s="92">
        <f t="shared" si="991"/>
        <v>0</v>
      </c>
      <c r="T1182" s="93">
        <f t="shared" si="992"/>
        <v>0</v>
      </c>
      <c r="U1182" s="95">
        <f t="shared" si="993"/>
        <v>0</v>
      </c>
      <c r="V1182" s="94"/>
      <c r="X1182" s="580" t="str">
        <f t="shared" si="994"/>
        <v/>
      </c>
      <c r="Y1182" s="580" t="str">
        <f t="shared" si="995"/>
        <v/>
      </c>
      <c r="Z1182" s="580" t="str">
        <f t="shared" si="996"/>
        <v/>
      </c>
    </row>
    <row r="1183" spans="1:26" ht="25.5" hidden="1" x14ac:dyDescent="0.2">
      <c r="A1183" s="97">
        <v>92980</v>
      </c>
      <c r="B1183" s="1031">
        <v>92980</v>
      </c>
      <c r="C1183" s="978" t="s">
        <v>883</v>
      </c>
      <c r="D1183" s="595" t="s">
        <v>1406</v>
      </c>
      <c r="E1183" s="596"/>
      <c r="F1183" s="671"/>
      <c r="G1183" s="597"/>
      <c r="H1183" s="682"/>
      <c r="I1183" s="592">
        <v>9.07</v>
      </c>
      <c r="J1183" s="592">
        <f t="shared" si="987"/>
        <v>9.07</v>
      </c>
      <c r="K1183" s="593">
        <f t="shared" si="986"/>
        <v>11.04</v>
      </c>
      <c r="L1183" s="594" t="s">
        <v>19</v>
      </c>
      <c r="M1183" s="92"/>
      <c r="N1183" s="92"/>
      <c r="O1183" s="93">
        <f t="shared" si="988"/>
        <v>0</v>
      </c>
      <c r="P1183" s="93">
        <f t="shared" si="989"/>
        <v>0</v>
      </c>
      <c r="Q1183" s="94"/>
      <c r="R1183" s="92">
        <f t="shared" si="990"/>
        <v>0</v>
      </c>
      <c r="S1183" s="92">
        <f t="shared" si="991"/>
        <v>0</v>
      </c>
      <c r="T1183" s="93">
        <f t="shared" si="992"/>
        <v>0</v>
      </c>
      <c r="U1183" s="95">
        <f t="shared" si="993"/>
        <v>0</v>
      </c>
      <c r="V1183" s="94"/>
      <c r="X1183" s="580" t="str">
        <f t="shared" si="994"/>
        <v/>
      </c>
      <c r="Y1183" s="580" t="str">
        <f t="shared" si="995"/>
        <v/>
      </c>
      <c r="Z1183" s="580" t="str">
        <f t="shared" si="996"/>
        <v/>
      </c>
    </row>
    <row r="1184" spans="1:26" ht="25.5" hidden="1" x14ac:dyDescent="0.2">
      <c r="A1184" s="97">
        <v>92982</v>
      </c>
      <c r="B1184" s="1031">
        <v>92982</v>
      </c>
      <c r="C1184" s="978" t="s">
        <v>883</v>
      </c>
      <c r="D1184" s="595" t="s">
        <v>1407</v>
      </c>
      <c r="E1184" s="596"/>
      <c r="F1184" s="671"/>
      <c r="G1184" s="597"/>
      <c r="H1184" s="682"/>
      <c r="I1184" s="592">
        <v>13.87</v>
      </c>
      <c r="J1184" s="592">
        <f t="shared" si="987"/>
        <v>13.87</v>
      </c>
      <c r="K1184" s="593">
        <f t="shared" si="986"/>
        <v>16.88</v>
      </c>
      <c r="L1184" s="594" t="s">
        <v>19</v>
      </c>
      <c r="M1184" s="92"/>
      <c r="N1184" s="92"/>
      <c r="O1184" s="93">
        <f t="shared" si="988"/>
        <v>0</v>
      </c>
      <c r="P1184" s="93">
        <f t="shared" si="989"/>
        <v>0</v>
      </c>
      <c r="Q1184" s="94"/>
      <c r="R1184" s="92">
        <f t="shared" si="990"/>
        <v>0</v>
      </c>
      <c r="S1184" s="92">
        <f t="shared" si="991"/>
        <v>0</v>
      </c>
      <c r="T1184" s="93">
        <f t="shared" si="992"/>
        <v>0</v>
      </c>
      <c r="U1184" s="95">
        <f t="shared" si="993"/>
        <v>0</v>
      </c>
      <c r="V1184" s="94"/>
      <c r="X1184" s="580" t="str">
        <f t="shared" si="994"/>
        <v/>
      </c>
      <c r="Y1184" s="580" t="str">
        <f t="shared" si="995"/>
        <v/>
      </c>
      <c r="Z1184" s="580" t="str">
        <f t="shared" si="996"/>
        <v/>
      </c>
    </row>
    <row r="1185" spans="1:26" ht="25.5" hidden="1" x14ac:dyDescent="0.2">
      <c r="A1185" s="97">
        <v>92984</v>
      </c>
      <c r="B1185" s="1031">
        <v>92984</v>
      </c>
      <c r="C1185" s="978" t="s">
        <v>883</v>
      </c>
      <c r="D1185" s="595" t="s">
        <v>1408</v>
      </c>
      <c r="E1185" s="596"/>
      <c r="F1185" s="671"/>
      <c r="G1185" s="597"/>
      <c r="H1185" s="682"/>
      <c r="I1185" s="592">
        <v>22.86</v>
      </c>
      <c r="J1185" s="592">
        <f t="shared" si="987"/>
        <v>22.86</v>
      </c>
      <c r="K1185" s="593">
        <f t="shared" si="986"/>
        <v>27.82</v>
      </c>
      <c r="L1185" s="594" t="s">
        <v>19</v>
      </c>
      <c r="M1185" s="92"/>
      <c r="N1185" s="92"/>
      <c r="O1185" s="93">
        <f t="shared" si="988"/>
        <v>0</v>
      </c>
      <c r="P1185" s="93">
        <f t="shared" si="989"/>
        <v>0</v>
      </c>
      <c r="Q1185" s="94"/>
      <c r="R1185" s="92">
        <f t="shared" si="990"/>
        <v>0</v>
      </c>
      <c r="S1185" s="92">
        <f t="shared" si="991"/>
        <v>0</v>
      </c>
      <c r="T1185" s="93">
        <f t="shared" si="992"/>
        <v>0</v>
      </c>
      <c r="U1185" s="95">
        <f t="shared" si="993"/>
        <v>0</v>
      </c>
      <c r="V1185" s="94"/>
      <c r="X1185" s="580" t="str">
        <f t="shared" si="994"/>
        <v/>
      </c>
      <c r="Y1185" s="580" t="str">
        <f t="shared" si="995"/>
        <v/>
      </c>
      <c r="Z1185" s="580" t="str">
        <f t="shared" si="996"/>
        <v/>
      </c>
    </row>
    <row r="1186" spans="1:26" ht="25.5" hidden="1" x14ac:dyDescent="0.2">
      <c r="A1186" s="97">
        <v>92986</v>
      </c>
      <c r="B1186" s="1031">
        <v>92986</v>
      </c>
      <c r="C1186" s="978" t="s">
        <v>883</v>
      </c>
      <c r="D1186" s="595" t="s">
        <v>1409</v>
      </c>
      <c r="E1186" s="596"/>
      <c r="F1186" s="671"/>
      <c r="G1186" s="597"/>
      <c r="H1186" s="682"/>
      <c r="I1186" s="592">
        <v>30.82</v>
      </c>
      <c r="J1186" s="592">
        <f t="shared" si="987"/>
        <v>30.82</v>
      </c>
      <c r="K1186" s="593">
        <f t="shared" si="986"/>
        <v>37.51</v>
      </c>
      <c r="L1186" s="594" t="s">
        <v>19</v>
      </c>
      <c r="M1186" s="92"/>
      <c r="N1186" s="92"/>
      <c r="O1186" s="93">
        <f t="shared" si="988"/>
        <v>0</v>
      </c>
      <c r="P1186" s="93">
        <f t="shared" si="989"/>
        <v>0</v>
      </c>
      <c r="Q1186" s="94"/>
      <c r="R1186" s="92">
        <f t="shared" si="990"/>
        <v>0</v>
      </c>
      <c r="S1186" s="92">
        <f t="shared" si="991"/>
        <v>0</v>
      </c>
      <c r="T1186" s="93">
        <f t="shared" si="992"/>
        <v>0</v>
      </c>
      <c r="U1186" s="95">
        <f t="shared" si="993"/>
        <v>0</v>
      </c>
      <c r="V1186" s="94"/>
      <c r="X1186" s="580" t="str">
        <f t="shared" si="994"/>
        <v/>
      </c>
      <c r="Y1186" s="580" t="str">
        <f t="shared" si="995"/>
        <v/>
      </c>
      <c r="Z1186" s="580" t="str">
        <f t="shared" si="996"/>
        <v/>
      </c>
    </row>
    <row r="1187" spans="1:26" ht="25.5" hidden="1" x14ac:dyDescent="0.2">
      <c r="A1187" s="97">
        <v>92988</v>
      </c>
      <c r="B1187" s="1031">
        <v>92988</v>
      </c>
      <c r="C1187" s="978" t="s">
        <v>883</v>
      </c>
      <c r="D1187" s="595" t="s">
        <v>1410</v>
      </c>
      <c r="E1187" s="596"/>
      <c r="F1187" s="671"/>
      <c r="G1187" s="597"/>
      <c r="H1187" s="682"/>
      <c r="I1187" s="592">
        <v>43.17</v>
      </c>
      <c r="J1187" s="592">
        <f t="shared" si="987"/>
        <v>43.17</v>
      </c>
      <c r="K1187" s="593">
        <f t="shared" si="986"/>
        <v>52.54</v>
      </c>
      <c r="L1187" s="594" t="s">
        <v>19</v>
      </c>
      <c r="M1187" s="92"/>
      <c r="N1187" s="92"/>
      <c r="O1187" s="93">
        <f t="shared" si="988"/>
        <v>0</v>
      </c>
      <c r="P1187" s="93">
        <f t="shared" si="989"/>
        <v>0</v>
      </c>
      <c r="Q1187" s="94"/>
      <c r="R1187" s="92">
        <f t="shared" si="990"/>
        <v>0</v>
      </c>
      <c r="S1187" s="92">
        <f t="shared" si="991"/>
        <v>0</v>
      </c>
      <c r="T1187" s="93">
        <f t="shared" si="992"/>
        <v>0</v>
      </c>
      <c r="U1187" s="95">
        <f t="shared" si="993"/>
        <v>0</v>
      </c>
      <c r="V1187" s="94"/>
      <c r="X1187" s="580" t="str">
        <f t="shared" si="994"/>
        <v/>
      </c>
      <c r="Y1187" s="580" t="str">
        <f t="shared" si="995"/>
        <v/>
      </c>
      <c r="Z1187" s="580" t="str">
        <f t="shared" si="996"/>
        <v/>
      </c>
    </row>
    <row r="1188" spans="1:26" ht="25.5" hidden="1" x14ac:dyDescent="0.2">
      <c r="A1188" s="97">
        <v>92990</v>
      </c>
      <c r="B1188" s="1031">
        <v>92990</v>
      </c>
      <c r="C1188" s="978" t="s">
        <v>883</v>
      </c>
      <c r="D1188" s="595" t="s">
        <v>1411</v>
      </c>
      <c r="E1188" s="596"/>
      <c r="F1188" s="671"/>
      <c r="G1188" s="597"/>
      <c r="H1188" s="682"/>
      <c r="I1188" s="592">
        <v>59.09</v>
      </c>
      <c r="J1188" s="592">
        <f t="shared" si="987"/>
        <v>59.09</v>
      </c>
      <c r="K1188" s="593">
        <f t="shared" si="986"/>
        <v>71.92</v>
      </c>
      <c r="L1188" s="594" t="s">
        <v>19</v>
      </c>
      <c r="M1188" s="92"/>
      <c r="N1188" s="92"/>
      <c r="O1188" s="93">
        <f t="shared" si="988"/>
        <v>0</v>
      </c>
      <c r="P1188" s="93">
        <f t="shared" si="989"/>
        <v>0</v>
      </c>
      <c r="Q1188" s="94"/>
      <c r="R1188" s="92">
        <f t="shared" si="990"/>
        <v>0</v>
      </c>
      <c r="S1188" s="92">
        <f t="shared" si="991"/>
        <v>0</v>
      </c>
      <c r="T1188" s="93">
        <f t="shared" si="992"/>
        <v>0</v>
      </c>
      <c r="U1188" s="95">
        <f t="shared" si="993"/>
        <v>0</v>
      </c>
      <c r="V1188" s="94"/>
      <c r="X1188" s="580" t="str">
        <f t="shared" si="994"/>
        <v/>
      </c>
      <c r="Y1188" s="580" t="str">
        <f t="shared" si="995"/>
        <v/>
      </c>
      <c r="Z1188" s="580" t="str">
        <f t="shared" si="996"/>
        <v/>
      </c>
    </row>
    <row r="1189" spans="1:26" ht="25.5" hidden="1" x14ac:dyDescent="0.2">
      <c r="A1189" s="97">
        <v>92992</v>
      </c>
      <c r="B1189" s="1031">
        <v>92992</v>
      </c>
      <c r="C1189" s="978" t="s">
        <v>883</v>
      </c>
      <c r="D1189" s="595" t="s">
        <v>1412</v>
      </c>
      <c r="E1189" s="596"/>
      <c r="F1189" s="671"/>
      <c r="G1189" s="597"/>
      <c r="H1189" s="682"/>
      <c r="I1189" s="592">
        <v>77.97</v>
      </c>
      <c r="J1189" s="592">
        <f t="shared" si="987"/>
        <v>77.97</v>
      </c>
      <c r="K1189" s="593">
        <f t="shared" si="986"/>
        <v>94.9</v>
      </c>
      <c r="L1189" s="594" t="s">
        <v>19</v>
      </c>
      <c r="M1189" s="92"/>
      <c r="N1189" s="92"/>
      <c r="O1189" s="93">
        <f t="shared" si="988"/>
        <v>0</v>
      </c>
      <c r="P1189" s="93">
        <f t="shared" si="989"/>
        <v>0</v>
      </c>
      <c r="Q1189" s="94"/>
      <c r="R1189" s="92">
        <f t="shared" si="990"/>
        <v>0</v>
      </c>
      <c r="S1189" s="92">
        <f t="shared" si="991"/>
        <v>0</v>
      </c>
      <c r="T1189" s="93">
        <f t="shared" si="992"/>
        <v>0</v>
      </c>
      <c r="U1189" s="95">
        <f t="shared" si="993"/>
        <v>0</v>
      </c>
      <c r="V1189" s="94"/>
      <c r="X1189" s="580" t="str">
        <f t="shared" si="994"/>
        <v/>
      </c>
      <c r="Y1189" s="580" t="str">
        <f t="shared" si="995"/>
        <v/>
      </c>
      <c r="Z1189" s="580" t="str">
        <f t="shared" si="996"/>
        <v/>
      </c>
    </row>
    <row r="1190" spans="1:26" ht="25.5" hidden="1" x14ac:dyDescent="0.2">
      <c r="A1190" s="97">
        <v>92994</v>
      </c>
      <c r="B1190" s="1031">
        <v>92994</v>
      </c>
      <c r="C1190" s="978" t="s">
        <v>883</v>
      </c>
      <c r="D1190" s="595" t="s">
        <v>1413</v>
      </c>
      <c r="E1190" s="596"/>
      <c r="F1190" s="671"/>
      <c r="G1190" s="597"/>
      <c r="H1190" s="682"/>
      <c r="I1190" s="592">
        <v>100.84</v>
      </c>
      <c r="J1190" s="592">
        <f t="shared" si="987"/>
        <v>100.84</v>
      </c>
      <c r="K1190" s="593">
        <f t="shared" si="986"/>
        <v>122.73</v>
      </c>
      <c r="L1190" s="594" t="s">
        <v>19</v>
      </c>
      <c r="M1190" s="92"/>
      <c r="N1190" s="92"/>
      <c r="O1190" s="93">
        <f t="shared" si="988"/>
        <v>0</v>
      </c>
      <c r="P1190" s="93">
        <f t="shared" si="989"/>
        <v>0</v>
      </c>
      <c r="Q1190" s="94"/>
      <c r="R1190" s="92">
        <f t="shared" si="990"/>
        <v>0</v>
      </c>
      <c r="S1190" s="92">
        <f t="shared" si="991"/>
        <v>0</v>
      </c>
      <c r="T1190" s="93">
        <f t="shared" si="992"/>
        <v>0</v>
      </c>
      <c r="U1190" s="95">
        <f t="shared" si="993"/>
        <v>0</v>
      </c>
      <c r="V1190" s="94"/>
      <c r="X1190" s="580" t="str">
        <f t="shared" si="994"/>
        <v/>
      </c>
      <c r="Y1190" s="580" t="str">
        <f t="shared" si="995"/>
        <v/>
      </c>
      <c r="Z1190" s="580" t="str">
        <f t="shared" si="996"/>
        <v/>
      </c>
    </row>
    <row r="1191" spans="1:26" ht="25.5" hidden="1" x14ac:dyDescent="0.2">
      <c r="A1191" s="97">
        <v>92996</v>
      </c>
      <c r="B1191" s="1031">
        <v>92996</v>
      </c>
      <c r="C1191" s="978" t="s">
        <v>883</v>
      </c>
      <c r="D1191" s="595" t="s">
        <v>1414</v>
      </c>
      <c r="E1191" s="596"/>
      <c r="F1191" s="671"/>
      <c r="G1191" s="597"/>
      <c r="H1191" s="682"/>
      <c r="I1191" s="592">
        <v>124.53</v>
      </c>
      <c r="J1191" s="592">
        <f t="shared" si="987"/>
        <v>124.53</v>
      </c>
      <c r="K1191" s="593">
        <f t="shared" si="986"/>
        <v>151.57</v>
      </c>
      <c r="L1191" s="594" t="s">
        <v>19</v>
      </c>
      <c r="M1191" s="92"/>
      <c r="N1191" s="92"/>
      <c r="O1191" s="93">
        <f t="shared" si="988"/>
        <v>0</v>
      </c>
      <c r="P1191" s="93">
        <f t="shared" si="989"/>
        <v>0</v>
      </c>
      <c r="Q1191" s="94"/>
      <c r="R1191" s="92">
        <f t="shared" si="990"/>
        <v>0</v>
      </c>
      <c r="S1191" s="92">
        <f t="shared" si="991"/>
        <v>0</v>
      </c>
      <c r="T1191" s="93">
        <f t="shared" si="992"/>
        <v>0</v>
      </c>
      <c r="U1191" s="95">
        <f t="shared" si="993"/>
        <v>0</v>
      </c>
      <c r="V1191" s="94"/>
      <c r="X1191" s="580" t="str">
        <f t="shared" si="994"/>
        <v/>
      </c>
      <c r="Y1191" s="580" t="str">
        <f t="shared" si="995"/>
        <v/>
      </c>
      <c r="Z1191" s="580" t="str">
        <f t="shared" si="996"/>
        <v/>
      </c>
    </row>
    <row r="1192" spans="1:26" ht="25.5" hidden="1" x14ac:dyDescent="0.2">
      <c r="A1192" s="97">
        <v>92998</v>
      </c>
      <c r="B1192" s="1031">
        <v>92998</v>
      </c>
      <c r="C1192" s="978" t="s">
        <v>883</v>
      </c>
      <c r="D1192" s="595" t="s">
        <v>1415</v>
      </c>
      <c r="E1192" s="596"/>
      <c r="F1192" s="671"/>
      <c r="G1192" s="597"/>
      <c r="H1192" s="682"/>
      <c r="I1192" s="592">
        <v>152.31</v>
      </c>
      <c r="J1192" s="592">
        <f t="shared" si="987"/>
        <v>152.31</v>
      </c>
      <c r="K1192" s="593">
        <f t="shared" si="986"/>
        <v>185.38</v>
      </c>
      <c r="L1192" s="594" t="s">
        <v>19</v>
      </c>
      <c r="M1192" s="92"/>
      <c r="N1192" s="92"/>
      <c r="O1192" s="93">
        <f t="shared" si="988"/>
        <v>0</v>
      </c>
      <c r="P1192" s="93">
        <f t="shared" si="989"/>
        <v>0</v>
      </c>
      <c r="Q1192" s="94"/>
      <c r="R1192" s="92">
        <f t="shared" si="990"/>
        <v>0</v>
      </c>
      <c r="S1192" s="92">
        <f t="shared" si="991"/>
        <v>0</v>
      </c>
      <c r="T1192" s="93">
        <f t="shared" si="992"/>
        <v>0</v>
      </c>
      <c r="U1192" s="95">
        <f t="shared" si="993"/>
        <v>0</v>
      </c>
      <c r="V1192" s="94"/>
      <c r="X1192" s="580" t="str">
        <f t="shared" si="994"/>
        <v/>
      </c>
      <c r="Y1192" s="580" t="str">
        <f t="shared" si="995"/>
        <v/>
      </c>
      <c r="Z1192" s="580" t="str">
        <f t="shared" si="996"/>
        <v/>
      </c>
    </row>
    <row r="1193" spans="1:26" ht="25.5" hidden="1" x14ac:dyDescent="0.2">
      <c r="A1193" s="97">
        <v>93000</v>
      </c>
      <c r="B1193" s="1031">
        <v>93000</v>
      </c>
      <c r="C1193" s="978" t="s">
        <v>883</v>
      </c>
      <c r="D1193" s="595" t="s">
        <v>1416</v>
      </c>
      <c r="E1193" s="596"/>
      <c r="F1193" s="671"/>
      <c r="G1193" s="597"/>
      <c r="H1193" s="682"/>
      <c r="I1193" s="592">
        <v>199.82</v>
      </c>
      <c r="J1193" s="592">
        <f t="shared" si="987"/>
        <v>199.82</v>
      </c>
      <c r="K1193" s="593">
        <f t="shared" si="986"/>
        <v>243.2</v>
      </c>
      <c r="L1193" s="594" t="s">
        <v>19</v>
      </c>
      <c r="M1193" s="92"/>
      <c r="N1193" s="92"/>
      <c r="O1193" s="93">
        <f t="shared" si="988"/>
        <v>0</v>
      </c>
      <c r="P1193" s="93">
        <f t="shared" si="989"/>
        <v>0</v>
      </c>
      <c r="Q1193" s="94"/>
      <c r="R1193" s="92">
        <f t="shared" si="990"/>
        <v>0</v>
      </c>
      <c r="S1193" s="92">
        <f t="shared" si="991"/>
        <v>0</v>
      </c>
      <c r="T1193" s="93">
        <f t="shared" si="992"/>
        <v>0</v>
      </c>
      <c r="U1193" s="95">
        <f t="shared" si="993"/>
        <v>0</v>
      </c>
      <c r="V1193" s="94"/>
      <c r="X1193" s="580" t="str">
        <f t="shared" si="994"/>
        <v/>
      </c>
      <c r="Y1193" s="580" t="str">
        <f t="shared" si="995"/>
        <v/>
      </c>
      <c r="Z1193" s="580" t="str">
        <f t="shared" si="996"/>
        <v/>
      </c>
    </row>
    <row r="1194" spans="1:26" ht="25.5" hidden="1" x14ac:dyDescent="0.2">
      <c r="A1194" s="97">
        <v>93002</v>
      </c>
      <c r="B1194" s="1031">
        <v>93002</v>
      </c>
      <c r="C1194" s="978" t="s">
        <v>883</v>
      </c>
      <c r="D1194" s="595" t="s">
        <v>1417</v>
      </c>
      <c r="E1194" s="596"/>
      <c r="F1194" s="671"/>
      <c r="G1194" s="597"/>
      <c r="H1194" s="682"/>
      <c r="I1194" s="592">
        <v>249.25</v>
      </c>
      <c r="J1194" s="592">
        <f t="shared" si="987"/>
        <v>249.25</v>
      </c>
      <c r="K1194" s="593">
        <f t="shared" si="986"/>
        <v>303.36</v>
      </c>
      <c r="L1194" s="594" t="s">
        <v>19</v>
      </c>
      <c r="M1194" s="92"/>
      <c r="N1194" s="92"/>
      <c r="O1194" s="93">
        <f t="shared" si="988"/>
        <v>0</v>
      </c>
      <c r="P1194" s="93">
        <f t="shared" si="989"/>
        <v>0</v>
      </c>
      <c r="Q1194" s="94"/>
      <c r="R1194" s="92">
        <f t="shared" si="990"/>
        <v>0</v>
      </c>
      <c r="S1194" s="92">
        <f t="shared" si="991"/>
        <v>0</v>
      </c>
      <c r="T1194" s="93">
        <f t="shared" si="992"/>
        <v>0</v>
      </c>
      <c r="U1194" s="95">
        <f t="shared" si="993"/>
        <v>0</v>
      </c>
      <c r="V1194" s="94"/>
      <c r="X1194" s="580" t="str">
        <f t="shared" si="994"/>
        <v/>
      </c>
      <c r="Y1194" s="580" t="str">
        <f t="shared" si="995"/>
        <v/>
      </c>
      <c r="Z1194" s="580" t="str">
        <f t="shared" si="996"/>
        <v/>
      </c>
    </row>
    <row r="1195" spans="1:26" ht="25.5" hidden="1" x14ac:dyDescent="0.2">
      <c r="A1195" s="97">
        <v>101884</v>
      </c>
      <c r="B1195" s="1031">
        <v>101884</v>
      </c>
      <c r="C1195" s="978" t="s">
        <v>883</v>
      </c>
      <c r="D1195" s="595" t="s">
        <v>1418</v>
      </c>
      <c r="E1195" s="596"/>
      <c r="F1195" s="671"/>
      <c r="G1195" s="597"/>
      <c r="H1195" s="682"/>
      <c r="I1195" s="592">
        <v>8.1199999999999992</v>
      </c>
      <c r="J1195" s="592">
        <f t="shared" si="987"/>
        <v>8.1199999999999992</v>
      </c>
      <c r="K1195" s="593">
        <f t="shared" si="986"/>
        <v>9.8800000000000008</v>
      </c>
      <c r="L1195" s="594" t="s">
        <v>19</v>
      </c>
      <c r="M1195" s="92"/>
      <c r="N1195" s="92"/>
      <c r="O1195" s="93">
        <f t="shared" si="988"/>
        <v>0</v>
      </c>
      <c r="P1195" s="93">
        <f t="shared" si="989"/>
        <v>0</v>
      </c>
      <c r="Q1195" s="94"/>
      <c r="R1195" s="92">
        <f t="shared" si="990"/>
        <v>0</v>
      </c>
      <c r="S1195" s="92">
        <f t="shared" si="991"/>
        <v>0</v>
      </c>
      <c r="T1195" s="93">
        <f t="shared" si="992"/>
        <v>0</v>
      </c>
      <c r="U1195" s="95">
        <f t="shared" si="993"/>
        <v>0</v>
      </c>
      <c r="V1195" s="94"/>
      <c r="X1195" s="580" t="str">
        <f t="shared" si="994"/>
        <v/>
      </c>
      <c r="Y1195" s="580" t="str">
        <f t="shared" si="995"/>
        <v/>
      </c>
      <c r="Z1195" s="580" t="str">
        <f t="shared" si="996"/>
        <v/>
      </c>
    </row>
    <row r="1196" spans="1:26" ht="25.5" hidden="1" x14ac:dyDescent="0.2">
      <c r="A1196" s="97">
        <v>101885</v>
      </c>
      <c r="B1196" s="1031">
        <v>101885</v>
      </c>
      <c r="C1196" s="978" t="s">
        <v>883</v>
      </c>
      <c r="D1196" s="595" t="s">
        <v>1419</v>
      </c>
      <c r="E1196" s="596"/>
      <c r="F1196" s="671"/>
      <c r="G1196" s="597"/>
      <c r="H1196" s="682"/>
      <c r="I1196" s="592">
        <v>8.84</v>
      </c>
      <c r="J1196" s="592">
        <f t="shared" si="987"/>
        <v>8.84</v>
      </c>
      <c r="K1196" s="593">
        <f t="shared" si="986"/>
        <v>10.76</v>
      </c>
      <c r="L1196" s="594" t="s">
        <v>19</v>
      </c>
      <c r="M1196" s="92"/>
      <c r="N1196" s="92"/>
      <c r="O1196" s="93">
        <f t="shared" si="988"/>
        <v>0</v>
      </c>
      <c r="P1196" s="93">
        <f t="shared" si="989"/>
        <v>0</v>
      </c>
      <c r="Q1196" s="94"/>
      <c r="R1196" s="92">
        <f t="shared" si="990"/>
        <v>0</v>
      </c>
      <c r="S1196" s="92">
        <f t="shared" si="991"/>
        <v>0</v>
      </c>
      <c r="T1196" s="93">
        <f t="shared" si="992"/>
        <v>0</v>
      </c>
      <c r="U1196" s="95">
        <f t="shared" si="993"/>
        <v>0</v>
      </c>
      <c r="V1196" s="94"/>
      <c r="X1196" s="580" t="str">
        <f t="shared" si="994"/>
        <v/>
      </c>
      <c r="Y1196" s="580" t="str">
        <f t="shared" si="995"/>
        <v/>
      </c>
      <c r="Z1196" s="580" t="str">
        <f t="shared" si="996"/>
        <v/>
      </c>
    </row>
    <row r="1197" spans="1:26" ht="25.5" hidden="1" x14ac:dyDescent="0.2">
      <c r="A1197" s="97">
        <v>101886</v>
      </c>
      <c r="B1197" s="1031">
        <v>101886</v>
      </c>
      <c r="C1197" s="978" t="s">
        <v>883</v>
      </c>
      <c r="D1197" s="595" t="s">
        <v>1420</v>
      </c>
      <c r="E1197" s="596"/>
      <c r="F1197" s="671"/>
      <c r="G1197" s="597"/>
      <c r="H1197" s="682"/>
      <c r="I1197" s="592">
        <v>12.57</v>
      </c>
      <c r="J1197" s="592">
        <f t="shared" si="987"/>
        <v>12.57</v>
      </c>
      <c r="K1197" s="593">
        <f t="shared" si="986"/>
        <v>15.3</v>
      </c>
      <c r="L1197" s="594" t="s">
        <v>19</v>
      </c>
      <c r="M1197" s="92"/>
      <c r="N1197" s="92"/>
      <c r="O1197" s="93">
        <f t="shared" si="988"/>
        <v>0</v>
      </c>
      <c r="P1197" s="93">
        <f t="shared" si="989"/>
        <v>0</v>
      </c>
      <c r="Q1197" s="94"/>
      <c r="R1197" s="92">
        <f t="shared" si="990"/>
        <v>0</v>
      </c>
      <c r="S1197" s="92">
        <f t="shared" si="991"/>
        <v>0</v>
      </c>
      <c r="T1197" s="93">
        <f t="shared" si="992"/>
        <v>0</v>
      </c>
      <c r="U1197" s="95">
        <f t="shared" si="993"/>
        <v>0</v>
      </c>
      <c r="V1197" s="94"/>
      <c r="X1197" s="580" t="str">
        <f t="shared" si="994"/>
        <v/>
      </c>
      <c r="Y1197" s="580" t="str">
        <f t="shared" si="995"/>
        <v/>
      </c>
      <c r="Z1197" s="580" t="str">
        <f t="shared" si="996"/>
        <v/>
      </c>
    </row>
    <row r="1198" spans="1:26" ht="25.5" hidden="1" x14ac:dyDescent="0.2">
      <c r="A1198" s="97">
        <v>101887</v>
      </c>
      <c r="B1198" s="1031">
        <v>101887</v>
      </c>
      <c r="C1198" s="978" t="s">
        <v>883</v>
      </c>
      <c r="D1198" s="595" t="s">
        <v>1421</v>
      </c>
      <c r="E1198" s="596"/>
      <c r="F1198" s="671"/>
      <c r="G1198" s="597"/>
      <c r="H1198" s="682"/>
      <c r="I1198" s="592">
        <v>13.6</v>
      </c>
      <c r="J1198" s="592">
        <f t="shared" si="987"/>
        <v>13.6</v>
      </c>
      <c r="K1198" s="593">
        <f t="shared" si="986"/>
        <v>16.55</v>
      </c>
      <c r="L1198" s="594" t="s">
        <v>19</v>
      </c>
      <c r="M1198" s="92"/>
      <c r="N1198" s="92"/>
      <c r="O1198" s="93">
        <f t="shared" si="988"/>
        <v>0</v>
      </c>
      <c r="P1198" s="93">
        <f t="shared" si="989"/>
        <v>0</v>
      </c>
      <c r="Q1198" s="94"/>
      <c r="R1198" s="92">
        <f t="shared" si="990"/>
        <v>0</v>
      </c>
      <c r="S1198" s="92">
        <f t="shared" si="991"/>
        <v>0</v>
      </c>
      <c r="T1198" s="93">
        <f t="shared" si="992"/>
        <v>0</v>
      </c>
      <c r="U1198" s="95">
        <f t="shared" si="993"/>
        <v>0</v>
      </c>
      <c r="V1198" s="94"/>
      <c r="X1198" s="580" t="str">
        <f t="shared" si="994"/>
        <v/>
      </c>
      <c r="Y1198" s="580" t="str">
        <f t="shared" si="995"/>
        <v/>
      </c>
      <c r="Z1198" s="580" t="str">
        <f t="shared" si="996"/>
        <v/>
      </c>
    </row>
    <row r="1199" spans="1:26" ht="25.5" hidden="1" x14ac:dyDescent="0.2">
      <c r="A1199" s="97">
        <v>101888</v>
      </c>
      <c r="B1199" s="1031">
        <v>101888</v>
      </c>
      <c r="C1199" s="978" t="s">
        <v>883</v>
      </c>
      <c r="D1199" s="595" t="s">
        <v>1422</v>
      </c>
      <c r="E1199" s="596"/>
      <c r="F1199" s="671"/>
      <c r="G1199" s="597"/>
      <c r="H1199" s="682"/>
      <c r="I1199" s="592">
        <v>20.18</v>
      </c>
      <c r="J1199" s="592">
        <f t="shared" si="987"/>
        <v>20.18</v>
      </c>
      <c r="K1199" s="593">
        <f t="shared" si="986"/>
        <v>24.56</v>
      </c>
      <c r="L1199" s="594" t="s">
        <v>19</v>
      </c>
      <c r="M1199" s="92"/>
      <c r="N1199" s="92"/>
      <c r="O1199" s="93">
        <f t="shared" si="988"/>
        <v>0</v>
      </c>
      <c r="P1199" s="93">
        <f t="shared" si="989"/>
        <v>0</v>
      </c>
      <c r="Q1199" s="94"/>
      <c r="R1199" s="92">
        <f t="shared" si="990"/>
        <v>0</v>
      </c>
      <c r="S1199" s="92">
        <f t="shared" si="991"/>
        <v>0</v>
      </c>
      <c r="T1199" s="93">
        <f t="shared" si="992"/>
        <v>0</v>
      </c>
      <c r="U1199" s="95">
        <f t="shared" si="993"/>
        <v>0</v>
      </c>
      <c r="V1199" s="94"/>
      <c r="X1199" s="580" t="str">
        <f t="shared" si="994"/>
        <v/>
      </c>
      <c r="Y1199" s="580" t="str">
        <f t="shared" si="995"/>
        <v/>
      </c>
      <c r="Z1199" s="580" t="str">
        <f t="shared" si="996"/>
        <v/>
      </c>
    </row>
    <row r="1200" spans="1:26" ht="25.5" hidden="1" x14ac:dyDescent="0.2">
      <c r="A1200" s="97">
        <v>101889</v>
      </c>
      <c r="B1200" s="1031">
        <v>101889</v>
      </c>
      <c r="C1200" s="978" t="s">
        <v>883</v>
      </c>
      <c r="D1200" s="595" t="s">
        <v>1423</v>
      </c>
      <c r="E1200" s="596"/>
      <c r="F1200" s="671"/>
      <c r="G1200" s="597"/>
      <c r="H1200" s="682"/>
      <c r="I1200" s="592">
        <v>20.76</v>
      </c>
      <c r="J1200" s="592">
        <f t="shared" si="987"/>
        <v>20.76</v>
      </c>
      <c r="K1200" s="593">
        <f t="shared" si="986"/>
        <v>25.27</v>
      </c>
      <c r="L1200" s="594" t="s">
        <v>19</v>
      </c>
      <c r="M1200" s="92"/>
      <c r="N1200" s="92"/>
      <c r="O1200" s="93">
        <f t="shared" si="988"/>
        <v>0</v>
      </c>
      <c r="P1200" s="93">
        <f t="shared" si="989"/>
        <v>0</v>
      </c>
      <c r="Q1200" s="94"/>
      <c r="R1200" s="92">
        <f t="shared" si="990"/>
        <v>0</v>
      </c>
      <c r="S1200" s="92">
        <f t="shared" si="991"/>
        <v>0</v>
      </c>
      <c r="T1200" s="93">
        <f t="shared" si="992"/>
        <v>0</v>
      </c>
      <c r="U1200" s="95">
        <f t="shared" si="993"/>
        <v>0</v>
      </c>
      <c r="V1200" s="94"/>
      <c r="X1200" s="580" t="str">
        <f t="shared" si="994"/>
        <v/>
      </c>
      <c r="Y1200" s="580" t="str">
        <f t="shared" si="995"/>
        <v/>
      </c>
      <c r="Z1200" s="580" t="str">
        <f t="shared" si="996"/>
        <v/>
      </c>
    </row>
    <row r="1201" spans="1:26" ht="38.25" hidden="1" x14ac:dyDescent="0.2">
      <c r="A1201" s="97">
        <v>101560</v>
      </c>
      <c r="B1201" s="1031">
        <v>101560</v>
      </c>
      <c r="C1201" s="978" t="s">
        <v>883</v>
      </c>
      <c r="D1201" s="595" t="s">
        <v>1424</v>
      </c>
      <c r="E1201" s="596"/>
      <c r="F1201" s="671"/>
      <c r="G1201" s="597"/>
      <c r="H1201" s="682"/>
      <c r="I1201" s="592">
        <v>8.83</v>
      </c>
      <c r="J1201" s="592">
        <f t="shared" si="987"/>
        <v>8.83</v>
      </c>
      <c r="K1201" s="593">
        <f t="shared" si="986"/>
        <v>10.75</v>
      </c>
      <c r="L1201" s="594" t="s">
        <v>19</v>
      </c>
      <c r="M1201" s="92"/>
      <c r="N1201" s="92"/>
      <c r="O1201" s="93">
        <f t="shared" si="988"/>
        <v>0</v>
      </c>
      <c r="P1201" s="93">
        <f t="shared" si="989"/>
        <v>0</v>
      </c>
      <c r="Q1201" s="94"/>
      <c r="R1201" s="92">
        <f t="shared" si="990"/>
        <v>0</v>
      </c>
      <c r="S1201" s="92">
        <f t="shared" si="991"/>
        <v>0</v>
      </c>
      <c r="T1201" s="93">
        <f t="shared" si="992"/>
        <v>0</v>
      </c>
      <c r="U1201" s="95">
        <f t="shared" si="993"/>
        <v>0</v>
      </c>
      <c r="V1201" s="94"/>
      <c r="X1201" s="580" t="str">
        <f t="shared" si="994"/>
        <v/>
      </c>
      <c r="Y1201" s="580" t="str">
        <f t="shared" si="995"/>
        <v/>
      </c>
      <c r="Z1201" s="580" t="str">
        <f t="shared" si="996"/>
        <v/>
      </c>
    </row>
    <row r="1202" spans="1:26" ht="38.25" hidden="1" x14ac:dyDescent="0.2">
      <c r="A1202" s="97">
        <v>101561</v>
      </c>
      <c r="B1202" s="1031">
        <v>101561</v>
      </c>
      <c r="C1202" s="978" t="s">
        <v>883</v>
      </c>
      <c r="D1202" s="595" t="s">
        <v>1425</v>
      </c>
      <c r="E1202" s="596"/>
      <c r="F1202" s="671"/>
      <c r="G1202" s="597"/>
      <c r="H1202" s="682"/>
      <c r="I1202" s="592">
        <v>13.5</v>
      </c>
      <c r="J1202" s="592">
        <f t="shared" si="987"/>
        <v>13.5</v>
      </c>
      <c r="K1202" s="593">
        <f t="shared" si="986"/>
        <v>16.43</v>
      </c>
      <c r="L1202" s="594" t="s">
        <v>19</v>
      </c>
      <c r="M1202" s="92"/>
      <c r="N1202" s="92"/>
      <c r="O1202" s="93">
        <f t="shared" si="988"/>
        <v>0</v>
      </c>
      <c r="P1202" s="93">
        <f t="shared" si="989"/>
        <v>0</v>
      </c>
      <c r="Q1202" s="94"/>
      <c r="R1202" s="92">
        <f t="shared" si="990"/>
        <v>0</v>
      </c>
      <c r="S1202" s="92">
        <f t="shared" si="991"/>
        <v>0</v>
      </c>
      <c r="T1202" s="93">
        <f t="shared" si="992"/>
        <v>0</v>
      </c>
      <c r="U1202" s="95">
        <f t="shared" si="993"/>
        <v>0</v>
      </c>
      <c r="V1202" s="94"/>
      <c r="X1202" s="580" t="str">
        <f t="shared" si="994"/>
        <v/>
      </c>
      <c r="Y1202" s="580" t="str">
        <f t="shared" si="995"/>
        <v/>
      </c>
      <c r="Z1202" s="580" t="str">
        <f t="shared" si="996"/>
        <v/>
      </c>
    </row>
    <row r="1203" spans="1:26" ht="38.25" hidden="1" x14ac:dyDescent="0.2">
      <c r="A1203" s="97">
        <v>101562</v>
      </c>
      <c r="B1203" s="1031">
        <v>101562</v>
      </c>
      <c r="C1203" s="978" t="s">
        <v>883</v>
      </c>
      <c r="D1203" s="595" t="s">
        <v>1426</v>
      </c>
      <c r="E1203" s="596"/>
      <c r="F1203" s="671"/>
      <c r="G1203" s="597"/>
      <c r="H1203" s="682"/>
      <c r="I1203" s="592">
        <v>20.52</v>
      </c>
      <c r="J1203" s="592">
        <f t="shared" si="987"/>
        <v>20.52</v>
      </c>
      <c r="K1203" s="593">
        <f t="shared" si="986"/>
        <v>24.97</v>
      </c>
      <c r="L1203" s="594" t="s">
        <v>19</v>
      </c>
      <c r="M1203" s="92"/>
      <c r="N1203" s="92"/>
      <c r="O1203" s="93">
        <f t="shared" si="988"/>
        <v>0</v>
      </c>
      <c r="P1203" s="93">
        <f t="shared" si="989"/>
        <v>0</v>
      </c>
      <c r="Q1203" s="94"/>
      <c r="R1203" s="92">
        <f t="shared" si="990"/>
        <v>0</v>
      </c>
      <c r="S1203" s="92">
        <f t="shared" si="991"/>
        <v>0</v>
      </c>
      <c r="T1203" s="93">
        <f t="shared" si="992"/>
        <v>0</v>
      </c>
      <c r="U1203" s="95">
        <f t="shared" si="993"/>
        <v>0</v>
      </c>
      <c r="V1203" s="94"/>
      <c r="X1203" s="580" t="str">
        <f t="shared" si="994"/>
        <v/>
      </c>
      <c r="Y1203" s="580" t="str">
        <f t="shared" si="995"/>
        <v/>
      </c>
      <c r="Z1203" s="580" t="str">
        <f t="shared" si="996"/>
        <v/>
      </c>
    </row>
    <row r="1204" spans="1:26" ht="38.25" hidden="1" x14ac:dyDescent="0.2">
      <c r="A1204" s="97">
        <v>101563</v>
      </c>
      <c r="B1204" s="1031">
        <v>101563</v>
      </c>
      <c r="C1204" s="978" t="s">
        <v>883</v>
      </c>
      <c r="D1204" s="595" t="s">
        <v>1427</v>
      </c>
      <c r="E1204" s="596"/>
      <c r="F1204" s="671"/>
      <c r="G1204" s="597"/>
      <c r="H1204" s="682"/>
      <c r="I1204" s="592">
        <v>28.27</v>
      </c>
      <c r="J1204" s="592">
        <f t="shared" si="987"/>
        <v>28.27</v>
      </c>
      <c r="K1204" s="593">
        <f t="shared" si="986"/>
        <v>34.409999999999997</v>
      </c>
      <c r="L1204" s="594" t="s">
        <v>19</v>
      </c>
      <c r="M1204" s="92"/>
      <c r="N1204" s="92"/>
      <c r="O1204" s="93">
        <f t="shared" si="988"/>
        <v>0</v>
      </c>
      <c r="P1204" s="93">
        <f t="shared" si="989"/>
        <v>0</v>
      </c>
      <c r="Q1204" s="94"/>
      <c r="R1204" s="92">
        <f t="shared" si="990"/>
        <v>0</v>
      </c>
      <c r="S1204" s="92">
        <f t="shared" si="991"/>
        <v>0</v>
      </c>
      <c r="T1204" s="93">
        <f t="shared" si="992"/>
        <v>0</v>
      </c>
      <c r="U1204" s="95">
        <f t="shared" si="993"/>
        <v>0</v>
      </c>
      <c r="V1204" s="94"/>
      <c r="X1204" s="580" t="str">
        <f t="shared" si="994"/>
        <v/>
      </c>
      <c r="Y1204" s="580" t="str">
        <f t="shared" si="995"/>
        <v/>
      </c>
      <c r="Z1204" s="580" t="str">
        <f t="shared" si="996"/>
        <v/>
      </c>
    </row>
    <row r="1205" spans="1:26" ht="38.25" hidden="1" x14ac:dyDescent="0.2">
      <c r="A1205" s="97">
        <v>101564</v>
      </c>
      <c r="B1205" s="1031">
        <v>101564</v>
      </c>
      <c r="C1205" s="978" t="s">
        <v>883</v>
      </c>
      <c r="D1205" s="595" t="s">
        <v>1428</v>
      </c>
      <c r="E1205" s="596"/>
      <c r="F1205" s="671"/>
      <c r="G1205" s="597"/>
      <c r="H1205" s="682"/>
      <c r="I1205" s="592">
        <v>40.28</v>
      </c>
      <c r="J1205" s="592">
        <f t="shared" si="987"/>
        <v>40.28</v>
      </c>
      <c r="K1205" s="593">
        <f t="shared" si="986"/>
        <v>49.02</v>
      </c>
      <c r="L1205" s="594" t="s">
        <v>19</v>
      </c>
      <c r="M1205" s="92"/>
      <c r="N1205" s="92"/>
      <c r="O1205" s="93">
        <f t="shared" si="988"/>
        <v>0</v>
      </c>
      <c r="P1205" s="93">
        <f t="shared" si="989"/>
        <v>0</v>
      </c>
      <c r="Q1205" s="94"/>
      <c r="R1205" s="92">
        <f t="shared" si="990"/>
        <v>0</v>
      </c>
      <c r="S1205" s="92">
        <f t="shared" si="991"/>
        <v>0</v>
      </c>
      <c r="T1205" s="93">
        <f t="shared" si="992"/>
        <v>0</v>
      </c>
      <c r="U1205" s="95">
        <f t="shared" si="993"/>
        <v>0</v>
      </c>
      <c r="V1205" s="94"/>
      <c r="X1205" s="580" t="str">
        <f t="shared" si="994"/>
        <v/>
      </c>
      <c r="Y1205" s="580" t="str">
        <f t="shared" si="995"/>
        <v/>
      </c>
      <c r="Z1205" s="580" t="str">
        <f t="shared" si="996"/>
        <v/>
      </c>
    </row>
    <row r="1206" spans="1:26" ht="38.25" hidden="1" x14ac:dyDescent="0.2">
      <c r="A1206" s="97">
        <v>101565</v>
      </c>
      <c r="B1206" s="1031">
        <v>101565</v>
      </c>
      <c r="C1206" s="978" t="s">
        <v>883</v>
      </c>
      <c r="D1206" s="595" t="s">
        <v>1429</v>
      </c>
      <c r="E1206" s="596"/>
      <c r="F1206" s="671"/>
      <c r="G1206" s="597"/>
      <c r="H1206" s="682"/>
      <c r="I1206" s="592">
        <v>55.76</v>
      </c>
      <c r="J1206" s="592">
        <f t="shared" si="987"/>
        <v>55.76</v>
      </c>
      <c r="K1206" s="593">
        <f t="shared" si="986"/>
        <v>67.87</v>
      </c>
      <c r="L1206" s="594" t="s">
        <v>19</v>
      </c>
      <c r="M1206" s="92"/>
      <c r="N1206" s="92"/>
      <c r="O1206" s="93">
        <f t="shared" si="988"/>
        <v>0</v>
      </c>
      <c r="P1206" s="93">
        <f t="shared" si="989"/>
        <v>0</v>
      </c>
      <c r="Q1206" s="94"/>
      <c r="R1206" s="92">
        <f t="shared" si="990"/>
        <v>0</v>
      </c>
      <c r="S1206" s="92">
        <f t="shared" si="991"/>
        <v>0</v>
      </c>
      <c r="T1206" s="93">
        <f t="shared" si="992"/>
        <v>0</v>
      </c>
      <c r="U1206" s="95">
        <f t="shared" si="993"/>
        <v>0</v>
      </c>
      <c r="V1206" s="94"/>
      <c r="X1206" s="580" t="str">
        <f t="shared" si="994"/>
        <v/>
      </c>
      <c r="Y1206" s="580" t="str">
        <f t="shared" si="995"/>
        <v/>
      </c>
      <c r="Z1206" s="580" t="str">
        <f t="shared" si="996"/>
        <v/>
      </c>
    </row>
    <row r="1207" spans="1:26" ht="38.25" hidden="1" x14ac:dyDescent="0.2">
      <c r="A1207" s="97">
        <v>101567</v>
      </c>
      <c r="B1207" s="1031">
        <v>101567</v>
      </c>
      <c r="C1207" s="978" t="s">
        <v>883</v>
      </c>
      <c r="D1207" s="595" t="s">
        <v>1430</v>
      </c>
      <c r="E1207" s="596"/>
      <c r="F1207" s="671"/>
      <c r="G1207" s="597"/>
      <c r="H1207" s="682"/>
      <c r="I1207" s="592">
        <v>74.06</v>
      </c>
      <c r="J1207" s="592">
        <f t="shared" si="987"/>
        <v>74.06</v>
      </c>
      <c r="K1207" s="593">
        <f t="shared" si="986"/>
        <v>90.14</v>
      </c>
      <c r="L1207" s="594" t="s">
        <v>19</v>
      </c>
      <c r="M1207" s="92"/>
      <c r="N1207" s="92"/>
      <c r="O1207" s="93">
        <f t="shared" si="988"/>
        <v>0</v>
      </c>
      <c r="P1207" s="93">
        <f t="shared" si="989"/>
        <v>0</v>
      </c>
      <c r="Q1207" s="94"/>
      <c r="R1207" s="92">
        <f t="shared" si="990"/>
        <v>0</v>
      </c>
      <c r="S1207" s="92">
        <f t="shared" si="991"/>
        <v>0</v>
      </c>
      <c r="T1207" s="93">
        <f t="shared" si="992"/>
        <v>0</v>
      </c>
      <c r="U1207" s="95">
        <f t="shared" si="993"/>
        <v>0</v>
      </c>
      <c r="V1207" s="94"/>
      <c r="X1207" s="580" t="str">
        <f t="shared" si="994"/>
        <v/>
      </c>
      <c r="Y1207" s="580" t="str">
        <f t="shared" si="995"/>
        <v/>
      </c>
      <c r="Z1207" s="580" t="str">
        <f t="shared" si="996"/>
        <v/>
      </c>
    </row>
    <row r="1208" spans="1:26" ht="38.25" hidden="1" x14ac:dyDescent="0.2">
      <c r="A1208" s="97">
        <v>101568</v>
      </c>
      <c r="B1208" s="1031">
        <v>101568</v>
      </c>
      <c r="C1208" s="978" t="s">
        <v>883</v>
      </c>
      <c r="D1208" s="595" t="s">
        <v>1431</v>
      </c>
      <c r="E1208" s="596"/>
      <c r="F1208" s="671"/>
      <c r="G1208" s="597"/>
      <c r="H1208" s="682"/>
      <c r="I1208" s="592">
        <v>96.39</v>
      </c>
      <c r="J1208" s="592">
        <f t="shared" si="987"/>
        <v>96.39</v>
      </c>
      <c r="K1208" s="593">
        <f t="shared" si="986"/>
        <v>117.32</v>
      </c>
      <c r="L1208" s="594" t="s">
        <v>19</v>
      </c>
      <c r="M1208" s="92"/>
      <c r="N1208" s="92"/>
      <c r="O1208" s="93">
        <f t="shared" si="988"/>
        <v>0</v>
      </c>
      <c r="P1208" s="93">
        <f t="shared" si="989"/>
        <v>0</v>
      </c>
      <c r="Q1208" s="94"/>
      <c r="R1208" s="92">
        <f t="shared" si="990"/>
        <v>0</v>
      </c>
      <c r="S1208" s="92">
        <f t="shared" si="991"/>
        <v>0</v>
      </c>
      <c r="T1208" s="93">
        <f t="shared" si="992"/>
        <v>0</v>
      </c>
      <c r="U1208" s="95">
        <f t="shared" si="993"/>
        <v>0</v>
      </c>
      <c r="V1208" s="94"/>
      <c r="X1208" s="580" t="str">
        <f t="shared" si="994"/>
        <v/>
      </c>
      <c r="Y1208" s="580" t="str">
        <f t="shared" si="995"/>
        <v/>
      </c>
      <c r="Z1208" s="580" t="str">
        <f t="shared" si="996"/>
        <v/>
      </c>
    </row>
    <row r="1209" spans="1:26" ht="25.5" hidden="1" x14ac:dyDescent="0.2">
      <c r="A1209" s="97">
        <v>95777</v>
      </c>
      <c r="B1209" s="1031">
        <v>95777</v>
      </c>
      <c r="C1209" s="978" t="s">
        <v>883</v>
      </c>
      <c r="D1209" s="595" t="s">
        <v>1432</v>
      </c>
      <c r="E1209" s="596"/>
      <c r="F1209" s="671"/>
      <c r="G1209" s="597"/>
      <c r="H1209" s="682"/>
      <c r="I1209" s="592">
        <v>25.98</v>
      </c>
      <c r="J1209" s="592">
        <f t="shared" si="987"/>
        <v>25.98</v>
      </c>
      <c r="K1209" s="593">
        <f t="shared" si="986"/>
        <v>31.62</v>
      </c>
      <c r="L1209" s="594" t="s">
        <v>21</v>
      </c>
      <c r="M1209" s="92"/>
      <c r="N1209" s="92"/>
      <c r="O1209" s="93">
        <f t="shared" si="988"/>
        <v>0</v>
      </c>
      <c r="P1209" s="93">
        <f t="shared" si="989"/>
        <v>0</v>
      </c>
      <c r="Q1209" s="94"/>
      <c r="R1209" s="92">
        <f t="shared" si="990"/>
        <v>0</v>
      </c>
      <c r="S1209" s="92">
        <f t="shared" si="991"/>
        <v>0</v>
      </c>
      <c r="T1209" s="93">
        <f t="shared" si="992"/>
        <v>0</v>
      </c>
      <c r="U1209" s="95">
        <f t="shared" si="993"/>
        <v>0</v>
      </c>
      <c r="V1209" s="94"/>
      <c r="X1209" s="580" t="str">
        <f t="shared" si="994"/>
        <v/>
      </c>
      <c r="Y1209" s="580" t="str">
        <f t="shared" si="995"/>
        <v/>
      </c>
      <c r="Z1209" s="580" t="str">
        <f t="shared" si="996"/>
        <v/>
      </c>
    </row>
    <row r="1210" spans="1:26" ht="25.5" hidden="1" x14ac:dyDescent="0.2">
      <c r="A1210" s="97">
        <v>95778</v>
      </c>
      <c r="B1210" s="1031">
        <v>95778</v>
      </c>
      <c r="C1210" s="978" t="s">
        <v>883</v>
      </c>
      <c r="D1210" s="595" t="s">
        <v>1433</v>
      </c>
      <c r="E1210" s="596"/>
      <c r="F1210" s="671"/>
      <c r="G1210" s="597"/>
      <c r="H1210" s="682"/>
      <c r="I1210" s="592">
        <v>26.58</v>
      </c>
      <c r="J1210" s="592">
        <f t="shared" si="987"/>
        <v>26.58</v>
      </c>
      <c r="K1210" s="593">
        <f t="shared" si="986"/>
        <v>32.35</v>
      </c>
      <c r="L1210" s="594" t="s">
        <v>21</v>
      </c>
      <c r="M1210" s="92"/>
      <c r="N1210" s="92"/>
      <c r="O1210" s="93">
        <f t="shared" si="988"/>
        <v>0</v>
      </c>
      <c r="P1210" s="93">
        <f t="shared" si="989"/>
        <v>0</v>
      </c>
      <c r="Q1210" s="94"/>
      <c r="R1210" s="92">
        <f t="shared" si="990"/>
        <v>0</v>
      </c>
      <c r="S1210" s="92">
        <f t="shared" si="991"/>
        <v>0</v>
      </c>
      <c r="T1210" s="93">
        <f t="shared" si="992"/>
        <v>0</v>
      </c>
      <c r="U1210" s="95">
        <f t="shared" si="993"/>
        <v>0</v>
      </c>
      <c r="V1210" s="94"/>
      <c r="X1210" s="580" t="str">
        <f t="shared" si="994"/>
        <v/>
      </c>
      <c r="Y1210" s="580" t="str">
        <f t="shared" si="995"/>
        <v/>
      </c>
      <c r="Z1210" s="580" t="str">
        <f t="shared" si="996"/>
        <v/>
      </c>
    </row>
    <row r="1211" spans="1:26" ht="25.5" hidden="1" x14ac:dyDescent="0.2">
      <c r="A1211" s="97">
        <v>95779</v>
      </c>
      <c r="B1211" s="1031">
        <v>95779</v>
      </c>
      <c r="C1211" s="978" t="s">
        <v>883</v>
      </c>
      <c r="D1211" s="595" t="s">
        <v>1434</v>
      </c>
      <c r="E1211" s="596"/>
      <c r="F1211" s="671"/>
      <c r="G1211" s="597"/>
      <c r="H1211" s="682"/>
      <c r="I1211" s="592">
        <v>24.56</v>
      </c>
      <c r="J1211" s="592">
        <f t="shared" si="987"/>
        <v>24.56</v>
      </c>
      <c r="K1211" s="593">
        <f t="shared" si="986"/>
        <v>29.89</v>
      </c>
      <c r="L1211" s="594" t="s">
        <v>21</v>
      </c>
      <c r="M1211" s="92"/>
      <c r="N1211" s="92"/>
      <c r="O1211" s="93">
        <f t="shared" si="988"/>
        <v>0</v>
      </c>
      <c r="P1211" s="93">
        <f t="shared" si="989"/>
        <v>0</v>
      </c>
      <c r="Q1211" s="94"/>
      <c r="R1211" s="92">
        <f t="shared" si="990"/>
        <v>0</v>
      </c>
      <c r="S1211" s="92">
        <f t="shared" si="991"/>
        <v>0</v>
      </c>
      <c r="T1211" s="93">
        <f t="shared" si="992"/>
        <v>0</v>
      </c>
      <c r="U1211" s="95">
        <f t="shared" si="993"/>
        <v>0</v>
      </c>
      <c r="V1211" s="94"/>
      <c r="X1211" s="580" t="str">
        <f t="shared" si="994"/>
        <v/>
      </c>
      <c r="Y1211" s="580" t="str">
        <f t="shared" si="995"/>
        <v/>
      </c>
      <c r="Z1211" s="580" t="str">
        <f t="shared" si="996"/>
        <v/>
      </c>
    </row>
    <row r="1212" spans="1:26" ht="25.5" hidden="1" x14ac:dyDescent="0.2">
      <c r="A1212" s="97">
        <v>95780</v>
      </c>
      <c r="B1212" s="1031">
        <v>95780</v>
      </c>
      <c r="C1212" s="978" t="s">
        <v>883</v>
      </c>
      <c r="D1212" s="595" t="s">
        <v>1435</v>
      </c>
      <c r="E1212" s="596"/>
      <c r="F1212" s="671"/>
      <c r="G1212" s="597"/>
      <c r="H1212" s="682"/>
      <c r="I1212" s="592">
        <v>29.41</v>
      </c>
      <c r="J1212" s="592">
        <f t="shared" si="987"/>
        <v>29.41</v>
      </c>
      <c r="K1212" s="593">
        <f t="shared" si="986"/>
        <v>35.79</v>
      </c>
      <c r="L1212" s="594" t="s">
        <v>21</v>
      </c>
      <c r="M1212" s="92"/>
      <c r="N1212" s="92"/>
      <c r="O1212" s="93">
        <f t="shared" si="988"/>
        <v>0</v>
      </c>
      <c r="P1212" s="93">
        <f t="shared" si="989"/>
        <v>0</v>
      </c>
      <c r="Q1212" s="94"/>
      <c r="R1212" s="92">
        <f t="shared" si="990"/>
        <v>0</v>
      </c>
      <c r="S1212" s="92">
        <f t="shared" si="991"/>
        <v>0</v>
      </c>
      <c r="T1212" s="93">
        <f t="shared" si="992"/>
        <v>0</v>
      </c>
      <c r="U1212" s="95">
        <f t="shared" si="993"/>
        <v>0</v>
      </c>
      <c r="V1212" s="94"/>
      <c r="X1212" s="580" t="str">
        <f t="shared" si="994"/>
        <v/>
      </c>
      <c r="Y1212" s="580" t="str">
        <f t="shared" si="995"/>
        <v/>
      </c>
      <c r="Z1212" s="580" t="str">
        <f t="shared" si="996"/>
        <v/>
      </c>
    </row>
    <row r="1213" spans="1:26" ht="25.5" hidden="1" x14ac:dyDescent="0.2">
      <c r="A1213" s="97">
        <v>95781</v>
      </c>
      <c r="B1213" s="1031">
        <v>95781</v>
      </c>
      <c r="C1213" s="978" t="s">
        <v>883</v>
      </c>
      <c r="D1213" s="595" t="s">
        <v>1436</v>
      </c>
      <c r="E1213" s="596"/>
      <c r="F1213" s="671"/>
      <c r="G1213" s="597"/>
      <c r="H1213" s="682"/>
      <c r="I1213" s="592">
        <v>29.86</v>
      </c>
      <c r="J1213" s="592">
        <f t="shared" si="987"/>
        <v>29.86</v>
      </c>
      <c r="K1213" s="593">
        <f t="shared" si="986"/>
        <v>36.340000000000003</v>
      </c>
      <c r="L1213" s="594" t="s">
        <v>21</v>
      </c>
      <c r="M1213" s="92"/>
      <c r="N1213" s="92"/>
      <c r="O1213" s="93">
        <f t="shared" si="988"/>
        <v>0</v>
      </c>
      <c r="P1213" s="93">
        <f t="shared" si="989"/>
        <v>0</v>
      </c>
      <c r="Q1213" s="94"/>
      <c r="R1213" s="92">
        <f t="shared" si="990"/>
        <v>0</v>
      </c>
      <c r="S1213" s="92">
        <f t="shared" si="991"/>
        <v>0</v>
      </c>
      <c r="T1213" s="93">
        <f t="shared" si="992"/>
        <v>0</v>
      </c>
      <c r="U1213" s="95">
        <f t="shared" si="993"/>
        <v>0</v>
      </c>
      <c r="V1213" s="94"/>
      <c r="X1213" s="580" t="str">
        <f t="shared" si="994"/>
        <v/>
      </c>
      <c r="Y1213" s="580" t="str">
        <f t="shared" si="995"/>
        <v/>
      </c>
      <c r="Z1213" s="580" t="str">
        <f t="shared" si="996"/>
        <v/>
      </c>
    </row>
    <row r="1214" spans="1:26" ht="25.5" hidden="1" x14ac:dyDescent="0.2">
      <c r="A1214" s="97">
        <v>95782</v>
      </c>
      <c r="B1214" s="1031">
        <v>95782</v>
      </c>
      <c r="C1214" s="978" t="s">
        <v>883</v>
      </c>
      <c r="D1214" s="595" t="s">
        <v>1437</v>
      </c>
      <c r="E1214" s="596"/>
      <c r="F1214" s="671"/>
      <c r="G1214" s="597"/>
      <c r="H1214" s="682"/>
      <c r="I1214" s="592">
        <v>31.03</v>
      </c>
      <c r="J1214" s="592">
        <f t="shared" si="987"/>
        <v>31.03</v>
      </c>
      <c r="K1214" s="593">
        <f t="shared" si="986"/>
        <v>37.770000000000003</v>
      </c>
      <c r="L1214" s="594" t="s">
        <v>21</v>
      </c>
      <c r="M1214" s="92"/>
      <c r="N1214" s="92"/>
      <c r="O1214" s="93">
        <f t="shared" si="988"/>
        <v>0</v>
      </c>
      <c r="P1214" s="93">
        <f t="shared" si="989"/>
        <v>0</v>
      </c>
      <c r="Q1214" s="94"/>
      <c r="R1214" s="92">
        <f t="shared" si="990"/>
        <v>0</v>
      </c>
      <c r="S1214" s="92">
        <f t="shared" si="991"/>
        <v>0</v>
      </c>
      <c r="T1214" s="93">
        <f t="shared" si="992"/>
        <v>0</v>
      </c>
      <c r="U1214" s="95">
        <f t="shared" si="993"/>
        <v>0</v>
      </c>
      <c r="V1214" s="94"/>
      <c r="X1214" s="580" t="str">
        <f t="shared" si="994"/>
        <v/>
      </c>
      <c r="Y1214" s="580" t="str">
        <f t="shared" si="995"/>
        <v/>
      </c>
      <c r="Z1214" s="580" t="str">
        <f t="shared" si="996"/>
        <v/>
      </c>
    </row>
    <row r="1215" spans="1:26" ht="25.5" hidden="1" x14ac:dyDescent="0.2">
      <c r="A1215" s="97">
        <v>95785</v>
      </c>
      <c r="B1215" s="1031">
        <v>95785</v>
      </c>
      <c r="C1215" s="978" t="s">
        <v>883</v>
      </c>
      <c r="D1215" s="595" t="s">
        <v>1438</v>
      </c>
      <c r="E1215" s="596"/>
      <c r="F1215" s="671"/>
      <c r="G1215" s="597"/>
      <c r="H1215" s="682"/>
      <c r="I1215" s="592">
        <v>35.15</v>
      </c>
      <c r="J1215" s="592">
        <f t="shared" si="987"/>
        <v>35.15</v>
      </c>
      <c r="K1215" s="593">
        <f t="shared" si="986"/>
        <v>42.78</v>
      </c>
      <c r="L1215" s="594" t="s">
        <v>21</v>
      </c>
      <c r="M1215" s="92"/>
      <c r="N1215" s="92"/>
      <c r="O1215" s="93">
        <f t="shared" si="988"/>
        <v>0</v>
      </c>
      <c r="P1215" s="93">
        <f t="shared" si="989"/>
        <v>0</v>
      </c>
      <c r="Q1215" s="94"/>
      <c r="R1215" s="92">
        <f t="shared" si="990"/>
        <v>0</v>
      </c>
      <c r="S1215" s="92">
        <f t="shared" si="991"/>
        <v>0</v>
      </c>
      <c r="T1215" s="93">
        <f t="shared" si="992"/>
        <v>0</v>
      </c>
      <c r="U1215" s="95">
        <f t="shared" si="993"/>
        <v>0</v>
      </c>
      <c r="V1215" s="94"/>
      <c r="X1215" s="580" t="str">
        <f t="shared" si="994"/>
        <v/>
      </c>
      <c r="Y1215" s="580" t="str">
        <f t="shared" si="995"/>
        <v/>
      </c>
      <c r="Z1215" s="580" t="str">
        <f t="shared" si="996"/>
        <v/>
      </c>
    </row>
    <row r="1216" spans="1:26" ht="25.5" hidden="1" x14ac:dyDescent="0.2">
      <c r="A1216" s="97">
        <v>95787</v>
      </c>
      <c r="B1216" s="1031">
        <v>95787</v>
      </c>
      <c r="C1216" s="978" t="s">
        <v>883</v>
      </c>
      <c r="D1216" s="595" t="s">
        <v>1439</v>
      </c>
      <c r="E1216" s="596"/>
      <c r="F1216" s="671"/>
      <c r="G1216" s="597"/>
      <c r="H1216" s="682"/>
      <c r="I1216" s="592">
        <v>26.35</v>
      </c>
      <c r="J1216" s="592">
        <f t="shared" si="987"/>
        <v>26.35</v>
      </c>
      <c r="K1216" s="593">
        <f t="shared" si="986"/>
        <v>32.07</v>
      </c>
      <c r="L1216" s="594" t="s">
        <v>21</v>
      </c>
      <c r="M1216" s="92"/>
      <c r="N1216" s="92"/>
      <c r="O1216" s="93">
        <f t="shared" si="988"/>
        <v>0</v>
      </c>
      <c r="P1216" s="93">
        <f t="shared" si="989"/>
        <v>0</v>
      </c>
      <c r="Q1216" s="94"/>
      <c r="R1216" s="92">
        <f t="shared" si="990"/>
        <v>0</v>
      </c>
      <c r="S1216" s="92">
        <f t="shared" si="991"/>
        <v>0</v>
      </c>
      <c r="T1216" s="93">
        <f t="shared" si="992"/>
        <v>0</v>
      </c>
      <c r="U1216" s="95">
        <f t="shared" si="993"/>
        <v>0</v>
      </c>
      <c r="V1216" s="94"/>
      <c r="X1216" s="580" t="str">
        <f t="shared" si="994"/>
        <v/>
      </c>
      <c r="Y1216" s="580" t="str">
        <f t="shared" si="995"/>
        <v/>
      </c>
      <c r="Z1216" s="580" t="str">
        <f t="shared" si="996"/>
        <v/>
      </c>
    </row>
    <row r="1217" spans="1:26" ht="25.5" hidden="1" x14ac:dyDescent="0.2">
      <c r="A1217" s="97">
        <v>95789</v>
      </c>
      <c r="B1217" s="1031">
        <v>95789</v>
      </c>
      <c r="C1217" s="978" t="s">
        <v>883</v>
      </c>
      <c r="D1217" s="595" t="s">
        <v>1440</v>
      </c>
      <c r="E1217" s="596"/>
      <c r="F1217" s="671"/>
      <c r="G1217" s="597"/>
      <c r="H1217" s="682"/>
      <c r="I1217" s="592">
        <v>32.380000000000003</v>
      </c>
      <c r="J1217" s="592">
        <f t="shared" si="987"/>
        <v>32.380000000000003</v>
      </c>
      <c r="K1217" s="593">
        <f t="shared" si="986"/>
        <v>39.409999999999997</v>
      </c>
      <c r="L1217" s="594" t="s">
        <v>21</v>
      </c>
      <c r="M1217" s="92"/>
      <c r="N1217" s="92"/>
      <c r="O1217" s="93">
        <f t="shared" si="988"/>
        <v>0</v>
      </c>
      <c r="P1217" s="93">
        <f t="shared" si="989"/>
        <v>0</v>
      </c>
      <c r="Q1217" s="94"/>
      <c r="R1217" s="92">
        <f t="shared" si="990"/>
        <v>0</v>
      </c>
      <c r="S1217" s="92">
        <f t="shared" si="991"/>
        <v>0</v>
      </c>
      <c r="T1217" s="93">
        <f t="shared" si="992"/>
        <v>0</v>
      </c>
      <c r="U1217" s="95">
        <f t="shared" si="993"/>
        <v>0</v>
      </c>
      <c r="V1217" s="94"/>
      <c r="X1217" s="580" t="str">
        <f t="shared" si="994"/>
        <v/>
      </c>
      <c r="Y1217" s="580" t="str">
        <f t="shared" si="995"/>
        <v/>
      </c>
      <c r="Z1217" s="580" t="str">
        <f t="shared" si="996"/>
        <v/>
      </c>
    </row>
    <row r="1218" spans="1:26" ht="25.5" hidden="1" x14ac:dyDescent="0.2">
      <c r="A1218" s="97">
        <v>95791</v>
      </c>
      <c r="B1218" s="1031">
        <v>95791</v>
      </c>
      <c r="C1218" s="978" t="s">
        <v>883</v>
      </c>
      <c r="D1218" s="595" t="s">
        <v>1441</v>
      </c>
      <c r="E1218" s="596"/>
      <c r="F1218" s="671"/>
      <c r="G1218" s="597"/>
      <c r="H1218" s="682"/>
      <c r="I1218" s="592">
        <v>41.36</v>
      </c>
      <c r="J1218" s="592">
        <f t="shared" si="987"/>
        <v>41.36</v>
      </c>
      <c r="K1218" s="593">
        <f t="shared" si="986"/>
        <v>50.34</v>
      </c>
      <c r="L1218" s="594" t="s">
        <v>21</v>
      </c>
      <c r="M1218" s="92"/>
      <c r="N1218" s="92"/>
      <c r="O1218" s="93">
        <f t="shared" si="988"/>
        <v>0</v>
      </c>
      <c r="P1218" s="93">
        <f t="shared" si="989"/>
        <v>0</v>
      </c>
      <c r="Q1218" s="94"/>
      <c r="R1218" s="92">
        <f t="shared" si="990"/>
        <v>0</v>
      </c>
      <c r="S1218" s="92">
        <f t="shared" si="991"/>
        <v>0</v>
      </c>
      <c r="T1218" s="93">
        <f t="shared" si="992"/>
        <v>0</v>
      </c>
      <c r="U1218" s="95">
        <f t="shared" si="993"/>
        <v>0</v>
      </c>
      <c r="V1218" s="94"/>
      <c r="X1218" s="580" t="str">
        <f t="shared" si="994"/>
        <v/>
      </c>
      <c r="Y1218" s="580" t="str">
        <f t="shared" si="995"/>
        <v/>
      </c>
      <c r="Z1218" s="580" t="str">
        <f t="shared" si="996"/>
        <v/>
      </c>
    </row>
    <row r="1219" spans="1:26" ht="25.5" hidden="1" x14ac:dyDescent="0.2">
      <c r="A1219" s="97">
        <v>95795</v>
      </c>
      <c r="B1219" s="1031">
        <v>95795</v>
      </c>
      <c r="C1219" s="978" t="s">
        <v>883</v>
      </c>
      <c r="D1219" s="595" t="s">
        <v>1442</v>
      </c>
      <c r="E1219" s="596"/>
      <c r="F1219" s="671"/>
      <c r="G1219" s="597"/>
      <c r="H1219" s="682"/>
      <c r="I1219" s="592">
        <v>30.42</v>
      </c>
      <c r="J1219" s="592">
        <f t="shared" si="987"/>
        <v>30.42</v>
      </c>
      <c r="K1219" s="593">
        <f t="shared" si="986"/>
        <v>37.020000000000003</v>
      </c>
      <c r="L1219" s="594" t="s">
        <v>21</v>
      </c>
      <c r="M1219" s="92"/>
      <c r="N1219" s="92"/>
      <c r="O1219" s="93">
        <f t="shared" si="988"/>
        <v>0</v>
      </c>
      <c r="P1219" s="93">
        <f t="shared" si="989"/>
        <v>0</v>
      </c>
      <c r="Q1219" s="94"/>
      <c r="R1219" s="92">
        <f t="shared" si="990"/>
        <v>0</v>
      </c>
      <c r="S1219" s="92">
        <f t="shared" si="991"/>
        <v>0</v>
      </c>
      <c r="T1219" s="93">
        <f t="shared" si="992"/>
        <v>0</v>
      </c>
      <c r="U1219" s="95">
        <f t="shared" si="993"/>
        <v>0</v>
      </c>
      <c r="V1219" s="94"/>
      <c r="X1219" s="580" t="str">
        <f t="shared" si="994"/>
        <v/>
      </c>
      <c r="Y1219" s="580" t="str">
        <f t="shared" si="995"/>
        <v/>
      </c>
      <c r="Z1219" s="580" t="str">
        <f t="shared" si="996"/>
        <v/>
      </c>
    </row>
    <row r="1220" spans="1:26" ht="25.5" hidden="1" x14ac:dyDescent="0.2">
      <c r="A1220" s="97">
        <v>95796</v>
      </c>
      <c r="B1220" s="1031">
        <v>95796</v>
      </c>
      <c r="C1220" s="978" t="s">
        <v>883</v>
      </c>
      <c r="D1220" s="595" t="s">
        <v>1443</v>
      </c>
      <c r="E1220" s="596"/>
      <c r="F1220" s="671"/>
      <c r="G1220" s="597"/>
      <c r="H1220" s="682"/>
      <c r="I1220" s="592">
        <v>38.090000000000003</v>
      </c>
      <c r="J1220" s="592">
        <f t="shared" si="987"/>
        <v>38.090000000000003</v>
      </c>
      <c r="K1220" s="593">
        <f t="shared" si="986"/>
        <v>46.36</v>
      </c>
      <c r="L1220" s="594" t="s">
        <v>21</v>
      </c>
      <c r="M1220" s="92"/>
      <c r="N1220" s="92"/>
      <c r="O1220" s="93">
        <f t="shared" si="988"/>
        <v>0</v>
      </c>
      <c r="P1220" s="93">
        <f t="shared" si="989"/>
        <v>0</v>
      </c>
      <c r="Q1220" s="94"/>
      <c r="R1220" s="92">
        <f t="shared" si="990"/>
        <v>0</v>
      </c>
      <c r="S1220" s="92">
        <f t="shared" si="991"/>
        <v>0</v>
      </c>
      <c r="T1220" s="93">
        <f t="shared" si="992"/>
        <v>0</v>
      </c>
      <c r="U1220" s="95">
        <f t="shared" si="993"/>
        <v>0</v>
      </c>
      <c r="V1220" s="94"/>
      <c r="X1220" s="580" t="str">
        <f t="shared" si="994"/>
        <v/>
      </c>
      <c r="Y1220" s="580" t="str">
        <f t="shared" si="995"/>
        <v/>
      </c>
      <c r="Z1220" s="580" t="str">
        <f t="shared" si="996"/>
        <v/>
      </c>
    </row>
    <row r="1221" spans="1:26" ht="25.5" hidden="1" x14ac:dyDescent="0.2">
      <c r="A1221" s="97">
        <v>95797</v>
      </c>
      <c r="B1221" s="1031">
        <v>95797</v>
      </c>
      <c r="C1221" s="978" t="s">
        <v>883</v>
      </c>
      <c r="D1221" s="595" t="s">
        <v>1444</v>
      </c>
      <c r="E1221" s="596"/>
      <c r="F1221" s="671"/>
      <c r="G1221" s="597"/>
      <c r="H1221" s="682"/>
      <c r="I1221" s="592">
        <v>48.07</v>
      </c>
      <c r="J1221" s="592">
        <f t="shared" si="987"/>
        <v>48.07</v>
      </c>
      <c r="K1221" s="593">
        <f t="shared" si="986"/>
        <v>58.51</v>
      </c>
      <c r="L1221" s="594" t="s">
        <v>21</v>
      </c>
      <c r="M1221" s="92"/>
      <c r="N1221" s="92"/>
      <c r="O1221" s="93">
        <f t="shared" si="988"/>
        <v>0</v>
      </c>
      <c r="P1221" s="93">
        <f t="shared" si="989"/>
        <v>0</v>
      </c>
      <c r="Q1221" s="94"/>
      <c r="R1221" s="92">
        <f t="shared" si="990"/>
        <v>0</v>
      </c>
      <c r="S1221" s="92">
        <f t="shared" si="991"/>
        <v>0</v>
      </c>
      <c r="T1221" s="93">
        <f t="shared" si="992"/>
        <v>0</v>
      </c>
      <c r="U1221" s="95">
        <f t="shared" si="993"/>
        <v>0</v>
      </c>
      <c r="V1221" s="94"/>
      <c r="X1221" s="580" t="str">
        <f t="shared" si="994"/>
        <v/>
      </c>
      <c r="Y1221" s="580" t="str">
        <f t="shared" si="995"/>
        <v/>
      </c>
      <c r="Z1221" s="580" t="str">
        <f t="shared" si="996"/>
        <v/>
      </c>
    </row>
    <row r="1222" spans="1:26" ht="25.5" hidden="1" x14ac:dyDescent="0.2">
      <c r="A1222" s="97">
        <v>95801</v>
      </c>
      <c r="B1222" s="1031">
        <v>95801</v>
      </c>
      <c r="C1222" s="978" t="s">
        <v>883</v>
      </c>
      <c r="D1222" s="595" t="s">
        <v>1445</v>
      </c>
      <c r="E1222" s="596"/>
      <c r="F1222" s="671"/>
      <c r="G1222" s="597"/>
      <c r="H1222" s="682"/>
      <c r="I1222" s="592">
        <v>36.39</v>
      </c>
      <c r="J1222" s="592">
        <f t="shared" si="987"/>
        <v>36.39</v>
      </c>
      <c r="K1222" s="593">
        <f t="shared" si="986"/>
        <v>44.29</v>
      </c>
      <c r="L1222" s="594" t="s">
        <v>21</v>
      </c>
      <c r="M1222" s="92"/>
      <c r="N1222" s="92"/>
      <c r="O1222" s="93">
        <f t="shared" si="988"/>
        <v>0</v>
      </c>
      <c r="P1222" s="93">
        <f t="shared" si="989"/>
        <v>0</v>
      </c>
      <c r="Q1222" s="94"/>
      <c r="R1222" s="92">
        <f t="shared" si="990"/>
        <v>0</v>
      </c>
      <c r="S1222" s="92">
        <f t="shared" si="991"/>
        <v>0</v>
      </c>
      <c r="T1222" s="93">
        <f t="shared" si="992"/>
        <v>0</v>
      </c>
      <c r="U1222" s="95">
        <f t="shared" si="993"/>
        <v>0</v>
      </c>
      <c r="V1222" s="94"/>
      <c r="X1222" s="580" t="str">
        <f t="shared" si="994"/>
        <v/>
      </c>
      <c r="Y1222" s="580" t="str">
        <f t="shared" si="995"/>
        <v/>
      </c>
      <c r="Z1222" s="580" t="str">
        <f t="shared" si="996"/>
        <v/>
      </c>
    </row>
    <row r="1223" spans="1:26" ht="25.5" hidden="1" x14ac:dyDescent="0.2">
      <c r="A1223" s="97">
        <v>95802</v>
      </c>
      <c r="B1223" s="1031">
        <v>95802</v>
      </c>
      <c r="C1223" s="978" t="s">
        <v>883</v>
      </c>
      <c r="D1223" s="595" t="s">
        <v>1446</v>
      </c>
      <c r="E1223" s="596"/>
      <c r="F1223" s="671"/>
      <c r="G1223" s="597"/>
      <c r="H1223" s="682"/>
      <c r="I1223" s="592">
        <v>40.54</v>
      </c>
      <c r="J1223" s="592">
        <f t="shared" si="987"/>
        <v>40.54</v>
      </c>
      <c r="K1223" s="593">
        <f t="shared" si="986"/>
        <v>49.34</v>
      </c>
      <c r="L1223" s="594" t="s">
        <v>21</v>
      </c>
      <c r="M1223" s="92"/>
      <c r="N1223" s="92"/>
      <c r="O1223" s="93">
        <f t="shared" si="988"/>
        <v>0</v>
      </c>
      <c r="P1223" s="93">
        <f t="shared" si="989"/>
        <v>0</v>
      </c>
      <c r="Q1223" s="94"/>
      <c r="R1223" s="92">
        <f t="shared" si="990"/>
        <v>0</v>
      </c>
      <c r="S1223" s="92">
        <f t="shared" si="991"/>
        <v>0</v>
      </c>
      <c r="T1223" s="93">
        <f t="shared" si="992"/>
        <v>0</v>
      </c>
      <c r="U1223" s="95">
        <f t="shared" si="993"/>
        <v>0</v>
      </c>
      <c r="V1223" s="94"/>
      <c r="X1223" s="580" t="str">
        <f t="shared" si="994"/>
        <v/>
      </c>
      <c r="Y1223" s="580" t="str">
        <f t="shared" si="995"/>
        <v/>
      </c>
      <c r="Z1223" s="580" t="str">
        <f t="shared" si="996"/>
        <v/>
      </c>
    </row>
    <row r="1224" spans="1:26" ht="25.5" hidden="1" x14ac:dyDescent="0.2">
      <c r="A1224" s="97">
        <v>95803</v>
      </c>
      <c r="B1224" s="1031">
        <v>95803</v>
      </c>
      <c r="C1224" s="978" t="s">
        <v>883</v>
      </c>
      <c r="D1224" s="595" t="s">
        <v>1447</v>
      </c>
      <c r="E1224" s="596"/>
      <c r="F1224" s="671"/>
      <c r="G1224" s="597"/>
      <c r="H1224" s="682"/>
      <c r="I1224" s="592">
        <v>53.31</v>
      </c>
      <c r="J1224" s="592">
        <f t="shared" si="987"/>
        <v>53.31</v>
      </c>
      <c r="K1224" s="593">
        <f t="shared" si="986"/>
        <v>64.88</v>
      </c>
      <c r="L1224" s="594" t="s">
        <v>21</v>
      </c>
      <c r="M1224" s="92"/>
      <c r="N1224" s="92"/>
      <c r="O1224" s="93">
        <f t="shared" si="988"/>
        <v>0</v>
      </c>
      <c r="P1224" s="93">
        <f t="shared" si="989"/>
        <v>0</v>
      </c>
      <c r="Q1224" s="94"/>
      <c r="R1224" s="92">
        <f t="shared" si="990"/>
        <v>0</v>
      </c>
      <c r="S1224" s="92">
        <f t="shared" si="991"/>
        <v>0</v>
      </c>
      <c r="T1224" s="93">
        <f t="shared" si="992"/>
        <v>0</v>
      </c>
      <c r="U1224" s="95">
        <f t="shared" si="993"/>
        <v>0</v>
      </c>
      <c r="V1224" s="94"/>
      <c r="X1224" s="580" t="str">
        <f t="shared" si="994"/>
        <v/>
      </c>
      <c r="Y1224" s="580" t="str">
        <f t="shared" si="995"/>
        <v/>
      </c>
      <c r="Z1224" s="580" t="str">
        <f t="shared" si="996"/>
        <v/>
      </c>
    </row>
    <row r="1225" spans="1:26" ht="25.5" hidden="1" x14ac:dyDescent="0.2">
      <c r="A1225" s="97">
        <v>95804</v>
      </c>
      <c r="B1225" s="1031">
        <v>95804</v>
      </c>
      <c r="C1225" s="978" t="s">
        <v>883</v>
      </c>
      <c r="D1225" s="595" t="s">
        <v>1448</v>
      </c>
      <c r="E1225" s="596"/>
      <c r="F1225" s="671"/>
      <c r="G1225" s="597"/>
      <c r="H1225" s="682"/>
      <c r="I1225" s="592">
        <v>24.5</v>
      </c>
      <c r="J1225" s="592">
        <f t="shared" si="987"/>
        <v>24.5</v>
      </c>
      <c r="K1225" s="593">
        <f t="shared" si="986"/>
        <v>29.82</v>
      </c>
      <c r="L1225" s="594" t="s">
        <v>21</v>
      </c>
      <c r="M1225" s="92"/>
      <c r="N1225" s="92"/>
      <c r="O1225" s="93">
        <f t="shared" si="988"/>
        <v>0</v>
      </c>
      <c r="P1225" s="93">
        <f t="shared" si="989"/>
        <v>0</v>
      </c>
      <c r="Q1225" s="94"/>
      <c r="R1225" s="92">
        <f t="shared" si="990"/>
        <v>0</v>
      </c>
      <c r="S1225" s="92">
        <f t="shared" si="991"/>
        <v>0</v>
      </c>
      <c r="T1225" s="93">
        <f t="shared" si="992"/>
        <v>0</v>
      </c>
      <c r="U1225" s="95">
        <f t="shared" si="993"/>
        <v>0</v>
      </c>
      <c r="V1225" s="94"/>
      <c r="X1225" s="580" t="str">
        <f t="shared" si="994"/>
        <v/>
      </c>
      <c r="Y1225" s="580" t="str">
        <f t="shared" si="995"/>
        <v/>
      </c>
      <c r="Z1225" s="580" t="str">
        <f t="shared" si="996"/>
        <v/>
      </c>
    </row>
    <row r="1226" spans="1:26" ht="25.5" hidden="1" x14ac:dyDescent="0.2">
      <c r="A1226" s="97">
        <v>95805</v>
      </c>
      <c r="B1226" s="1031">
        <v>95805</v>
      </c>
      <c r="C1226" s="978" t="s">
        <v>883</v>
      </c>
      <c r="D1226" s="595" t="s">
        <v>1449</v>
      </c>
      <c r="E1226" s="596"/>
      <c r="F1226" s="671"/>
      <c r="G1226" s="597"/>
      <c r="H1226" s="682"/>
      <c r="I1226" s="592">
        <v>24.71</v>
      </c>
      <c r="J1226" s="592">
        <f t="shared" si="987"/>
        <v>24.71</v>
      </c>
      <c r="K1226" s="593">
        <f t="shared" si="986"/>
        <v>30.07</v>
      </c>
      <c r="L1226" s="594" t="s">
        <v>21</v>
      </c>
      <c r="M1226" s="92"/>
      <c r="N1226" s="92"/>
      <c r="O1226" s="93">
        <f t="shared" si="988"/>
        <v>0</v>
      </c>
      <c r="P1226" s="93">
        <f t="shared" si="989"/>
        <v>0</v>
      </c>
      <c r="Q1226" s="94"/>
      <c r="R1226" s="92">
        <f t="shared" si="990"/>
        <v>0</v>
      </c>
      <c r="S1226" s="92">
        <f t="shared" si="991"/>
        <v>0</v>
      </c>
      <c r="T1226" s="93">
        <f t="shared" si="992"/>
        <v>0</v>
      </c>
      <c r="U1226" s="95">
        <f t="shared" si="993"/>
        <v>0</v>
      </c>
      <c r="V1226" s="94"/>
      <c r="X1226" s="580" t="str">
        <f t="shared" si="994"/>
        <v/>
      </c>
      <c r="Y1226" s="580" t="str">
        <f t="shared" si="995"/>
        <v/>
      </c>
      <c r="Z1226" s="580" t="str">
        <f t="shared" si="996"/>
        <v/>
      </c>
    </row>
    <row r="1227" spans="1:26" ht="25.5" hidden="1" x14ac:dyDescent="0.2">
      <c r="A1227" s="97">
        <v>95806</v>
      </c>
      <c r="B1227" s="1031">
        <v>95806</v>
      </c>
      <c r="C1227" s="978" t="s">
        <v>883</v>
      </c>
      <c r="D1227" s="595" t="s">
        <v>1450</v>
      </c>
      <c r="E1227" s="596"/>
      <c r="F1227" s="671"/>
      <c r="G1227" s="597"/>
      <c r="H1227" s="682"/>
      <c r="I1227" s="592">
        <v>25.53</v>
      </c>
      <c r="J1227" s="592">
        <f t="shared" si="987"/>
        <v>25.53</v>
      </c>
      <c r="K1227" s="593">
        <f t="shared" si="986"/>
        <v>31.07</v>
      </c>
      <c r="L1227" s="594" t="s">
        <v>21</v>
      </c>
      <c r="M1227" s="92"/>
      <c r="N1227" s="92"/>
      <c r="O1227" s="93">
        <f t="shared" si="988"/>
        <v>0</v>
      </c>
      <c r="P1227" s="93">
        <f t="shared" si="989"/>
        <v>0</v>
      </c>
      <c r="Q1227" s="94"/>
      <c r="R1227" s="92">
        <f t="shared" si="990"/>
        <v>0</v>
      </c>
      <c r="S1227" s="92">
        <f t="shared" si="991"/>
        <v>0</v>
      </c>
      <c r="T1227" s="93">
        <f t="shared" si="992"/>
        <v>0</v>
      </c>
      <c r="U1227" s="95">
        <f t="shared" si="993"/>
        <v>0</v>
      </c>
      <c r="V1227" s="94"/>
      <c r="X1227" s="580" t="str">
        <f t="shared" si="994"/>
        <v/>
      </c>
      <c r="Y1227" s="580" t="str">
        <f t="shared" si="995"/>
        <v/>
      </c>
      <c r="Z1227" s="580" t="str">
        <f t="shared" si="996"/>
        <v/>
      </c>
    </row>
    <row r="1228" spans="1:26" ht="25.5" hidden="1" x14ac:dyDescent="0.2">
      <c r="A1228" s="97">
        <v>95807</v>
      </c>
      <c r="B1228" s="1031">
        <v>95807</v>
      </c>
      <c r="C1228" s="978" t="s">
        <v>883</v>
      </c>
      <c r="D1228" s="595" t="s">
        <v>1451</v>
      </c>
      <c r="E1228" s="596"/>
      <c r="F1228" s="671"/>
      <c r="G1228" s="597"/>
      <c r="H1228" s="682"/>
      <c r="I1228" s="592">
        <v>28.08</v>
      </c>
      <c r="J1228" s="592">
        <f t="shared" si="987"/>
        <v>28.08</v>
      </c>
      <c r="K1228" s="593">
        <f t="shared" ref="K1228:K1291" si="997">IF(ISBLANK(I1228),0,ROUND(J1228*(1+$F$10)*(1+$F$11*E1228),2))</f>
        <v>34.18</v>
      </c>
      <c r="L1228" s="594" t="s">
        <v>21</v>
      </c>
      <c r="M1228" s="92"/>
      <c r="N1228" s="92"/>
      <c r="O1228" s="93">
        <f t="shared" si="988"/>
        <v>0</v>
      </c>
      <c r="P1228" s="93">
        <f t="shared" si="989"/>
        <v>0</v>
      </c>
      <c r="Q1228" s="94"/>
      <c r="R1228" s="92">
        <f t="shared" si="990"/>
        <v>0</v>
      </c>
      <c r="S1228" s="92">
        <f t="shared" si="991"/>
        <v>0</v>
      </c>
      <c r="T1228" s="93">
        <f t="shared" si="992"/>
        <v>0</v>
      </c>
      <c r="U1228" s="95">
        <f t="shared" si="993"/>
        <v>0</v>
      </c>
      <c r="V1228" s="94"/>
      <c r="X1228" s="580" t="str">
        <f t="shared" si="994"/>
        <v/>
      </c>
      <c r="Y1228" s="580" t="str">
        <f t="shared" si="995"/>
        <v/>
      </c>
      <c r="Z1228" s="580" t="str">
        <f t="shared" si="996"/>
        <v/>
      </c>
    </row>
    <row r="1229" spans="1:26" ht="25.5" hidden="1" x14ac:dyDescent="0.2">
      <c r="A1229" s="97">
        <v>95808</v>
      </c>
      <c r="B1229" s="1031">
        <v>95808</v>
      </c>
      <c r="C1229" s="978" t="s">
        <v>883</v>
      </c>
      <c r="D1229" s="595" t="s">
        <v>1452</v>
      </c>
      <c r="E1229" s="596"/>
      <c r="F1229" s="671"/>
      <c r="G1229" s="597"/>
      <c r="H1229" s="682"/>
      <c r="I1229" s="592">
        <v>28.71</v>
      </c>
      <c r="J1229" s="592">
        <f t="shared" si="987"/>
        <v>28.71</v>
      </c>
      <c r="K1229" s="593">
        <f t="shared" si="997"/>
        <v>34.94</v>
      </c>
      <c r="L1229" s="594" t="s">
        <v>21</v>
      </c>
      <c r="M1229" s="92"/>
      <c r="N1229" s="92"/>
      <c r="O1229" s="93">
        <f t="shared" si="988"/>
        <v>0</v>
      </c>
      <c r="P1229" s="93">
        <f t="shared" si="989"/>
        <v>0</v>
      </c>
      <c r="Q1229" s="94"/>
      <c r="R1229" s="92">
        <f t="shared" si="990"/>
        <v>0</v>
      </c>
      <c r="S1229" s="92">
        <f t="shared" si="991"/>
        <v>0</v>
      </c>
      <c r="T1229" s="93">
        <f t="shared" si="992"/>
        <v>0</v>
      </c>
      <c r="U1229" s="95">
        <f t="shared" si="993"/>
        <v>0</v>
      </c>
      <c r="V1229" s="94"/>
      <c r="X1229" s="580" t="str">
        <f t="shared" si="994"/>
        <v/>
      </c>
      <c r="Y1229" s="580" t="str">
        <f t="shared" si="995"/>
        <v/>
      </c>
      <c r="Z1229" s="580" t="str">
        <f t="shared" si="996"/>
        <v/>
      </c>
    </row>
    <row r="1230" spans="1:26" ht="25.5" hidden="1" x14ac:dyDescent="0.2">
      <c r="A1230" s="97">
        <v>95809</v>
      </c>
      <c r="B1230" s="1031">
        <v>95809</v>
      </c>
      <c r="C1230" s="978" t="s">
        <v>883</v>
      </c>
      <c r="D1230" s="595" t="s">
        <v>1453</v>
      </c>
      <c r="E1230" s="596"/>
      <c r="F1230" s="671"/>
      <c r="G1230" s="597"/>
      <c r="H1230" s="682"/>
      <c r="I1230" s="592">
        <v>31.63</v>
      </c>
      <c r="J1230" s="592">
        <f t="shared" si="987"/>
        <v>31.63</v>
      </c>
      <c r="K1230" s="593">
        <f t="shared" si="997"/>
        <v>38.5</v>
      </c>
      <c r="L1230" s="594" t="s">
        <v>21</v>
      </c>
      <c r="M1230" s="92"/>
      <c r="N1230" s="92"/>
      <c r="O1230" s="93">
        <f t="shared" si="988"/>
        <v>0</v>
      </c>
      <c r="P1230" s="93">
        <f t="shared" si="989"/>
        <v>0</v>
      </c>
      <c r="Q1230" s="94"/>
      <c r="R1230" s="92">
        <f t="shared" si="990"/>
        <v>0</v>
      </c>
      <c r="S1230" s="92">
        <f t="shared" si="991"/>
        <v>0</v>
      </c>
      <c r="T1230" s="93">
        <f t="shared" si="992"/>
        <v>0</v>
      </c>
      <c r="U1230" s="95">
        <f t="shared" si="993"/>
        <v>0</v>
      </c>
      <c r="V1230" s="94"/>
      <c r="X1230" s="580" t="str">
        <f t="shared" si="994"/>
        <v/>
      </c>
      <c r="Y1230" s="580" t="str">
        <f t="shared" si="995"/>
        <v/>
      </c>
      <c r="Z1230" s="580" t="str">
        <f t="shared" si="996"/>
        <v/>
      </c>
    </row>
    <row r="1231" spans="1:26" ht="25.5" hidden="1" x14ac:dyDescent="0.2">
      <c r="A1231" s="97">
        <v>95810</v>
      </c>
      <c r="B1231" s="1031">
        <v>95810</v>
      </c>
      <c r="C1231" s="978" t="s">
        <v>883</v>
      </c>
      <c r="D1231" s="595" t="s">
        <v>1454</v>
      </c>
      <c r="E1231" s="596"/>
      <c r="F1231" s="671"/>
      <c r="G1231" s="597"/>
      <c r="H1231" s="682"/>
      <c r="I1231" s="592">
        <v>15.99</v>
      </c>
      <c r="J1231" s="592">
        <f t="shared" si="987"/>
        <v>15.99</v>
      </c>
      <c r="K1231" s="593">
        <f t="shared" si="997"/>
        <v>19.46</v>
      </c>
      <c r="L1231" s="594" t="s">
        <v>21</v>
      </c>
      <c r="M1231" s="92"/>
      <c r="N1231" s="92"/>
      <c r="O1231" s="93">
        <f t="shared" si="988"/>
        <v>0</v>
      </c>
      <c r="P1231" s="93">
        <f t="shared" si="989"/>
        <v>0</v>
      </c>
      <c r="Q1231" s="94"/>
      <c r="R1231" s="92">
        <f t="shared" si="990"/>
        <v>0</v>
      </c>
      <c r="S1231" s="92">
        <f t="shared" si="991"/>
        <v>0</v>
      </c>
      <c r="T1231" s="93">
        <f t="shared" si="992"/>
        <v>0</v>
      </c>
      <c r="U1231" s="95">
        <f t="shared" si="993"/>
        <v>0</v>
      </c>
      <c r="V1231" s="94"/>
      <c r="X1231" s="580" t="str">
        <f t="shared" si="994"/>
        <v/>
      </c>
      <c r="Y1231" s="580" t="str">
        <f t="shared" si="995"/>
        <v/>
      </c>
      <c r="Z1231" s="580" t="str">
        <f t="shared" si="996"/>
        <v/>
      </c>
    </row>
    <row r="1232" spans="1:26" ht="25.5" hidden="1" x14ac:dyDescent="0.2">
      <c r="A1232" s="97">
        <v>95811</v>
      </c>
      <c r="B1232" s="1031">
        <v>95811</v>
      </c>
      <c r="C1232" s="978" t="s">
        <v>883</v>
      </c>
      <c r="D1232" s="595" t="s">
        <v>1455</v>
      </c>
      <c r="E1232" s="596"/>
      <c r="F1232" s="671"/>
      <c r="G1232" s="597"/>
      <c r="H1232" s="682"/>
      <c r="I1232" s="592">
        <v>16.62</v>
      </c>
      <c r="J1232" s="592">
        <f t="shared" si="987"/>
        <v>16.62</v>
      </c>
      <c r="K1232" s="593">
        <f t="shared" si="997"/>
        <v>20.23</v>
      </c>
      <c r="L1232" s="594" t="s">
        <v>21</v>
      </c>
      <c r="M1232" s="92"/>
      <c r="N1232" s="92"/>
      <c r="O1232" s="93">
        <f t="shared" si="988"/>
        <v>0</v>
      </c>
      <c r="P1232" s="93">
        <f t="shared" si="989"/>
        <v>0</v>
      </c>
      <c r="Q1232" s="94"/>
      <c r="R1232" s="92">
        <f t="shared" si="990"/>
        <v>0</v>
      </c>
      <c r="S1232" s="92">
        <f t="shared" si="991"/>
        <v>0</v>
      </c>
      <c r="T1232" s="93">
        <f t="shared" si="992"/>
        <v>0</v>
      </c>
      <c r="U1232" s="95">
        <f t="shared" si="993"/>
        <v>0</v>
      </c>
      <c r="V1232" s="94"/>
      <c r="X1232" s="580" t="str">
        <f t="shared" si="994"/>
        <v/>
      </c>
      <c r="Y1232" s="580" t="str">
        <f t="shared" si="995"/>
        <v/>
      </c>
      <c r="Z1232" s="580" t="str">
        <f t="shared" si="996"/>
        <v/>
      </c>
    </row>
    <row r="1233" spans="1:26" ht="25.5" hidden="1" x14ac:dyDescent="0.2">
      <c r="A1233" s="97">
        <v>95812</v>
      </c>
      <c r="B1233" s="1031">
        <v>95812</v>
      </c>
      <c r="C1233" s="978" t="s">
        <v>883</v>
      </c>
      <c r="D1233" s="595" t="s">
        <v>1456</v>
      </c>
      <c r="E1233" s="596"/>
      <c r="F1233" s="671"/>
      <c r="G1233" s="597"/>
      <c r="H1233" s="682"/>
      <c r="I1233" s="592">
        <v>19.54</v>
      </c>
      <c r="J1233" s="592">
        <f t="shared" si="987"/>
        <v>19.54</v>
      </c>
      <c r="K1233" s="593">
        <f t="shared" si="997"/>
        <v>23.78</v>
      </c>
      <c r="L1233" s="594" t="s">
        <v>21</v>
      </c>
      <c r="M1233" s="92"/>
      <c r="N1233" s="92"/>
      <c r="O1233" s="93">
        <f t="shared" si="988"/>
        <v>0</v>
      </c>
      <c r="P1233" s="93">
        <f t="shared" si="989"/>
        <v>0</v>
      </c>
      <c r="Q1233" s="94"/>
      <c r="R1233" s="92">
        <f t="shared" si="990"/>
        <v>0</v>
      </c>
      <c r="S1233" s="92">
        <f t="shared" si="991"/>
        <v>0</v>
      </c>
      <c r="T1233" s="93">
        <f t="shared" si="992"/>
        <v>0</v>
      </c>
      <c r="U1233" s="95">
        <f t="shared" si="993"/>
        <v>0</v>
      </c>
      <c r="V1233" s="94"/>
      <c r="X1233" s="580" t="str">
        <f t="shared" si="994"/>
        <v/>
      </c>
      <c r="Y1233" s="580" t="str">
        <f t="shared" si="995"/>
        <v/>
      </c>
      <c r="Z1233" s="580" t="str">
        <f t="shared" si="996"/>
        <v/>
      </c>
    </row>
    <row r="1234" spans="1:26" ht="25.5" hidden="1" x14ac:dyDescent="0.2">
      <c r="A1234" s="97">
        <v>95813</v>
      </c>
      <c r="B1234" s="1031">
        <v>95813</v>
      </c>
      <c r="C1234" s="978" t="s">
        <v>883</v>
      </c>
      <c r="D1234" s="595" t="s">
        <v>1457</v>
      </c>
      <c r="E1234" s="596"/>
      <c r="F1234" s="671"/>
      <c r="G1234" s="597"/>
      <c r="H1234" s="682"/>
      <c r="I1234" s="592">
        <v>19.09</v>
      </c>
      <c r="J1234" s="592">
        <f t="shared" si="987"/>
        <v>19.09</v>
      </c>
      <c r="K1234" s="593">
        <f t="shared" si="997"/>
        <v>23.23</v>
      </c>
      <c r="L1234" s="594" t="s">
        <v>21</v>
      </c>
      <c r="M1234" s="92"/>
      <c r="N1234" s="92"/>
      <c r="O1234" s="93">
        <f t="shared" si="988"/>
        <v>0</v>
      </c>
      <c r="P1234" s="93">
        <f t="shared" si="989"/>
        <v>0</v>
      </c>
      <c r="Q1234" s="94"/>
      <c r="R1234" s="92">
        <f t="shared" si="990"/>
        <v>0</v>
      </c>
      <c r="S1234" s="92">
        <f t="shared" si="991"/>
        <v>0</v>
      </c>
      <c r="T1234" s="93">
        <f t="shared" si="992"/>
        <v>0</v>
      </c>
      <c r="U1234" s="95">
        <f t="shared" si="993"/>
        <v>0</v>
      </c>
      <c r="V1234" s="94"/>
      <c r="X1234" s="580" t="str">
        <f t="shared" si="994"/>
        <v/>
      </c>
      <c r="Y1234" s="580" t="str">
        <f t="shared" si="995"/>
        <v/>
      </c>
      <c r="Z1234" s="580" t="str">
        <f t="shared" si="996"/>
        <v/>
      </c>
    </row>
    <row r="1235" spans="1:26" ht="25.5" hidden="1" x14ac:dyDescent="0.2">
      <c r="A1235" s="97">
        <v>95814</v>
      </c>
      <c r="B1235" s="1031">
        <v>95814</v>
      </c>
      <c r="C1235" s="978" t="s">
        <v>883</v>
      </c>
      <c r="D1235" s="595" t="s">
        <v>1458</v>
      </c>
      <c r="E1235" s="596"/>
      <c r="F1235" s="671"/>
      <c r="G1235" s="597"/>
      <c r="H1235" s="682"/>
      <c r="I1235" s="592">
        <v>20.03</v>
      </c>
      <c r="J1235" s="592">
        <f t="shared" si="987"/>
        <v>20.03</v>
      </c>
      <c r="K1235" s="593">
        <f t="shared" si="997"/>
        <v>24.38</v>
      </c>
      <c r="L1235" s="594" t="s">
        <v>21</v>
      </c>
      <c r="M1235" s="92"/>
      <c r="N1235" s="92"/>
      <c r="O1235" s="93">
        <f t="shared" si="988"/>
        <v>0</v>
      </c>
      <c r="P1235" s="93">
        <f t="shared" si="989"/>
        <v>0</v>
      </c>
      <c r="Q1235" s="94"/>
      <c r="R1235" s="92">
        <f t="shared" si="990"/>
        <v>0</v>
      </c>
      <c r="S1235" s="92">
        <f t="shared" si="991"/>
        <v>0</v>
      </c>
      <c r="T1235" s="93">
        <f t="shared" si="992"/>
        <v>0</v>
      </c>
      <c r="U1235" s="95">
        <f t="shared" si="993"/>
        <v>0</v>
      </c>
      <c r="V1235" s="94"/>
      <c r="X1235" s="580" t="str">
        <f t="shared" si="994"/>
        <v/>
      </c>
      <c r="Y1235" s="580" t="str">
        <f t="shared" si="995"/>
        <v/>
      </c>
      <c r="Z1235" s="580" t="str">
        <f t="shared" si="996"/>
        <v/>
      </c>
    </row>
    <row r="1236" spans="1:26" ht="25.5" hidden="1" x14ac:dyDescent="0.2">
      <c r="A1236" s="97">
        <v>95815</v>
      </c>
      <c r="B1236" s="1031">
        <v>95815</v>
      </c>
      <c r="C1236" s="978" t="s">
        <v>883</v>
      </c>
      <c r="D1236" s="595" t="s">
        <v>1459</v>
      </c>
      <c r="E1236" s="596"/>
      <c r="F1236" s="671"/>
      <c r="G1236" s="597"/>
      <c r="H1236" s="682"/>
      <c r="I1236" s="592">
        <v>25.71</v>
      </c>
      <c r="J1236" s="592">
        <f t="shared" si="987"/>
        <v>25.71</v>
      </c>
      <c r="K1236" s="593">
        <f t="shared" si="997"/>
        <v>31.29</v>
      </c>
      <c r="L1236" s="594" t="s">
        <v>21</v>
      </c>
      <c r="M1236" s="92"/>
      <c r="N1236" s="92"/>
      <c r="O1236" s="93">
        <f t="shared" si="988"/>
        <v>0</v>
      </c>
      <c r="P1236" s="93">
        <f t="shared" si="989"/>
        <v>0</v>
      </c>
      <c r="Q1236" s="94"/>
      <c r="R1236" s="92">
        <f t="shared" si="990"/>
        <v>0</v>
      </c>
      <c r="S1236" s="92">
        <f t="shared" si="991"/>
        <v>0</v>
      </c>
      <c r="T1236" s="93">
        <f t="shared" si="992"/>
        <v>0</v>
      </c>
      <c r="U1236" s="95">
        <f t="shared" si="993"/>
        <v>0</v>
      </c>
      <c r="V1236" s="94"/>
      <c r="X1236" s="580" t="str">
        <f t="shared" si="994"/>
        <v/>
      </c>
      <c r="Y1236" s="580" t="str">
        <f t="shared" si="995"/>
        <v/>
      </c>
      <c r="Z1236" s="580" t="str">
        <f t="shared" si="996"/>
        <v/>
      </c>
    </row>
    <row r="1237" spans="1:26" ht="25.5" hidden="1" x14ac:dyDescent="0.2">
      <c r="A1237" s="97">
        <v>95816</v>
      </c>
      <c r="B1237" s="1031">
        <v>95816</v>
      </c>
      <c r="C1237" s="978" t="s">
        <v>883</v>
      </c>
      <c r="D1237" s="595" t="s">
        <v>1460</v>
      </c>
      <c r="E1237" s="596"/>
      <c r="F1237" s="671"/>
      <c r="G1237" s="597"/>
      <c r="H1237" s="682"/>
      <c r="I1237" s="592">
        <v>34.54</v>
      </c>
      <c r="J1237" s="592">
        <f t="shared" si="987"/>
        <v>34.54</v>
      </c>
      <c r="K1237" s="593">
        <f t="shared" si="997"/>
        <v>42.04</v>
      </c>
      <c r="L1237" s="594" t="s">
        <v>21</v>
      </c>
      <c r="M1237" s="92"/>
      <c r="N1237" s="92"/>
      <c r="O1237" s="93">
        <f t="shared" si="988"/>
        <v>0</v>
      </c>
      <c r="P1237" s="93">
        <f t="shared" si="989"/>
        <v>0</v>
      </c>
      <c r="Q1237" s="94"/>
      <c r="R1237" s="92">
        <f t="shared" si="990"/>
        <v>0</v>
      </c>
      <c r="S1237" s="92">
        <f t="shared" si="991"/>
        <v>0</v>
      </c>
      <c r="T1237" s="93">
        <f t="shared" si="992"/>
        <v>0</v>
      </c>
      <c r="U1237" s="95">
        <f t="shared" si="993"/>
        <v>0</v>
      </c>
      <c r="V1237" s="94"/>
      <c r="X1237" s="580" t="str">
        <f t="shared" si="994"/>
        <v/>
      </c>
      <c r="Y1237" s="580" t="str">
        <f t="shared" si="995"/>
        <v/>
      </c>
      <c r="Z1237" s="580" t="str">
        <f t="shared" si="996"/>
        <v/>
      </c>
    </row>
    <row r="1238" spans="1:26" ht="25.5" hidden="1" x14ac:dyDescent="0.2">
      <c r="A1238" s="97">
        <v>95817</v>
      </c>
      <c r="B1238" s="1031">
        <v>95817</v>
      </c>
      <c r="C1238" s="978" t="s">
        <v>883</v>
      </c>
      <c r="D1238" s="595" t="s">
        <v>1461</v>
      </c>
      <c r="E1238" s="596"/>
      <c r="F1238" s="671"/>
      <c r="G1238" s="597"/>
      <c r="H1238" s="682"/>
      <c r="I1238" s="592">
        <v>35.31</v>
      </c>
      <c r="J1238" s="592">
        <f t="shared" ref="J1238:J1297" si="998">IF(ISBLANK(I1238),"",SUM(H1238:I1238))</f>
        <v>35.31</v>
      </c>
      <c r="K1238" s="593">
        <f t="shared" si="997"/>
        <v>42.98</v>
      </c>
      <c r="L1238" s="594" t="s">
        <v>21</v>
      </c>
      <c r="M1238" s="92"/>
      <c r="N1238" s="92"/>
      <c r="O1238" s="93">
        <f t="shared" ref="O1238:O1297" si="999">IF(ISBLANK(M1238),0,ROUND(K1238*M1238,2))</f>
        <v>0</v>
      </c>
      <c r="P1238" s="93">
        <f t="shared" ref="P1238:P1297" si="1000">IF(ISBLANK(N1238),0,ROUND(M1238*N1238,2))</f>
        <v>0</v>
      </c>
      <c r="Q1238" s="94"/>
      <c r="R1238" s="92">
        <f t="shared" ref="R1238:R1297" si="1001">M1238</f>
        <v>0</v>
      </c>
      <c r="S1238" s="92">
        <f t="shared" ref="S1238:S1297" si="1002">N1238</f>
        <v>0</v>
      </c>
      <c r="T1238" s="93">
        <f t="shared" ref="T1238:T1297" si="1003">IF(ISBLANK(R1238),0,ROUND(K1238*R1238,2))</f>
        <v>0</v>
      </c>
      <c r="U1238" s="95">
        <f t="shared" ref="U1238:U1297" si="1004">IF(ISBLANK(R1238),0,ROUND(R1238*S1238,2))</f>
        <v>0</v>
      </c>
      <c r="V1238" s="94"/>
      <c r="X1238" s="580" t="str">
        <f t="shared" ref="X1238:X1297" si="1005">IF(W1238="X","x",IF(W1238="xx","x",IF(W1238="xy","x",IF(W1238="y","x",IF(OR(P1238&gt;0,U1238&gt;0),"x","")))))</f>
        <v/>
      </c>
      <c r="Y1238" s="580" t="str">
        <f t="shared" ref="Y1238:Y1297" si="1006">IF(W1238="X","x",IF(W1238="y","x",IF(W1238="xx","x",IF(U1238&gt;0,"x",""))))</f>
        <v/>
      </c>
      <c r="Z1238" s="580" t="str">
        <f t="shared" ref="Z1238:Z1297" si="1007">IF(W1238="X","x",IF(U1238&gt;0,"x",""))</f>
        <v/>
      </c>
    </row>
    <row r="1239" spans="1:26" ht="25.5" hidden="1" x14ac:dyDescent="0.2">
      <c r="A1239" s="97">
        <v>95818</v>
      </c>
      <c r="B1239" s="1031">
        <v>95818</v>
      </c>
      <c r="C1239" s="978" t="s">
        <v>883</v>
      </c>
      <c r="D1239" s="595" t="s">
        <v>1462</v>
      </c>
      <c r="E1239" s="596"/>
      <c r="F1239" s="671"/>
      <c r="G1239" s="597"/>
      <c r="H1239" s="682"/>
      <c r="I1239" s="592">
        <v>42.95</v>
      </c>
      <c r="J1239" s="592">
        <f t="shared" si="998"/>
        <v>42.95</v>
      </c>
      <c r="K1239" s="593">
        <f t="shared" si="997"/>
        <v>52.27</v>
      </c>
      <c r="L1239" s="594" t="s">
        <v>21</v>
      </c>
      <c r="M1239" s="92"/>
      <c r="N1239" s="92"/>
      <c r="O1239" s="93">
        <f t="shared" si="999"/>
        <v>0</v>
      </c>
      <c r="P1239" s="93">
        <f t="shared" si="1000"/>
        <v>0</v>
      </c>
      <c r="Q1239" s="94"/>
      <c r="R1239" s="92">
        <f t="shared" si="1001"/>
        <v>0</v>
      </c>
      <c r="S1239" s="92">
        <f t="shared" si="1002"/>
        <v>0</v>
      </c>
      <c r="T1239" s="93">
        <f t="shared" si="1003"/>
        <v>0</v>
      </c>
      <c r="U1239" s="95">
        <f t="shared" si="1004"/>
        <v>0</v>
      </c>
      <c r="V1239" s="94"/>
      <c r="X1239" s="580" t="str">
        <f t="shared" si="1005"/>
        <v/>
      </c>
      <c r="Y1239" s="580" t="str">
        <f t="shared" si="1006"/>
        <v/>
      </c>
      <c r="Z1239" s="580" t="str">
        <f t="shared" si="1007"/>
        <v/>
      </c>
    </row>
    <row r="1240" spans="1:26" ht="25.5" hidden="1" x14ac:dyDescent="0.2">
      <c r="A1240" s="97">
        <v>91936</v>
      </c>
      <c r="B1240" s="1031">
        <v>91936</v>
      </c>
      <c r="C1240" s="978" t="s">
        <v>883</v>
      </c>
      <c r="D1240" s="595" t="s">
        <v>1463</v>
      </c>
      <c r="E1240" s="596"/>
      <c r="F1240" s="671"/>
      <c r="G1240" s="597"/>
      <c r="H1240" s="682"/>
      <c r="I1240" s="592">
        <v>13.31</v>
      </c>
      <c r="J1240" s="592">
        <f t="shared" si="998"/>
        <v>13.31</v>
      </c>
      <c r="K1240" s="593">
        <f t="shared" si="997"/>
        <v>16.2</v>
      </c>
      <c r="L1240" s="594" t="s">
        <v>21</v>
      </c>
      <c r="M1240" s="92"/>
      <c r="N1240" s="92"/>
      <c r="O1240" s="93">
        <f t="shared" si="999"/>
        <v>0</v>
      </c>
      <c r="P1240" s="93">
        <f t="shared" si="1000"/>
        <v>0</v>
      </c>
      <c r="Q1240" s="94"/>
      <c r="R1240" s="92">
        <f t="shared" si="1001"/>
        <v>0</v>
      </c>
      <c r="S1240" s="92">
        <f t="shared" si="1002"/>
        <v>0</v>
      </c>
      <c r="T1240" s="93">
        <f t="shared" si="1003"/>
        <v>0</v>
      </c>
      <c r="U1240" s="95">
        <f t="shared" si="1004"/>
        <v>0</v>
      </c>
      <c r="V1240" s="94"/>
      <c r="X1240" s="580" t="str">
        <f t="shared" si="1005"/>
        <v/>
      </c>
      <c r="Y1240" s="580" t="str">
        <f t="shared" si="1006"/>
        <v/>
      </c>
      <c r="Z1240" s="580" t="str">
        <f t="shared" si="1007"/>
        <v/>
      </c>
    </row>
    <row r="1241" spans="1:26" ht="25.5" hidden="1" x14ac:dyDescent="0.2">
      <c r="A1241" s="97">
        <v>91937</v>
      </c>
      <c r="B1241" s="1031">
        <v>91937</v>
      </c>
      <c r="C1241" s="978" t="s">
        <v>883</v>
      </c>
      <c r="D1241" s="595" t="s">
        <v>1464</v>
      </c>
      <c r="E1241" s="596"/>
      <c r="F1241" s="671"/>
      <c r="G1241" s="597"/>
      <c r="H1241" s="682"/>
      <c r="I1241" s="592">
        <v>11.19</v>
      </c>
      <c r="J1241" s="592">
        <f t="shared" si="998"/>
        <v>11.19</v>
      </c>
      <c r="K1241" s="593">
        <f t="shared" si="997"/>
        <v>13.62</v>
      </c>
      <c r="L1241" s="594" t="s">
        <v>21</v>
      </c>
      <c r="M1241" s="92"/>
      <c r="N1241" s="92"/>
      <c r="O1241" s="93">
        <f t="shared" si="999"/>
        <v>0</v>
      </c>
      <c r="P1241" s="93">
        <f t="shared" si="1000"/>
        <v>0</v>
      </c>
      <c r="Q1241" s="94"/>
      <c r="R1241" s="92">
        <f t="shared" si="1001"/>
        <v>0</v>
      </c>
      <c r="S1241" s="92">
        <f t="shared" si="1002"/>
        <v>0</v>
      </c>
      <c r="T1241" s="93">
        <f t="shared" si="1003"/>
        <v>0</v>
      </c>
      <c r="U1241" s="95">
        <f t="shared" si="1004"/>
        <v>0</v>
      </c>
      <c r="V1241" s="94"/>
      <c r="X1241" s="580" t="str">
        <f t="shared" si="1005"/>
        <v/>
      </c>
      <c r="Y1241" s="580" t="str">
        <f t="shared" si="1006"/>
        <v/>
      </c>
      <c r="Z1241" s="580" t="str">
        <f t="shared" si="1007"/>
        <v/>
      </c>
    </row>
    <row r="1242" spans="1:26" ht="25.5" hidden="1" x14ac:dyDescent="0.2">
      <c r="A1242" s="97">
        <v>91939</v>
      </c>
      <c r="B1242" s="1031">
        <v>91939</v>
      </c>
      <c r="C1242" s="978" t="s">
        <v>883</v>
      </c>
      <c r="D1242" s="595" t="s">
        <v>1465</v>
      </c>
      <c r="E1242" s="596"/>
      <c r="F1242" s="671"/>
      <c r="G1242" s="597"/>
      <c r="H1242" s="682"/>
      <c r="I1242" s="592">
        <v>26.45</v>
      </c>
      <c r="J1242" s="592">
        <f t="shared" si="998"/>
        <v>26.45</v>
      </c>
      <c r="K1242" s="593">
        <f t="shared" si="997"/>
        <v>32.19</v>
      </c>
      <c r="L1242" s="594" t="s">
        <v>21</v>
      </c>
      <c r="M1242" s="92"/>
      <c r="N1242" s="92"/>
      <c r="O1242" s="93">
        <f t="shared" si="999"/>
        <v>0</v>
      </c>
      <c r="P1242" s="93">
        <f t="shared" si="1000"/>
        <v>0</v>
      </c>
      <c r="Q1242" s="94"/>
      <c r="R1242" s="92">
        <f t="shared" si="1001"/>
        <v>0</v>
      </c>
      <c r="S1242" s="92">
        <f t="shared" si="1002"/>
        <v>0</v>
      </c>
      <c r="T1242" s="93">
        <f t="shared" si="1003"/>
        <v>0</v>
      </c>
      <c r="U1242" s="95">
        <f t="shared" si="1004"/>
        <v>0</v>
      </c>
      <c r="V1242" s="94"/>
      <c r="X1242" s="580" t="str">
        <f t="shared" si="1005"/>
        <v/>
      </c>
      <c r="Y1242" s="580" t="str">
        <f t="shared" si="1006"/>
        <v/>
      </c>
      <c r="Z1242" s="580" t="str">
        <f t="shared" si="1007"/>
        <v/>
      </c>
    </row>
    <row r="1243" spans="1:26" ht="25.5" hidden="1" x14ac:dyDescent="0.2">
      <c r="A1243" s="97">
        <v>91940</v>
      </c>
      <c r="B1243" s="1031">
        <v>91940</v>
      </c>
      <c r="C1243" s="978" t="s">
        <v>883</v>
      </c>
      <c r="D1243" s="595" t="s">
        <v>1466</v>
      </c>
      <c r="E1243" s="596"/>
      <c r="F1243" s="671"/>
      <c r="G1243" s="597"/>
      <c r="H1243" s="682"/>
      <c r="I1243" s="592">
        <v>14.2</v>
      </c>
      <c r="J1243" s="592">
        <f t="shared" si="998"/>
        <v>14.2</v>
      </c>
      <c r="K1243" s="593">
        <f t="shared" si="997"/>
        <v>17.28</v>
      </c>
      <c r="L1243" s="594" t="s">
        <v>21</v>
      </c>
      <c r="M1243" s="92"/>
      <c r="N1243" s="92"/>
      <c r="O1243" s="93">
        <f t="shared" si="999"/>
        <v>0</v>
      </c>
      <c r="P1243" s="93">
        <f t="shared" si="1000"/>
        <v>0</v>
      </c>
      <c r="Q1243" s="94"/>
      <c r="R1243" s="92">
        <f t="shared" si="1001"/>
        <v>0</v>
      </c>
      <c r="S1243" s="92">
        <f t="shared" si="1002"/>
        <v>0</v>
      </c>
      <c r="T1243" s="93">
        <f t="shared" si="1003"/>
        <v>0</v>
      </c>
      <c r="U1243" s="95">
        <f t="shared" si="1004"/>
        <v>0</v>
      </c>
      <c r="V1243" s="94"/>
      <c r="X1243" s="580" t="str">
        <f t="shared" si="1005"/>
        <v/>
      </c>
      <c r="Y1243" s="580" t="str">
        <f t="shared" si="1006"/>
        <v/>
      </c>
      <c r="Z1243" s="580" t="str">
        <f t="shared" si="1007"/>
        <v/>
      </c>
    </row>
    <row r="1244" spans="1:26" ht="25.5" hidden="1" x14ac:dyDescent="0.2">
      <c r="A1244" s="97">
        <v>91941</v>
      </c>
      <c r="B1244" s="1031">
        <v>91941</v>
      </c>
      <c r="C1244" s="978" t="s">
        <v>883</v>
      </c>
      <c r="D1244" s="595" t="s">
        <v>1467</v>
      </c>
      <c r="E1244" s="596"/>
      <c r="F1244" s="671"/>
      <c r="G1244" s="597"/>
      <c r="H1244" s="682"/>
      <c r="I1244" s="592">
        <v>9.61</v>
      </c>
      <c r="J1244" s="592">
        <f t="shared" si="998"/>
        <v>9.61</v>
      </c>
      <c r="K1244" s="593">
        <f t="shared" si="997"/>
        <v>11.7</v>
      </c>
      <c r="L1244" s="594" t="s">
        <v>21</v>
      </c>
      <c r="M1244" s="92"/>
      <c r="N1244" s="92"/>
      <c r="O1244" s="93">
        <f t="shared" si="999"/>
        <v>0</v>
      </c>
      <c r="P1244" s="93">
        <f t="shared" si="1000"/>
        <v>0</v>
      </c>
      <c r="Q1244" s="94"/>
      <c r="R1244" s="92">
        <f t="shared" si="1001"/>
        <v>0</v>
      </c>
      <c r="S1244" s="92">
        <f t="shared" si="1002"/>
        <v>0</v>
      </c>
      <c r="T1244" s="93">
        <f t="shared" si="1003"/>
        <v>0</v>
      </c>
      <c r="U1244" s="95">
        <f t="shared" si="1004"/>
        <v>0</v>
      </c>
      <c r="V1244" s="94"/>
      <c r="X1244" s="580" t="str">
        <f t="shared" si="1005"/>
        <v/>
      </c>
      <c r="Y1244" s="580" t="str">
        <f t="shared" si="1006"/>
        <v/>
      </c>
      <c r="Z1244" s="580" t="str">
        <f t="shared" si="1007"/>
        <v/>
      </c>
    </row>
    <row r="1245" spans="1:26" ht="25.5" hidden="1" x14ac:dyDescent="0.2">
      <c r="A1245" s="97">
        <v>91942</v>
      </c>
      <c r="B1245" s="1031">
        <v>91942</v>
      </c>
      <c r="C1245" s="978" t="s">
        <v>883</v>
      </c>
      <c r="D1245" s="595" t="s">
        <v>1468</v>
      </c>
      <c r="E1245" s="596"/>
      <c r="F1245" s="671"/>
      <c r="G1245" s="597"/>
      <c r="H1245" s="682"/>
      <c r="I1245" s="592">
        <v>32.700000000000003</v>
      </c>
      <c r="J1245" s="592">
        <f t="shared" si="998"/>
        <v>32.700000000000003</v>
      </c>
      <c r="K1245" s="593">
        <f t="shared" si="997"/>
        <v>39.799999999999997</v>
      </c>
      <c r="L1245" s="594" t="s">
        <v>21</v>
      </c>
      <c r="M1245" s="92"/>
      <c r="N1245" s="92"/>
      <c r="O1245" s="93">
        <f t="shared" si="999"/>
        <v>0</v>
      </c>
      <c r="P1245" s="93">
        <f t="shared" si="1000"/>
        <v>0</v>
      </c>
      <c r="Q1245" s="94"/>
      <c r="R1245" s="92">
        <f t="shared" si="1001"/>
        <v>0</v>
      </c>
      <c r="S1245" s="92">
        <f t="shared" si="1002"/>
        <v>0</v>
      </c>
      <c r="T1245" s="93">
        <f t="shared" si="1003"/>
        <v>0</v>
      </c>
      <c r="U1245" s="95">
        <f t="shared" si="1004"/>
        <v>0</v>
      </c>
      <c r="V1245" s="94"/>
      <c r="X1245" s="580" t="str">
        <f t="shared" si="1005"/>
        <v/>
      </c>
      <c r="Y1245" s="580" t="str">
        <f t="shared" si="1006"/>
        <v/>
      </c>
      <c r="Z1245" s="580" t="str">
        <f t="shared" si="1007"/>
        <v/>
      </c>
    </row>
    <row r="1246" spans="1:26" ht="25.5" hidden="1" x14ac:dyDescent="0.2">
      <c r="A1246" s="97">
        <v>91943</v>
      </c>
      <c r="B1246" s="1031">
        <v>91943</v>
      </c>
      <c r="C1246" s="978" t="s">
        <v>883</v>
      </c>
      <c r="D1246" s="595" t="s">
        <v>1469</v>
      </c>
      <c r="E1246" s="596"/>
      <c r="F1246" s="671"/>
      <c r="G1246" s="597"/>
      <c r="H1246" s="682"/>
      <c r="I1246" s="592">
        <v>18.62</v>
      </c>
      <c r="J1246" s="592">
        <f t="shared" si="998"/>
        <v>18.62</v>
      </c>
      <c r="K1246" s="593">
        <f t="shared" si="997"/>
        <v>22.66</v>
      </c>
      <c r="L1246" s="594" t="s">
        <v>21</v>
      </c>
      <c r="M1246" s="92"/>
      <c r="N1246" s="92"/>
      <c r="O1246" s="93">
        <f t="shared" si="999"/>
        <v>0</v>
      </c>
      <c r="P1246" s="93">
        <f t="shared" si="1000"/>
        <v>0</v>
      </c>
      <c r="Q1246" s="94"/>
      <c r="R1246" s="92">
        <f t="shared" si="1001"/>
        <v>0</v>
      </c>
      <c r="S1246" s="92">
        <f t="shared" si="1002"/>
        <v>0</v>
      </c>
      <c r="T1246" s="93">
        <f t="shared" si="1003"/>
        <v>0</v>
      </c>
      <c r="U1246" s="95">
        <f t="shared" si="1004"/>
        <v>0</v>
      </c>
      <c r="V1246" s="94"/>
      <c r="X1246" s="580" t="str">
        <f t="shared" si="1005"/>
        <v/>
      </c>
      <c r="Y1246" s="580" t="str">
        <f t="shared" si="1006"/>
        <v/>
      </c>
      <c r="Z1246" s="580" t="str">
        <f t="shared" si="1007"/>
        <v/>
      </c>
    </row>
    <row r="1247" spans="1:26" ht="25.5" hidden="1" x14ac:dyDescent="0.2">
      <c r="A1247" s="97">
        <v>91944</v>
      </c>
      <c r="B1247" s="1031">
        <v>91944</v>
      </c>
      <c r="C1247" s="978" t="s">
        <v>883</v>
      </c>
      <c r="D1247" s="595" t="s">
        <v>1470</v>
      </c>
      <c r="E1247" s="596"/>
      <c r="F1247" s="671"/>
      <c r="G1247" s="597"/>
      <c r="H1247" s="682"/>
      <c r="I1247" s="592">
        <v>13.35</v>
      </c>
      <c r="J1247" s="592">
        <f t="shared" si="998"/>
        <v>13.35</v>
      </c>
      <c r="K1247" s="593">
        <f t="shared" si="997"/>
        <v>16.25</v>
      </c>
      <c r="L1247" s="594" t="s">
        <v>21</v>
      </c>
      <c r="M1247" s="92"/>
      <c r="N1247" s="92"/>
      <c r="O1247" s="93">
        <f t="shared" si="999"/>
        <v>0</v>
      </c>
      <c r="P1247" s="93">
        <f t="shared" si="1000"/>
        <v>0</v>
      </c>
      <c r="Q1247" s="94"/>
      <c r="R1247" s="92">
        <f t="shared" si="1001"/>
        <v>0</v>
      </c>
      <c r="S1247" s="92">
        <f t="shared" si="1002"/>
        <v>0</v>
      </c>
      <c r="T1247" s="93">
        <f t="shared" si="1003"/>
        <v>0</v>
      </c>
      <c r="U1247" s="95">
        <f t="shared" si="1004"/>
        <v>0</v>
      </c>
      <c r="V1247" s="94"/>
      <c r="X1247" s="580" t="str">
        <f t="shared" si="1005"/>
        <v/>
      </c>
      <c r="Y1247" s="580" t="str">
        <f t="shared" si="1006"/>
        <v/>
      </c>
      <c r="Z1247" s="580" t="str">
        <f t="shared" si="1007"/>
        <v/>
      </c>
    </row>
    <row r="1248" spans="1:26" ht="25.5" hidden="1" x14ac:dyDescent="0.2">
      <c r="A1248" s="97">
        <v>92865</v>
      </c>
      <c r="B1248" s="1031">
        <v>92865</v>
      </c>
      <c r="C1248" s="978" t="s">
        <v>883</v>
      </c>
      <c r="D1248" s="595" t="s">
        <v>1471</v>
      </c>
      <c r="E1248" s="596"/>
      <c r="F1248" s="671"/>
      <c r="G1248" s="597"/>
      <c r="H1248" s="682"/>
      <c r="I1248" s="592">
        <v>10.28</v>
      </c>
      <c r="J1248" s="592">
        <f t="shared" si="998"/>
        <v>10.28</v>
      </c>
      <c r="K1248" s="593">
        <f t="shared" si="997"/>
        <v>12.51</v>
      </c>
      <c r="L1248" s="594" t="s">
        <v>21</v>
      </c>
      <c r="M1248" s="92"/>
      <c r="N1248" s="92"/>
      <c r="O1248" s="93">
        <f t="shared" si="999"/>
        <v>0</v>
      </c>
      <c r="P1248" s="93">
        <f t="shared" si="1000"/>
        <v>0</v>
      </c>
      <c r="Q1248" s="94"/>
      <c r="R1248" s="92">
        <f t="shared" si="1001"/>
        <v>0</v>
      </c>
      <c r="S1248" s="92">
        <f t="shared" si="1002"/>
        <v>0</v>
      </c>
      <c r="T1248" s="93">
        <f t="shared" si="1003"/>
        <v>0</v>
      </c>
      <c r="U1248" s="95">
        <f t="shared" si="1004"/>
        <v>0</v>
      </c>
      <c r="V1248" s="94"/>
      <c r="X1248" s="580" t="str">
        <f t="shared" si="1005"/>
        <v/>
      </c>
      <c r="Y1248" s="580" t="str">
        <f t="shared" si="1006"/>
        <v/>
      </c>
      <c r="Z1248" s="580" t="str">
        <f t="shared" si="1007"/>
        <v/>
      </c>
    </row>
    <row r="1249" spans="1:26" ht="25.5" hidden="1" x14ac:dyDescent="0.2">
      <c r="A1249" s="97">
        <v>92866</v>
      </c>
      <c r="B1249" s="1031">
        <v>92866</v>
      </c>
      <c r="C1249" s="978" t="s">
        <v>883</v>
      </c>
      <c r="D1249" s="595" t="s">
        <v>1472</v>
      </c>
      <c r="E1249" s="596"/>
      <c r="F1249" s="671"/>
      <c r="G1249" s="597"/>
      <c r="H1249" s="682"/>
      <c r="I1249" s="592">
        <v>8.18</v>
      </c>
      <c r="J1249" s="592">
        <f t="shared" si="998"/>
        <v>8.18</v>
      </c>
      <c r="K1249" s="593">
        <f t="shared" si="997"/>
        <v>9.9600000000000009</v>
      </c>
      <c r="L1249" s="594" t="s">
        <v>21</v>
      </c>
      <c r="M1249" s="92"/>
      <c r="N1249" s="92"/>
      <c r="O1249" s="93">
        <f t="shared" si="999"/>
        <v>0</v>
      </c>
      <c r="P1249" s="93">
        <f t="shared" si="1000"/>
        <v>0</v>
      </c>
      <c r="Q1249" s="94"/>
      <c r="R1249" s="92">
        <f t="shared" si="1001"/>
        <v>0</v>
      </c>
      <c r="S1249" s="92">
        <f t="shared" si="1002"/>
        <v>0</v>
      </c>
      <c r="T1249" s="93">
        <f t="shared" si="1003"/>
        <v>0</v>
      </c>
      <c r="U1249" s="95">
        <f t="shared" si="1004"/>
        <v>0</v>
      </c>
      <c r="V1249" s="94"/>
      <c r="X1249" s="580" t="str">
        <f t="shared" si="1005"/>
        <v/>
      </c>
      <c r="Y1249" s="580" t="str">
        <f t="shared" si="1006"/>
        <v/>
      </c>
      <c r="Z1249" s="580" t="str">
        <f t="shared" si="1007"/>
        <v/>
      </c>
    </row>
    <row r="1250" spans="1:26" ht="25.5" hidden="1" x14ac:dyDescent="0.2">
      <c r="A1250" s="97">
        <v>92867</v>
      </c>
      <c r="B1250" s="1031">
        <v>92867</v>
      </c>
      <c r="C1250" s="978" t="s">
        <v>883</v>
      </c>
      <c r="D1250" s="595" t="s">
        <v>1473</v>
      </c>
      <c r="E1250" s="596"/>
      <c r="F1250" s="671"/>
      <c r="G1250" s="597"/>
      <c r="H1250" s="682"/>
      <c r="I1250" s="592">
        <v>25.62</v>
      </c>
      <c r="J1250" s="592">
        <f t="shared" si="998"/>
        <v>25.62</v>
      </c>
      <c r="K1250" s="593">
        <f t="shared" si="997"/>
        <v>31.18</v>
      </c>
      <c r="L1250" s="594" t="s">
        <v>21</v>
      </c>
      <c r="M1250" s="92"/>
      <c r="N1250" s="92"/>
      <c r="O1250" s="93">
        <f t="shared" si="999"/>
        <v>0</v>
      </c>
      <c r="P1250" s="93">
        <f t="shared" si="1000"/>
        <v>0</v>
      </c>
      <c r="Q1250" s="94"/>
      <c r="R1250" s="92">
        <f t="shared" si="1001"/>
        <v>0</v>
      </c>
      <c r="S1250" s="92">
        <f t="shared" si="1002"/>
        <v>0</v>
      </c>
      <c r="T1250" s="93">
        <f t="shared" si="1003"/>
        <v>0</v>
      </c>
      <c r="U1250" s="95">
        <f t="shared" si="1004"/>
        <v>0</v>
      </c>
      <c r="V1250" s="94"/>
      <c r="X1250" s="580" t="str">
        <f t="shared" si="1005"/>
        <v/>
      </c>
      <c r="Y1250" s="580" t="str">
        <f t="shared" si="1006"/>
        <v/>
      </c>
      <c r="Z1250" s="580" t="str">
        <f t="shared" si="1007"/>
        <v/>
      </c>
    </row>
    <row r="1251" spans="1:26" ht="25.5" hidden="1" x14ac:dyDescent="0.2">
      <c r="A1251" s="97">
        <v>92868</v>
      </c>
      <c r="B1251" s="1031">
        <v>92868</v>
      </c>
      <c r="C1251" s="978" t="s">
        <v>883</v>
      </c>
      <c r="D1251" s="595" t="s">
        <v>1474</v>
      </c>
      <c r="E1251" s="596"/>
      <c r="F1251" s="671"/>
      <c r="G1251" s="597"/>
      <c r="H1251" s="682"/>
      <c r="I1251" s="592">
        <v>13.37</v>
      </c>
      <c r="J1251" s="592">
        <f t="shared" si="998"/>
        <v>13.37</v>
      </c>
      <c r="K1251" s="593">
        <f t="shared" si="997"/>
        <v>16.27</v>
      </c>
      <c r="L1251" s="594" t="s">
        <v>21</v>
      </c>
      <c r="M1251" s="92"/>
      <c r="N1251" s="92"/>
      <c r="O1251" s="93">
        <f t="shared" si="999"/>
        <v>0</v>
      </c>
      <c r="P1251" s="93">
        <f t="shared" si="1000"/>
        <v>0</v>
      </c>
      <c r="Q1251" s="94"/>
      <c r="R1251" s="92">
        <f t="shared" si="1001"/>
        <v>0</v>
      </c>
      <c r="S1251" s="92">
        <f t="shared" si="1002"/>
        <v>0</v>
      </c>
      <c r="T1251" s="93">
        <f t="shared" si="1003"/>
        <v>0</v>
      </c>
      <c r="U1251" s="95">
        <f t="shared" si="1004"/>
        <v>0</v>
      </c>
      <c r="V1251" s="94"/>
      <c r="X1251" s="580" t="str">
        <f t="shared" si="1005"/>
        <v/>
      </c>
      <c r="Y1251" s="580" t="str">
        <f t="shared" si="1006"/>
        <v/>
      </c>
      <c r="Z1251" s="580" t="str">
        <f t="shared" si="1007"/>
        <v/>
      </c>
    </row>
    <row r="1252" spans="1:26" ht="25.5" hidden="1" x14ac:dyDescent="0.2">
      <c r="A1252" s="97">
        <v>92869</v>
      </c>
      <c r="B1252" s="1031">
        <v>92869</v>
      </c>
      <c r="C1252" s="978" t="s">
        <v>883</v>
      </c>
      <c r="D1252" s="595" t="s">
        <v>1475</v>
      </c>
      <c r="E1252" s="596"/>
      <c r="F1252" s="671"/>
      <c r="G1252" s="597"/>
      <c r="H1252" s="682"/>
      <c r="I1252" s="592">
        <v>8.7799999999999994</v>
      </c>
      <c r="J1252" s="592">
        <f t="shared" si="998"/>
        <v>8.7799999999999994</v>
      </c>
      <c r="K1252" s="593">
        <f t="shared" si="997"/>
        <v>10.69</v>
      </c>
      <c r="L1252" s="594" t="s">
        <v>21</v>
      </c>
      <c r="M1252" s="92"/>
      <c r="N1252" s="92"/>
      <c r="O1252" s="93">
        <f t="shared" si="999"/>
        <v>0</v>
      </c>
      <c r="P1252" s="93">
        <f t="shared" si="1000"/>
        <v>0</v>
      </c>
      <c r="Q1252" s="94"/>
      <c r="R1252" s="92">
        <f t="shared" si="1001"/>
        <v>0</v>
      </c>
      <c r="S1252" s="92">
        <f t="shared" si="1002"/>
        <v>0</v>
      </c>
      <c r="T1252" s="93">
        <f t="shared" si="1003"/>
        <v>0</v>
      </c>
      <c r="U1252" s="95">
        <f t="shared" si="1004"/>
        <v>0</v>
      </c>
      <c r="V1252" s="94"/>
      <c r="X1252" s="580" t="str">
        <f t="shared" si="1005"/>
        <v/>
      </c>
      <c r="Y1252" s="580" t="str">
        <f t="shared" si="1006"/>
        <v/>
      </c>
      <c r="Z1252" s="580" t="str">
        <f t="shared" si="1007"/>
        <v/>
      </c>
    </row>
    <row r="1253" spans="1:26" ht="25.5" hidden="1" x14ac:dyDescent="0.2">
      <c r="A1253" s="97">
        <v>92870</v>
      </c>
      <c r="B1253" s="1031">
        <v>92870</v>
      </c>
      <c r="C1253" s="978" t="s">
        <v>883</v>
      </c>
      <c r="D1253" s="595" t="s">
        <v>1476</v>
      </c>
      <c r="E1253" s="596"/>
      <c r="F1253" s="671"/>
      <c r="G1253" s="597"/>
      <c r="H1253" s="682"/>
      <c r="I1253" s="592">
        <v>31.26</v>
      </c>
      <c r="J1253" s="592">
        <f t="shared" si="998"/>
        <v>31.26</v>
      </c>
      <c r="K1253" s="593">
        <f t="shared" si="997"/>
        <v>38.049999999999997</v>
      </c>
      <c r="L1253" s="594" t="s">
        <v>21</v>
      </c>
      <c r="M1253" s="92"/>
      <c r="N1253" s="92"/>
      <c r="O1253" s="93">
        <f t="shared" si="999"/>
        <v>0</v>
      </c>
      <c r="P1253" s="93">
        <f t="shared" si="1000"/>
        <v>0</v>
      </c>
      <c r="Q1253" s="94"/>
      <c r="R1253" s="92">
        <f t="shared" si="1001"/>
        <v>0</v>
      </c>
      <c r="S1253" s="92">
        <f t="shared" si="1002"/>
        <v>0</v>
      </c>
      <c r="T1253" s="93">
        <f t="shared" si="1003"/>
        <v>0</v>
      </c>
      <c r="U1253" s="95">
        <f t="shared" si="1004"/>
        <v>0</v>
      </c>
      <c r="V1253" s="94"/>
      <c r="X1253" s="580" t="str">
        <f t="shared" si="1005"/>
        <v/>
      </c>
      <c r="Y1253" s="580" t="str">
        <f t="shared" si="1006"/>
        <v/>
      </c>
      <c r="Z1253" s="580" t="str">
        <f t="shared" si="1007"/>
        <v/>
      </c>
    </row>
    <row r="1254" spans="1:26" ht="25.5" hidden="1" x14ac:dyDescent="0.2">
      <c r="A1254" s="97">
        <v>92871</v>
      </c>
      <c r="B1254" s="1031">
        <v>92871</v>
      </c>
      <c r="C1254" s="978" t="s">
        <v>883</v>
      </c>
      <c r="D1254" s="595" t="s">
        <v>1477</v>
      </c>
      <c r="E1254" s="596"/>
      <c r="F1254" s="671"/>
      <c r="G1254" s="597"/>
      <c r="H1254" s="682"/>
      <c r="I1254" s="592">
        <v>17.18</v>
      </c>
      <c r="J1254" s="592">
        <f t="shared" si="998"/>
        <v>17.18</v>
      </c>
      <c r="K1254" s="593">
        <f t="shared" si="997"/>
        <v>20.91</v>
      </c>
      <c r="L1254" s="594" t="s">
        <v>21</v>
      </c>
      <c r="M1254" s="92"/>
      <c r="N1254" s="92"/>
      <c r="O1254" s="93">
        <f t="shared" si="999"/>
        <v>0</v>
      </c>
      <c r="P1254" s="93">
        <f t="shared" si="1000"/>
        <v>0</v>
      </c>
      <c r="Q1254" s="94"/>
      <c r="R1254" s="92">
        <f t="shared" si="1001"/>
        <v>0</v>
      </c>
      <c r="S1254" s="92">
        <f t="shared" si="1002"/>
        <v>0</v>
      </c>
      <c r="T1254" s="93">
        <f t="shared" si="1003"/>
        <v>0</v>
      </c>
      <c r="U1254" s="95">
        <f t="shared" si="1004"/>
        <v>0</v>
      </c>
      <c r="V1254" s="94"/>
      <c r="X1254" s="580" t="str">
        <f t="shared" si="1005"/>
        <v/>
      </c>
      <c r="Y1254" s="580" t="str">
        <f t="shared" si="1006"/>
        <v/>
      </c>
      <c r="Z1254" s="580" t="str">
        <f t="shared" si="1007"/>
        <v/>
      </c>
    </row>
    <row r="1255" spans="1:26" ht="25.5" hidden="1" x14ac:dyDescent="0.2">
      <c r="A1255" s="97">
        <v>92872</v>
      </c>
      <c r="B1255" s="1031">
        <v>92872</v>
      </c>
      <c r="C1255" s="978" t="s">
        <v>883</v>
      </c>
      <c r="D1255" s="595" t="s">
        <v>1478</v>
      </c>
      <c r="E1255" s="596"/>
      <c r="F1255" s="671"/>
      <c r="G1255" s="597"/>
      <c r="H1255" s="682"/>
      <c r="I1255" s="592">
        <v>11.91</v>
      </c>
      <c r="J1255" s="592">
        <f t="shared" si="998"/>
        <v>11.91</v>
      </c>
      <c r="K1255" s="593">
        <f t="shared" si="997"/>
        <v>14.5</v>
      </c>
      <c r="L1255" s="594" t="s">
        <v>21</v>
      </c>
      <c r="M1255" s="92"/>
      <c r="N1255" s="92"/>
      <c r="O1255" s="93">
        <f t="shared" si="999"/>
        <v>0</v>
      </c>
      <c r="P1255" s="93">
        <f t="shared" si="1000"/>
        <v>0</v>
      </c>
      <c r="Q1255" s="94"/>
      <c r="R1255" s="92">
        <f t="shared" si="1001"/>
        <v>0</v>
      </c>
      <c r="S1255" s="92">
        <f t="shared" si="1002"/>
        <v>0</v>
      </c>
      <c r="T1255" s="93">
        <f t="shared" si="1003"/>
        <v>0</v>
      </c>
      <c r="U1255" s="95">
        <f t="shared" si="1004"/>
        <v>0</v>
      </c>
      <c r="V1255" s="94"/>
      <c r="X1255" s="580" t="str">
        <f t="shared" si="1005"/>
        <v/>
      </c>
      <c r="Y1255" s="580" t="str">
        <f t="shared" si="1006"/>
        <v/>
      </c>
      <c r="Z1255" s="580" t="str">
        <f t="shared" si="1007"/>
        <v/>
      </c>
    </row>
    <row r="1256" spans="1:26" ht="25.5" hidden="1" x14ac:dyDescent="0.2">
      <c r="A1256" s="97">
        <v>97886</v>
      </c>
      <c r="B1256" s="1031">
        <v>97886</v>
      </c>
      <c r="C1256" s="978" t="s">
        <v>883</v>
      </c>
      <c r="D1256" s="595" t="s">
        <v>1479</v>
      </c>
      <c r="E1256" s="596"/>
      <c r="F1256" s="671"/>
      <c r="G1256" s="597"/>
      <c r="H1256" s="682"/>
      <c r="I1256" s="592">
        <v>156.82</v>
      </c>
      <c r="J1256" s="592">
        <f t="shared" si="998"/>
        <v>156.82</v>
      </c>
      <c r="K1256" s="593">
        <f t="shared" si="997"/>
        <v>190.87</v>
      </c>
      <c r="L1256" s="594" t="s">
        <v>21</v>
      </c>
      <c r="M1256" s="92"/>
      <c r="N1256" s="92"/>
      <c r="O1256" s="93">
        <f t="shared" si="999"/>
        <v>0</v>
      </c>
      <c r="P1256" s="93">
        <f t="shared" si="1000"/>
        <v>0</v>
      </c>
      <c r="Q1256" s="94"/>
      <c r="R1256" s="92">
        <f t="shared" si="1001"/>
        <v>0</v>
      </c>
      <c r="S1256" s="92">
        <f t="shared" si="1002"/>
        <v>0</v>
      </c>
      <c r="T1256" s="93">
        <f t="shared" si="1003"/>
        <v>0</v>
      </c>
      <c r="U1256" s="95">
        <f t="shared" si="1004"/>
        <v>0</v>
      </c>
      <c r="V1256" s="94"/>
      <c r="X1256" s="580" t="str">
        <f t="shared" si="1005"/>
        <v/>
      </c>
      <c r="Y1256" s="580" t="str">
        <f t="shared" si="1006"/>
        <v/>
      </c>
      <c r="Z1256" s="580" t="str">
        <f t="shared" si="1007"/>
        <v/>
      </c>
    </row>
    <row r="1257" spans="1:26" ht="25.5" hidden="1" x14ac:dyDescent="0.2">
      <c r="A1257" s="97">
        <v>97887</v>
      </c>
      <c r="B1257" s="1031">
        <v>97887</v>
      </c>
      <c r="C1257" s="978" t="s">
        <v>883</v>
      </c>
      <c r="D1257" s="595" t="s">
        <v>1480</v>
      </c>
      <c r="E1257" s="596"/>
      <c r="F1257" s="671"/>
      <c r="G1257" s="597"/>
      <c r="H1257" s="682"/>
      <c r="I1257" s="592">
        <v>248.16</v>
      </c>
      <c r="J1257" s="592">
        <f t="shared" si="998"/>
        <v>248.16</v>
      </c>
      <c r="K1257" s="593">
        <f t="shared" si="997"/>
        <v>302.04000000000002</v>
      </c>
      <c r="L1257" s="594" t="s">
        <v>21</v>
      </c>
      <c r="M1257" s="92"/>
      <c r="N1257" s="92"/>
      <c r="O1257" s="93">
        <f t="shared" si="999"/>
        <v>0</v>
      </c>
      <c r="P1257" s="93">
        <f t="shared" si="1000"/>
        <v>0</v>
      </c>
      <c r="Q1257" s="94"/>
      <c r="R1257" s="92">
        <f t="shared" si="1001"/>
        <v>0</v>
      </c>
      <c r="S1257" s="92">
        <f t="shared" si="1002"/>
        <v>0</v>
      </c>
      <c r="T1257" s="93">
        <f t="shared" si="1003"/>
        <v>0</v>
      </c>
      <c r="U1257" s="95">
        <f t="shared" si="1004"/>
        <v>0</v>
      </c>
      <c r="V1257" s="94"/>
      <c r="X1257" s="580" t="str">
        <f t="shared" si="1005"/>
        <v/>
      </c>
      <c r="Y1257" s="580" t="str">
        <f t="shared" si="1006"/>
        <v/>
      </c>
      <c r="Z1257" s="580" t="str">
        <f t="shared" si="1007"/>
        <v/>
      </c>
    </row>
    <row r="1258" spans="1:26" ht="25.5" hidden="1" x14ac:dyDescent="0.2">
      <c r="A1258" s="97">
        <v>97888</v>
      </c>
      <c r="B1258" s="1031">
        <v>97888</v>
      </c>
      <c r="C1258" s="978" t="s">
        <v>883</v>
      </c>
      <c r="D1258" s="595" t="s">
        <v>1481</v>
      </c>
      <c r="E1258" s="596"/>
      <c r="F1258" s="671"/>
      <c r="G1258" s="597"/>
      <c r="H1258" s="682"/>
      <c r="I1258" s="592">
        <v>479.56</v>
      </c>
      <c r="J1258" s="592">
        <f t="shared" si="998"/>
        <v>479.56</v>
      </c>
      <c r="K1258" s="593">
        <f t="shared" si="997"/>
        <v>583.66999999999996</v>
      </c>
      <c r="L1258" s="594" t="s">
        <v>21</v>
      </c>
      <c r="M1258" s="92"/>
      <c r="N1258" s="92"/>
      <c r="O1258" s="93">
        <f t="shared" si="999"/>
        <v>0</v>
      </c>
      <c r="P1258" s="93">
        <f t="shared" si="1000"/>
        <v>0</v>
      </c>
      <c r="Q1258" s="94"/>
      <c r="R1258" s="92">
        <f t="shared" si="1001"/>
        <v>0</v>
      </c>
      <c r="S1258" s="92">
        <f t="shared" si="1002"/>
        <v>0</v>
      </c>
      <c r="T1258" s="93">
        <f t="shared" si="1003"/>
        <v>0</v>
      </c>
      <c r="U1258" s="95">
        <f t="shared" si="1004"/>
        <v>0</v>
      </c>
      <c r="V1258" s="94"/>
      <c r="X1258" s="580" t="str">
        <f t="shared" si="1005"/>
        <v/>
      </c>
      <c r="Y1258" s="580" t="str">
        <f t="shared" si="1006"/>
        <v/>
      </c>
      <c r="Z1258" s="580" t="str">
        <f t="shared" si="1007"/>
        <v/>
      </c>
    </row>
    <row r="1259" spans="1:26" ht="25.5" hidden="1" x14ac:dyDescent="0.2">
      <c r="A1259" s="97">
        <v>97889</v>
      </c>
      <c r="B1259" s="1031">
        <v>97889</v>
      </c>
      <c r="C1259" s="978" t="s">
        <v>883</v>
      </c>
      <c r="D1259" s="595" t="s">
        <v>1482</v>
      </c>
      <c r="E1259" s="596"/>
      <c r="F1259" s="671"/>
      <c r="G1259" s="597"/>
      <c r="H1259" s="682"/>
      <c r="I1259" s="592">
        <v>642.05999999999995</v>
      </c>
      <c r="J1259" s="592">
        <f t="shared" si="998"/>
        <v>642.05999999999995</v>
      </c>
      <c r="K1259" s="593">
        <f t="shared" si="997"/>
        <v>781.45</v>
      </c>
      <c r="L1259" s="594" t="s">
        <v>21</v>
      </c>
      <c r="M1259" s="92"/>
      <c r="N1259" s="92"/>
      <c r="O1259" s="93">
        <f t="shared" si="999"/>
        <v>0</v>
      </c>
      <c r="P1259" s="93">
        <f t="shared" si="1000"/>
        <v>0</v>
      </c>
      <c r="Q1259" s="94"/>
      <c r="R1259" s="92">
        <f t="shared" si="1001"/>
        <v>0</v>
      </c>
      <c r="S1259" s="92">
        <f t="shared" si="1002"/>
        <v>0</v>
      </c>
      <c r="T1259" s="93">
        <f t="shared" si="1003"/>
        <v>0</v>
      </c>
      <c r="U1259" s="95">
        <f t="shared" si="1004"/>
        <v>0</v>
      </c>
      <c r="V1259" s="94"/>
      <c r="X1259" s="580" t="str">
        <f t="shared" si="1005"/>
        <v/>
      </c>
      <c r="Y1259" s="580" t="str">
        <f t="shared" si="1006"/>
        <v/>
      </c>
      <c r="Z1259" s="580" t="str">
        <f t="shared" si="1007"/>
        <v/>
      </c>
    </row>
    <row r="1260" spans="1:26" ht="25.5" hidden="1" x14ac:dyDescent="0.2">
      <c r="A1260" s="97">
        <v>97890</v>
      </c>
      <c r="B1260" s="1031">
        <v>97890</v>
      </c>
      <c r="C1260" s="978" t="s">
        <v>883</v>
      </c>
      <c r="D1260" s="595" t="s">
        <v>1483</v>
      </c>
      <c r="E1260" s="596"/>
      <c r="F1260" s="671"/>
      <c r="G1260" s="597"/>
      <c r="H1260" s="682"/>
      <c r="I1260" s="592">
        <v>736.45</v>
      </c>
      <c r="J1260" s="592">
        <f t="shared" si="998"/>
        <v>736.45</v>
      </c>
      <c r="K1260" s="593">
        <f t="shared" si="997"/>
        <v>896.33</v>
      </c>
      <c r="L1260" s="594" t="s">
        <v>21</v>
      </c>
      <c r="M1260" s="92"/>
      <c r="N1260" s="92"/>
      <c r="O1260" s="93">
        <f t="shared" si="999"/>
        <v>0</v>
      </c>
      <c r="P1260" s="93">
        <f t="shared" si="1000"/>
        <v>0</v>
      </c>
      <c r="Q1260" s="94"/>
      <c r="R1260" s="92">
        <f t="shared" si="1001"/>
        <v>0</v>
      </c>
      <c r="S1260" s="92">
        <f t="shared" si="1002"/>
        <v>0</v>
      </c>
      <c r="T1260" s="93">
        <f t="shared" si="1003"/>
        <v>0</v>
      </c>
      <c r="U1260" s="95">
        <f t="shared" si="1004"/>
        <v>0</v>
      </c>
      <c r="V1260" s="94"/>
      <c r="X1260" s="580" t="str">
        <f t="shared" si="1005"/>
        <v/>
      </c>
      <c r="Y1260" s="580" t="str">
        <f t="shared" si="1006"/>
        <v/>
      </c>
      <c r="Z1260" s="580" t="str">
        <f t="shared" si="1007"/>
        <v/>
      </c>
    </row>
    <row r="1261" spans="1:26" ht="25.5" hidden="1" x14ac:dyDescent="0.2">
      <c r="A1261" s="97">
        <v>97933</v>
      </c>
      <c r="B1261" s="1031">
        <v>97933</v>
      </c>
      <c r="C1261" s="978" t="s">
        <v>883</v>
      </c>
      <c r="D1261" s="595" t="s">
        <v>1484</v>
      </c>
      <c r="E1261" s="596"/>
      <c r="F1261" s="671"/>
      <c r="G1261" s="597"/>
      <c r="H1261" s="682"/>
      <c r="I1261" s="592">
        <v>508</v>
      </c>
      <c r="J1261" s="592">
        <f t="shared" si="998"/>
        <v>508</v>
      </c>
      <c r="K1261" s="593">
        <f t="shared" si="997"/>
        <v>618.29</v>
      </c>
      <c r="L1261" s="594" t="s">
        <v>21</v>
      </c>
      <c r="M1261" s="92"/>
      <c r="N1261" s="92"/>
      <c r="O1261" s="93">
        <f t="shared" si="999"/>
        <v>0</v>
      </c>
      <c r="P1261" s="93">
        <f t="shared" si="1000"/>
        <v>0</v>
      </c>
      <c r="Q1261" s="94"/>
      <c r="R1261" s="92">
        <f t="shared" si="1001"/>
        <v>0</v>
      </c>
      <c r="S1261" s="92">
        <f t="shared" si="1002"/>
        <v>0</v>
      </c>
      <c r="T1261" s="93">
        <f t="shared" si="1003"/>
        <v>0</v>
      </c>
      <c r="U1261" s="95">
        <f t="shared" si="1004"/>
        <v>0</v>
      </c>
      <c r="V1261" s="94"/>
      <c r="X1261" s="580" t="str">
        <f t="shared" si="1005"/>
        <v/>
      </c>
      <c r="Y1261" s="580" t="str">
        <f t="shared" si="1006"/>
        <v/>
      </c>
      <c r="Z1261" s="580" t="str">
        <f t="shared" si="1007"/>
        <v/>
      </c>
    </row>
    <row r="1262" spans="1:26" ht="25.5" hidden="1" x14ac:dyDescent="0.2">
      <c r="A1262" s="97">
        <v>97947</v>
      </c>
      <c r="B1262" s="1031">
        <v>97947</v>
      </c>
      <c r="C1262" s="978" t="s">
        <v>883</v>
      </c>
      <c r="D1262" s="595" t="s">
        <v>1485</v>
      </c>
      <c r="E1262" s="596"/>
      <c r="F1262" s="671"/>
      <c r="G1262" s="597"/>
      <c r="H1262" s="682"/>
      <c r="I1262" s="592">
        <v>1283.68</v>
      </c>
      <c r="J1262" s="592">
        <f t="shared" si="998"/>
        <v>1283.68</v>
      </c>
      <c r="K1262" s="593">
        <f t="shared" si="997"/>
        <v>1562.37</v>
      </c>
      <c r="L1262" s="594" t="s">
        <v>21</v>
      </c>
      <c r="M1262" s="92"/>
      <c r="N1262" s="92"/>
      <c r="O1262" s="93">
        <f t="shared" si="999"/>
        <v>0</v>
      </c>
      <c r="P1262" s="93">
        <f t="shared" si="1000"/>
        <v>0</v>
      </c>
      <c r="Q1262" s="94"/>
      <c r="R1262" s="92">
        <f t="shared" si="1001"/>
        <v>0</v>
      </c>
      <c r="S1262" s="92">
        <f t="shared" si="1002"/>
        <v>0</v>
      </c>
      <c r="T1262" s="93">
        <f t="shared" si="1003"/>
        <v>0</v>
      </c>
      <c r="U1262" s="95">
        <f t="shared" si="1004"/>
        <v>0</v>
      </c>
      <c r="V1262" s="94"/>
      <c r="X1262" s="580" t="str">
        <f t="shared" si="1005"/>
        <v/>
      </c>
      <c r="Y1262" s="580" t="str">
        <f t="shared" si="1006"/>
        <v/>
      </c>
      <c r="Z1262" s="580" t="str">
        <f t="shared" si="1007"/>
        <v/>
      </c>
    </row>
    <row r="1263" spans="1:26" ht="25.5" hidden="1" x14ac:dyDescent="0.2">
      <c r="A1263" s="97">
        <v>97948</v>
      </c>
      <c r="B1263" s="1031">
        <v>97948</v>
      </c>
      <c r="C1263" s="978" t="s">
        <v>883</v>
      </c>
      <c r="D1263" s="595" t="s">
        <v>1486</v>
      </c>
      <c r="E1263" s="596"/>
      <c r="F1263" s="671"/>
      <c r="G1263" s="597"/>
      <c r="H1263" s="682"/>
      <c r="I1263" s="592">
        <v>2358.87</v>
      </c>
      <c r="J1263" s="592">
        <f t="shared" si="998"/>
        <v>2358.87</v>
      </c>
      <c r="K1263" s="593">
        <f t="shared" si="997"/>
        <v>2870.98</v>
      </c>
      <c r="L1263" s="594" t="s">
        <v>21</v>
      </c>
      <c r="M1263" s="92"/>
      <c r="N1263" s="92"/>
      <c r="O1263" s="93">
        <f t="shared" si="999"/>
        <v>0</v>
      </c>
      <c r="P1263" s="93">
        <f t="shared" si="1000"/>
        <v>0</v>
      </c>
      <c r="Q1263" s="94"/>
      <c r="R1263" s="92">
        <f t="shared" si="1001"/>
        <v>0</v>
      </c>
      <c r="S1263" s="92">
        <f t="shared" si="1002"/>
        <v>0</v>
      </c>
      <c r="T1263" s="93">
        <f t="shared" si="1003"/>
        <v>0</v>
      </c>
      <c r="U1263" s="95">
        <f t="shared" si="1004"/>
        <v>0</v>
      </c>
      <c r="V1263" s="94"/>
      <c r="X1263" s="580" t="str">
        <f t="shared" si="1005"/>
        <v/>
      </c>
      <c r="Y1263" s="580" t="str">
        <f t="shared" si="1006"/>
        <v/>
      </c>
      <c r="Z1263" s="580" t="str">
        <f t="shared" si="1007"/>
        <v/>
      </c>
    </row>
    <row r="1264" spans="1:26" ht="25.5" hidden="1" x14ac:dyDescent="0.2">
      <c r="A1264" s="97">
        <v>97953</v>
      </c>
      <c r="B1264" s="1031">
        <v>97953</v>
      </c>
      <c r="C1264" s="978" t="s">
        <v>883</v>
      </c>
      <c r="D1264" s="595" t="s">
        <v>1487</v>
      </c>
      <c r="E1264" s="596"/>
      <c r="F1264" s="671"/>
      <c r="G1264" s="597"/>
      <c r="H1264" s="682"/>
      <c r="I1264" s="592">
        <v>895.57</v>
      </c>
      <c r="J1264" s="592">
        <f t="shared" si="998"/>
        <v>895.57</v>
      </c>
      <c r="K1264" s="593">
        <f t="shared" si="997"/>
        <v>1090</v>
      </c>
      <c r="L1264" s="594" t="s">
        <v>21</v>
      </c>
      <c r="M1264" s="92"/>
      <c r="N1264" s="92"/>
      <c r="O1264" s="93">
        <f t="shared" si="999"/>
        <v>0</v>
      </c>
      <c r="P1264" s="93">
        <f t="shared" si="1000"/>
        <v>0</v>
      </c>
      <c r="Q1264" s="94"/>
      <c r="R1264" s="92">
        <f t="shared" si="1001"/>
        <v>0</v>
      </c>
      <c r="S1264" s="92">
        <f t="shared" si="1002"/>
        <v>0</v>
      </c>
      <c r="T1264" s="93">
        <f t="shared" si="1003"/>
        <v>0</v>
      </c>
      <c r="U1264" s="95">
        <f t="shared" si="1004"/>
        <v>0</v>
      </c>
      <c r="V1264" s="94"/>
      <c r="X1264" s="580" t="str">
        <f t="shared" si="1005"/>
        <v/>
      </c>
      <c r="Y1264" s="580" t="str">
        <f t="shared" si="1006"/>
        <v/>
      </c>
      <c r="Z1264" s="580" t="str">
        <f t="shared" si="1007"/>
        <v/>
      </c>
    </row>
    <row r="1265" spans="1:26" ht="25.5" hidden="1" x14ac:dyDescent="0.2">
      <c r="A1265" s="97">
        <v>97955</v>
      </c>
      <c r="B1265" s="1031">
        <v>97955</v>
      </c>
      <c r="C1265" s="978" t="s">
        <v>883</v>
      </c>
      <c r="D1265" s="595" t="s">
        <v>1488</v>
      </c>
      <c r="E1265" s="596"/>
      <c r="F1265" s="671"/>
      <c r="G1265" s="597"/>
      <c r="H1265" s="682"/>
      <c r="I1265" s="592">
        <v>1981.76</v>
      </c>
      <c r="J1265" s="592">
        <f t="shared" si="998"/>
        <v>1981.76</v>
      </c>
      <c r="K1265" s="593">
        <f t="shared" si="997"/>
        <v>2412</v>
      </c>
      <c r="L1265" s="594" t="s">
        <v>21</v>
      </c>
      <c r="M1265" s="92"/>
      <c r="N1265" s="92"/>
      <c r="O1265" s="93">
        <f t="shared" si="999"/>
        <v>0</v>
      </c>
      <c r="P1265" s="93">
        <f t="shared" si="1000"/>
        <v>0</v>
      </c>
      <c r="Q1265" s="94"/>
      <c r="R1265" s="92">
        <f t="shared" si="1001"/>
        <v>0</v>
      </c>
      <c r="S1265" s="92">
        <f t="shared" si="1002"/>
        <v>0</v>
      </c>
      <c r="T1265" s="93">
        <f t="shared" si="1003"/>
        <v>0</v>
      </c>
      <c r="U1265" s="95">
        <f t="shared" si="1004"/>
        <v>0</v>
      </c>
      <c r="V1265" s="94"/>
      <c r="X1265" s="580" t="str">
        <f t="shared" si="1005"/>
        <v/>
      </c>
      <c r="Y1265" s="580" t="str">
        <f t="shared" si="1006"/>
        <v/>
      </c>
      <c r="Z1265" s="580" t="str">
        <f t="shared" si="1007"/>
        <v/>
      </c>
    </row>
    <row r="1266" spans="1:26" ht="25.5" hidden="1" x14ac:dyDescent="0.2">
      <c r="A1266" s="97">
        <v>97891</v>
      </c>
      <c r="B1266" s="1031">
        <v>97891</v>
      </c>
      <c r="C1266" s="978" t="s">
        <v>883</v>
      </c>
      <c r="D1266" s="595" t="s">
        <v>1489</v>
      </c>
      <c r="E1266" s="596"/>
      <c r="F1266" s="671"/>
      <c r="G1266" s="597"/>
      <c r="H1266" s="682"/>
      <c r="I1266" s="592">
        <v>179.04</v>
      </c>
      <c r="J1266" s="592">
        <f t="shared" si="998"/>
        <v>179.04</v>
      </c>
      <c r="K1266" s="593">
        <f t="shared" si="997"/>
        <v>217.91</v>
      </c>
      <c r="L1266" s="594" t="s">
        <v>21</v>
      </c>
      <c r="M1266" s="92"/>
      <c r="N1266" s="92"/>
      <c r="O1266" s="93">
        <f t="shared" si="999"/>
        <v>0</v>
      </c>
      <c r="P1266" s="93">
        <f t="shared" si="1000"/>
        <v>0</v>
      </c>
      <c r="Q1266" s="94"/>
      <c r="R1266" s="92">
        <f t="shared" si="1001"/>
        <v>0</v>
      </c>
      <c r="S1266" s="92">
        <f t="shared" si="1002"/>
        <v>0</v>
      </c>
      <c r="T1266" s="93">
        <f t="shared" si="1003"/>
        <v>0</v>
      </c>
      <c r="U1266" s="95">
        <f t="shared" si="1004"/>
        <v>0</v>
      </c>
      <c r="V1266" s="94"/>
      <c r="X1266" s="580" t="str">
        <f t="shared" si="1005"/>
        <v/>
      </c>
      <c r="Y1266" s="580" t="str">
        <f t="shared" si="1006"/>
        <v/>
      </c>
      <c r="Z1266" s="580" t="str">
        <f t="shared" si="1007"/>
        <v/>
      </c>
    </row>
    <row r="1267" spans="1:26" ht="25.5" hidden="1" x14ac:dyDescent="0.2">
      <c r="A1267" s="97">
        <v>97892</v>
      </c>
      <c r="B1267" s="1031">
        <v>97892</v>
      </c>
      <c r="C1267" s="978" t="s">
        <v>883</v>
      </c>
      <c r="D1267" s="595" t="s">
        <v>1490</v>
      </c>
      <c r="E1267" s="596"/>
      <c r="F1267" s="671"/>
      <c r="G1267" s="597"/>
      <c r="H1267" s="682"/>
      <c r="I1267" s="592">
        <v>333.44</v>
      </c>
      <c r="J1267" s="592">
        <f t="shared" si="998"/>
        <v>333.44</v>
      </c>
      <c r="K1267" s="593">
        <f t="shared" si="997"/>
        <v>405.83</v>
      </c>
      <c r="L1267" s="594" t="s">
        <v>21</v>
      </c>
      <c r="M1267" s="92"/>
      <c r="N1267" s="92"/>
      <c r="O1267" s="93">
        <f t="shared" si="999"/>
        <v>0</v>
      </c>
      <c r="P1267" s="93">
        <f t="shared" si="1000"/>
        <v>0</v>
      </c>
      <c r="Q1267" s="94"/>
      <c r="R1267" s="92">
        <f t="shared" si="1001"/>
        <v>0</v>
      </c>
      <c r="S1267" s="92">
        <f t="shared" si="1002"/>
        <v>0</v>
      </c>
      <c r="T1267" s="93">
        <f t="shared" si="1003"/>
        <v>0</v>
      </c>
      <c r="U1267" s="95">
        <f t="shared" si="1004"/>
        <v>0</v>
      </c>
      <c r="V1267" s="94"/>
      <c r="X1267" s="580" t="str">
        <f t="shared" si="1005"/>
        <v/>
      </c>
      <c r="Y1267" s="580" t="str">
        <f t="shared" si="1006"/>
        <v/>
      </c>
      <c r="Z1267" s="580" t="str">
        <f t="shared" si="1007"/>
        <v/>
      </c>
    </row>
    <row r="1268" spans="1:26" ht="25.5" hidden="1" x14ac:dyDescent="0.2">
      <c r="A1268" s="97">
        <v>97893</v>
      </c>
      <c r="B1268" s="1031">
        <v>97893</v>
      </c>
      <c r="C1268" s="978" t="s">
        <v>883</v>
      </c>
      <c r="D1268" s="595" t="s">
        <v>1491</v>
      </c>
      <c r="E1268" s="596"/>
      <c r="F1268" s="671"/>
      <c r="G1268" s="597"/>
      <c r="H1268" s="682"/>
      <c r="I1268" s="592">
        <v>455.74</v>
      </c>
      <c r="J1268" s="592">
        <f t="shared" si="998"/>
        <v>455.74</v>
      </c>
      <c r="K1268" s="593">
        <f t="shared" si="997"/>
        <v>554.67999999999995</v>
      </c>
      <c r="L1268" s="594" t="s">
        <v>21</v>
      </c>
      <c r="M1268" s="92"/>
      <c r="N1268" s="92"/>
      <c r="O1268" s="93">
        <f t="shared" si="999"/>
        <v>0</v>
      </c>
      <c r="P1268" s="93">
        <f t="shared" si="1000"/>
        <v>0</v>
      </c>
      <c r="Q1268" s="94"/>
      <c r="R1268" s="92">
        <f t="shared" si="1001"/>
        <v>0</v>
      </c>
      <c r="S1268" s="92">
        <f t="shared" si="1002"/>
        <v>0</v>
      </c>
      <c r="T1268" s="93">
        <f t="shared" si="1003"/>
        <v>0</v>
      </c>
      <c r="U1268" s="95">
        <f t="shared" si="1004"/>
        <v>0</v>
      </c>
      <c r="V1268" s="94"/>
      <c r="X1268" s="580" t="str">
        <f t="shared" si="1005"/>
        <v/>
      </c>
      <c r="Y1268" s="580" t="str">
        <f t="shared" si="1006"/>
        <v/>
      </c>
      <c r="Z1268" s="580" t="str">
        <f t="shared" si="1007"/>
        <v/>
      </c>
    </row>
    <row r="1269" spans="1:26" ht="25.5" hidden="1" x14ac:dyDescent="0.2">
      <c r="A1269" s="97">
        <v>97894</v>
      </c>
      <c r="B1269" s="1031">
        <v>97894</v>
      </c>
      <c r="C1269" s="978" t="s">
        <v>883</v>
      </c>
      <c r="D1269" s="595" t="s">
        <v>1492</v>
      </c>
      <c r="E1269" s="596"/>
      <c r="F1269" s="671"/>
      <c r="G1269" s="597"/>
      <c r="H1269" s="682"/>
      <c r="I1269" s="592">
        <v>510.67</v>
      </c>
      <c r="J1269" s="592">
        <f t="shared" si="998"/>
        <v>510.67</v>
      </c>
      <c r="K1269" s="593">
        <f t="shared" si="997"/>
        <v>621.54</v>
      </c>
      <c r="L1269" s="594" t="s">
        <v>21</v>
      </c>
      <c r="M1269" s="92"/>
      <c r="N1269" s="92"/>
      <c r="O1269" s="93">
        <f t="shared" si="999"/>
        <v>0</v>
      </c>
      <c r="P1269" s="93">
        <f t="shared" si="1000"/>
        <v>0</v>
      </c>
      <c r="Q1269" s="94"/>
      <c r="R1269" s="92">
        <f t="shared" si="1001"/>
        <v>0</v>
      </c>
      <c r="S1269" s="92">
        <f t="shared" si="1002"/>
        <v>0</v>
      </c>
      <c r="T1269" s="93">
        <f t="shared" si="1003"/>
        <v>0</v>
      </c>
      <c r="U1269" s="95">
        <f t="shared" si="1004"/>
        <v>0</v>
      </c>
      <c r="V1269" s="94"/>
      <c r="X1269" s="580" t="str">
        <f t="shared" si="1005"/>
        <v/>
      </c>
      <c r="Y1269" s="580" t="str">
        <f t="shared" si="1006"/>
        <v/>
      </c>
      <c r="Z1269" s="580" t="str">
        <f t="shared" si="1007"/>
        <v/>
      </c>
    </row>
    <row r="1270" spans="1:26" ht="25.5" hidden="1" x14ac:dyDescent="0.2">
      <c r="A1270" s="97">
        <v>97881</v>
      </c>
      <c r="B1270" s="1031">
        <v>97881</v>
      </c>
      <c r="C1270" s="978" t="s">
        <v>883</v>
      </c>
      <c r="D1270" s="595" t="s">
        <v>1493</v>
      </c>
      <c r="E1270" s="596"/>
      <c r="F1270" s="671"/>
      <c r="G1270" s="597"/>
      <c r="H1270" s="682"/>
      <c r="I1270" s="592">
        <v>79.209999999999994</v>
      </c>
      <c r="J1270" s="592">
        <f t="shared" si="998"/>
        <v>79.209999999999994</v>
      </c>
      <c r="K1270" s="593">
        <f t="shared" si="997"/>
        <v>96.41</v>
      </c>
      <c r="L1270" s="594" t="s">
        <v>21</v>
      </c>
      <c r="M1270" s="92"/>
      <c r="N1270" s="92"/>
      <c r="O1270" s="93">
        <f t="shared" si="999"/>
        <v>0</v>
      </c>
      <c r="P1270" s="93">
        <f t="shared" si="1000"/>
        <v>0</v>
      </c>
      <c r="Q1270" s="94"/>
      <c r="R1270" s="92">
        <f t="shared" si="1001"/>
        <v>0</v>
      </c>
      <c r="S1270" s="92">
        <f t="shared" si="1002"/>
        <v>0</v>
      </c>
      <c r="T1270" s="93">
        <f t="shared" si="1003"/>
        <v>0</v>
      </c>
      <c r="U1270" s="95">
        <f t="shared" si="1004"/>
        <v>0</v>
      </c>
      <c r="V1270" s="94"/>
      <c r="X1270" s="580" t="str">
        <f t="shared" si="1005"/>
        <v/>
      </c>
      <c r="Y1270" s="580" t="str">
        <f t="shared" si="1006"/>
        <v/>
      </c>
      <c r="Z1270" s="580" t="str">
        <f t="shared" si="1007"/>
        <v/>
      </c>
    </row>
    <row r="1271" spans="1:26" ht="25.5" hidden="1" x14ac:dyDescent="0.2">
      <c r="A1271" s="97">
        <v>97882</v>
      </c>
      <c r="B1271" s="1031">
        <v>97882</v>
      </c>
      <c r="C1271" s="978" t="s">
        <v>883</v>
      </c>
      <c r="D1271" s="595" t="s">
        <v>1494</v>
      </c>
      <c r="E1271" s="596"/>
      <c r="F1271" s="671"/>
      <c r="G1271" s="597"/>
      <c r="H1271" s="682"/>
      <c r="I1271" s="592">
        <v>121.11</v>
      </c>
      <c r="J1271" s="592">
        <f t="shared" si="998"/>
        <v>121.11</v>
      </c>
      <c r="K1271" s="593">
        <f t="shared" si="997"/>
        <v>147.4</v>
      </c>
      <c r="L1271" s="594" t="s">
        <v>21</v>
      </c>
      <c r="M1271" s="92"/>
      <c r="N1271" s="92"/>
      <c r="O1271" s="93">
        <f t="shared" si="999"/>
        <v>0</v>
      </c>
      <c r="P1271" s="93">
        <f t="shared" si="1000"/>
        <v>0</v>
      </c>
      <c r="Q1271" s="94"/>
      <c r="R1271" s="92">
        <f t="shared" si="1001"/>
        <v>0</v>
      </c>
      <c r="S1271" s="92">
        <f t="shared" si="1002"/>
        <v>0</v>
      </c>
      <c r="T1271" s="93">
        <f t="shared" si="1003"/>
        <v>0</v>
      </c>
      <c r="U1271" s="95">
        <f t="shared" si="1004"/>
        <v>0</v>
      </c>
      <c r="V1271" s="94"/>
      <c r="X1271" s="580" t="str">
        <f t="shared" si="1005"/>
        <v/>
      </c>
      <c r="Y1271" s="580" t="str">
        <f t="shared" si="1006"/>
        <v/>
      </c>
      <c r="Z1271" s="580" t="str">
        <f t="shared" si="1007"/>
        <v/>
      </c>
    </row>
    <row r="1272" spans="1:26" ht="25.5" hidden="1" x14ac:dyDescent="0.2">
      <c r="A1272" s="97">
        <v>97883</v>
      </c>
      <c r="B1272" s="1031">
        <v>97883</v>
      </c>
      <c r="C1272" s="978" t="s">
        <v>883</v>
      </c>
      <c r="D1272" s="595" t="s">
        <v>1495</v>
      </c>
      <c r="E1272" s="596"/>
      <c r="F1272" s="671"/>
      <c r="G1272" s="597"/>
      <c r="H1272" s="682"/>
      <c r="I1272" s="592">
        <v>228.79</v>
      </c>
      <c r="J1272" s="592">
        <f t="shared" si="998"/>
        <v>228.79</v>
      </c>
      <c r="K1272" s="593">
        <f t="shared" si="997"/>
        <v>278.45999999999998</v>
      </c>
      <c r="L1272" s="594" t="s">
        <v>21</v>
      </c>
      <c r="M1272" s="92"/>
      <c r="N1272" s="92"/>
      <c r="O1272" s="93">
        <f t="shared" si="999"/>
        <v>0</v>
      </c>
      <c r="P1272" s="93">
        <f t="shared" si="1000"/>
        <v>0</v>
      </c>
      <c r="Q1272" s="94"/>
      <c r="R1272" s="92">
        <f t="shared" si="1001"/>
        <v>0</v>
      </c>
      <c r="S1272" s="92">
        <f t="shared" si="1002"/>
        <v>0</v>
      </c>
      <c r="T1272" s="93">
        <f t="shared" si="1003"/>
        <v>0</v>
      </c>
      <c r="U1272" s="95">
        <f t="shared" si="1004"/>
        <v>0</v>
      </c>
      <c r="V1272" s="94"/>
      <c r="X1272" s="580" t="str">
        <f t="shared" si="1005"/>
        <v/>
      </c>
      <c r="Y1272" s="580" t="str">
        <f t="shared" si="1006"/>
        <v/>
      </c>
      <c r="Z1272" s="580" t="str">
        <f t="shared" si="1007"/>
        <v/>
      </c>
    </row>
    <row r="1273" spans="1:26" ht="25.5" hidden="1" x14ac:dyDescent="0.2">
      <c r="A1273" s="97">
        <v>97884</v>
      </c>
      <c r="B1273" s="1031">
        <v>97884</v>
      </c>
      <c r="C1273" s="978" t="s">
        <v>883</v>
      </c>
      <c r="D1273" s="595" t="s">
        <v>1496</v>
      </c>
      <c r="E1273" s="596"/>
      <c r="F1273" s="671"/>
      <c r="G1273" s="597"/>
      <c r="H1273" s="682"/>
      <c r="I1273" s="592">
        <v>433.56</v>
      </c>
      <c r="J1273" s="592">
        <f t="shared" si="998"/>
        <v>433.56</v>
      </c>
      <c r="K1273" s="593">
        <f t="shared" si="997"/>
        <v>527.69000000000005</v>
      </c>
      <c r="L1273" s="594" t="s">
        <v>21</v>
      </c>
      <c r="M1273" s="92"/>
      <c r="N1273" s="92"/>
      <c r="O1273" s="93">
        <f t="shared" si="999"/>
        <v>0</v>
      </c>
      <c r="P1273" s="93">
        <f t="shared" si="1000"/>
        <v>0</v>
      </c>
      <c r="Q1273" s="94"/>
      <c r="R1273" s="92">
        <f t="shared" si="1001"/>
        <v>0</v>
      </c>
      <c r="S1273" s="92">
        <f t="shared" si="1002"/>
        <v>0</v>
      </c>
      <c r="T1273" s="93">
        <f t="shared" si="1003"/>
        <v>0</v>
      </c>
      <c r="U1273" s="95">
        <f t="shared" si="1004"/>
        <v>0</v>
      </c>
      <c r="V1273" s="94"/>
      <c r="X1273" s="580" t="str">
        <f t="shared" si="1005"/>
        <v/>
      </c>
      <c r="Y1273" s="580" t="str">
        <f t="shared" si="1006"/>
        <v/>
      </c>
      <c r="Z1273" s="580" t="str">
        <f t="shared" si="1007"/>
        <v/>
      </c>
    </row>
    <row r="1274" spans="1:26" ht="25.5" hidden="1" x14ac:dyDescent="0.2">
      <c r="A1274" s="97">
        <v>97885</v>
      </c>
      <c r="B1274" s="1031">
        <v>97885</v>
      </c>
      <c r="C1274" s="978" t="s">
        <v>883</v>
      </c>
      <c r="D1274" s="595" t="s">
        <v>1497</v>
      </c>
      <c r="E1274" s="596"/>
      <c r="F1274" s="671"/>
      <c r="G1274" s="597"/>
      <c r="H1274" s="682"/>
      <c r="I1274" s="592">
        <v>665.31</v>
      </c>
      <c r="J1274" s="592">
        <f t="shared" si="998"/>
        <v>665.31</v>
      </c>
      <c r="K1274" s="593">
        <f t="shared" si="997"/>
        <v>809.75</v>
      </c>
      <c r="L1274" s="594" t="s">
        <v>21</v>
      </c>
      <c r="M1274" s="92"/>
      <c r="N1274" s="92"/>
      <c r="O1274" s="93">
        <f t="shared" si="999"/>
        <v>0</v>
      </c>
      <c r="P1274" s="93">
        <f t="shared" si="1000"/>
        <v>0</v>
      </c>
      <c r="Q1274" s="94"/>
      <c r="R1274" s="92">
        <f t="shared" si="1001"/>
        <v>0</v>
      </c>
      <c r="S1274" s="92">
        <f t="shared" si="1002"/>
        <v>0</v>
      </c>
      <c r="T1274" s="93">
        <f t="shared" si="1003"/>
        <v>0</v>
      </c>
      <c r="U1274" s="95">
        <f t="shared" si="1004"/>
        <v>0</v>
      </c>
      <c r="V1274" s="94"/>
      <c r="X1274" s="580" t="str">
        <f t="shared" si="1005"/>
        <v/>
      </c>
      <c r="Y1274" s="580" t="str">
        <f t="shared" si="1006"/>
        <v/>
      </c>
      <c r="Z1274" s="580" t="str">
        <f t="shared" si="1007"/>
        <v/>
      </c>
    </row>
    <row r="1275" spans="1:26" ht="25.5" hidden="1" x14ac:dyDescent="0.2">
      <c r="A1275" s="97">
        <v>91945</v>
      </c>
      <c r="B1275" s="1031">
        <v>91945</v>
      </c>
      <c r="C1275" s="978" t="s">
        <v>883</v>
      </c>
      <c r="D1275" s="595" t="s">
        <v>1498</v>
      </c>
      <c r="E1275" s="596"/>
      <c r="F1275" s="671"/>
      <c r="G1275" s="597"/>
      <c r="H1275" s="682"/>
      <c r="I1275" s="592">
        <v>9.19</v>
      </c>
      <c r="J1275" s="592">
        <f t="shared" si="998"/>
        <v>9.19</v>
      </c>
      <c r="K1275" s="593">
        <f t="shared" si="997"/>
        <v>11.19</v>
      </c>
      <c r="L1275" s="594" t="s">
        <v>21</v>
      </c>
      <c r="M1275" s="92"/>
      <c r="N1275" s="92"/>
      <c r="O1275" s="93">
        <f t="shared" si="999"/>
        <v>0</v>
      </c>
      <c r="P1275" s="93">
        <f t="shared" si="1000"/>
        <v>0</v>
      </c>
      <c r="Q1275" s="94"/>
      <c r="R1275" s="92">
        <f t="shared" si="1001"/>
        <v>0</v>
      </c>
      <c r="S1275" s="92">
        <f t="shared" si="1002"/>
        <v>0</v>
      </c>
      <c r="T1275" s="93">
        <f t="shared" si="1003"/>
        <v>0</v>
      </c>
      <c r="U1275" s="95">
        <f t="shared" si="1004"/>
        <v>0</v>
      </c>
      <c r="V1275" s="94"/>
      <c r="X1275" s="580" t="str">
        <f t="shared" si="1005"/>
        <v/>
      </c>
      <c r="Y1275" s="580" t="str">
        <f t="shared" si="1006"/>
        <v/>
      </c>
      <c r="Z1275" s="580" t="str">
        <f t="shared" si="1007"/>
        <v/>
      </c>
    </row>
    <row r="1276" spans="1:26" ht="25.5" hidden="1" x14ac:dyDescent="0.2">
      <c r="A1276" s="97">
        <v>91946</v>
      </c>
      <c r="B1276" s="1031">
        <v>91946</v>
      </c>
      <c r="C1276" s="978" t="s">
        <v>883</v>
      </c>
      <c r="D1276" s="595" t="s">
        <v>1499</v>
      </c>
      <c r="E1276" s="596"/>
      <c r="F1276" s="671"/>
      <c r="G1276" s="597"/>
      <c r="H1276" s="682"/>
      <c r="I1276" s="592">
        <v>7.72</v>
      </c>
      <c r="J1276" s="592">
        <f t="shared" si="998"/>
        <v>7.72</v>
      </c>
      <c r="K1276" s="593">
        <f t="shared" si="997"/>
        <v>9.4</v>
      </c>
      <c r="L1276" s="594" t="s">
        <v>21</v>
      </c>
      <c r="M1276" s="92"/>
      <c r="N1276" s="92"/>
      <c r="O1276" s="93">
        <f t="shared" si="999"/>
        <v>0</v>
      </c>
      <c r="P1276" s="93">
        <f t="shared" si="1000"/>
        <v>0</v>
      </c>
      <c r="Q1276" s="94"/>
      <c r="R1276" s="92">
        <f t="shared" si="1001"/>
        <v>0</v>
      </c>
      <c r="S1276" s="92">
        <f t="shared" si="1002"/>
        <v>0</v>
      </c>
      <c r="T1276" s="93">
        <f t="shared" si="1003"/>
        <v>0</v>
      </c>
      <c r="U1276" s="95">
        <f t="shared" si="1004"/>
        <v>0</v>
      </c>
      <c r="V1276" s="94"/>
      <c r="X1276" s="580" t="str">
        <f t="shared" si="1005"/>
        <v/>
      </c>
      <c r="Y1276" s="580" t="str">
        <f t="shared" si="1006"/>
        <v/>
      </c>
      <c r="Z1276" s="580" t="str">
        <f t="shared" si="1007"/>
        <v/>
      </c>
    </row>
    <row r="1277" spans="1:26" ht="25.5" hidden="1" x14ac:dyDescent="0.2">
      <c r="A1277" s="97">
        <v>91947</v>
      </c>
      <c r="B1277" s="1031">
        <v>91947</v>
      </c>
      <c r="C1277" s="978" t="s">
        <v>883</v>
      </c>
      <c r="D1277" s="595" t="s">
        <v>1500</v>
      </c>
      <c r="E1277" s="596"/>
      <c r="F1277" s="671"/>
      <c r="G1277" s="597"/>
      <c r="H1277" s="682"/>
      <c r="I1277" s="592">
        <v>6.8</v>
      </c>
      <c r="J1277" s="592">
        <f t="shared" si="998"/>
        <v>6.8</v>
      </c>
      <c r="K1277" s="593">
        <f t="shared" si="997"/>
        <v>8.2799999999999994</v>
      </c>
      <c r="L1277" s="594" t="s">
        <v>21</v>
      </c>
      <c r="M1277" s="92"/>
      <c r="N1277" s="92"/>
      <c r="O1277" s="93">
        <f t="shared" si="999"/>
        <v>0</v>
      </c>
      <c r="P1277" s="93">
        <f t="shared" si="1000"/>
        <v>0</v>
      </c>
      <c r="Q1277" s="94"/>
      <c r="R1277" s="92">
        <f t="shared" si="1001"/>
        <v>0</v>
      </c>
      <c r="S1277" s="92">
        <f t="shared" si="1002"/>
        <v>0</v>
      </c>
      <c r="T1277" s="93">
        <f t="shared" si="1003"/>
        <v>0</v>
      </c>
      <c r="U1277" s="95">
        <f t="shared" si="1004"/>
        <v>0</v>
      </c>
      <c r="V1277" s="94"/>
      <c r="X1277" s="580" t="str">
        <f t="shared" si="1005"/>
        <v/>
      </c>
      <c r="Y1277" s="580" t="str">
        <f t="shared" si="1006"/>
        <v/>
      </c>
      <c r="Z1277" s="580" t="str">
        <f t="shared" si="1007"/>
        <v/>
      </c>
    </row>
    <row r="1278" spans="1:26" ht="25.5" hidden="1" x14ac:dyDescent="0.2">
      <c r="A1278" s="97">
        <v>91949</v>
      </c>
      <c r="B1278" s="1031">
        <v>91949</v>
      </c>
      <c r="C1278" s="978" t="s">
        <v>883</v>
      </c>
      <c r="D1278" s="595" t="s">
        <v>1501</v>
      </c>
      <c r="E1278" s="596"/>
      <c r="F1278" s="671"/>
      <c r="G1278" s="597"/>
      <c r="H1278" s="682"/>
      <c r="I1278" s="592">
        <v>14.15</v>
      </c>
      <c r="J1278" s="592">
        <f t="shared" si="998"/>
        <v>14.15</v>
      </c>
      <c r="K1278" s="593">
        <f t="shared" si="997"/>
        <v>17.22</v>
      </c>
      <c r="L1278" s="594" t="s">
        <v>21</v>
      </c>
      <c r="M1278" s="92"/>
      <c r="N1278" s="92"/>
      <c r="O1278" s="93">
        <f t="shared" si="999"/>
        <v>0</v>
      </c>
      <c r="P1278" s="93">
        <f t="shared" si="1000"/>
        <v>0</v>
      </c>
      <c r="Q1278" s="94"/>
      <c r="R1278" s="92">
        <f t="shared" si="1001"/>
        <v>0</v>
      </c>
      <c r="S1278" s="92">
        <f t="shared" si="1002"/>
        <v>0</v>
      </c>
      <c r="T1278" s="93">
        <f t="shared" si="1003"/>
        <v>0</v>
      </c>
      <c r="U1278" s="95">
        <f t="shared" si="1004"/>
        <v>0</v>
      </c>
      <c r="V1278" s="94"/>
      <c r="X1278" s="580" t="str">
        <f t="shared" si="1005"/>
        <v/>
      </c>
      <c r="Y1278" s="580" t="str">
        <f t="shared" si="1006"/>
        <v/>
      </c>
      <c r="Z1278" s="580" t="str">
        <f t="shared" si="1007"/>
        <v/>
      </c>
    </row>
    <row r="1279" spans="1:26" ht="25.5" hidden="1" x14ac:dyDescent="0.2">
      <c r="A1279" s="97">
        <v>91950</v>
      </c>
      <c r="B1279" s="1031">
        <v>91950</v>
      </c>
      <c r="C1279" s="978" t="s">
        <v>883</v>
      </c>
      <c r="D1279" s="595" t="s">
        <v>1502</v>
      </c>
      <c r="E1279" s="596"/>
      <c r="F1279" s="671"/>
      <c r="G1279" s="597"/>
      <c r="H1279" s="682"/>
      <c r="I1279" s="592">
        <v>12.37</v>
      </c>
      <c r="J1279" s="592">
        <f t="shared" si="998"/>
        <v>12.37</v>
      </c>
      <c r="K1279" s="593">
        <f t="shared" si="997"/>
        <v>15.06</v>
      </c>
      <c r="L1279" s="594" t="s">
        <v>21</v>
      </c>
      <c r="M1279" s="92"/>
      <c r="N1279" s="92"/>
      <c r="O1279" s="93">
        <f t="shared" si="999"/>
        <v>0</v>
      </c>
      <c r="P1279" s="93">
        <f t="shared" si="1000"/>
        <v>0</v>
      </c>
      <c r="Q1279" s="94"/>
      <c r="R1279" s="92">
        <f t="shared" si="1001"/>
        <v>0</v>
      </c>
      <c r="S1279" s="92">
        <f t="shared" si="1002"/>
        <v>0</v>
      </c>
      <c r="T1279" s="93">
        <f t="shared" si="1003"/>
        <v>0</v>
      </c>
      <c r="U1279" s="95">
        <f t="shared" si="1004"/>
        <v>0</v>
      </c>
      <c r="V1279" s="94"/>
      <c r="X1279" s="580" t="str">
        <f t="shared" si="1005"/>
        <v/>
      </c>
      <c r="Y1279" s="580" t="str">
        <f t="shared" si="1006"/>
        <v/>
      </c>
      <c r="Z1279" s="580" t="str">
        <f t="shared" si="1007"/>
        <v/>
      </c>
    </row>
    <row r="1280" spans="1:26" ht="25.5" hidden="1" x14ac:dyDescent="0.2">
      <c r="A1280" s="97">
        <v>91951</v>
      </c>
      <c r="B1280" s="1031">
        <v>91951</v>
      </c>
      <c r="C1280" s="978" t="s">
        <v>883</v>
      </c>
      <c r="D1280" s="595" t="s">
        <v>1503</v>
      </c>
      <c r="E1280" s="596"/>
      <c r="F1280" s="671"/>
      <c r="G1280" s="597"/>
      <c r="H1280" s="682"/>
      <c r="I1280" s="592">
        <v>11.3</v>
      </c>
      <c r="J1280" s="592">
        <f t="shared" si="998"/>
        <v>11.3</v>
      </c>
      <c r="K1280" s="593">
        <f t="shared" si="997"/>
        <v>13.75</v>
      </c>
      <c r="L1280" s="594" t="s">
        <v>21</v>
      </c>
      <c r="M1280" s="92"/>
      <c r="N1280" s="92"/>
      <c r="O1280" s="93">
        <f t="shared" si="999"/>
        <v>0</v>
      </c>
      <c r="P1280" s="93">
        <f t="shared" si="1000"/>
        <v>0</v>
      </c>
      <c r="Q1280" s="94"/>
      <c r="R1280" s="92">
        <f t="shared" si="1001"/>
        <v>0</v>
      </c>
      <c r="S1280" s="92">
        <f t="shared" si="1002"/>
        <v>0</v>
      </c>
      <c r="T1280" s="93">
        <f t="shared" si="1003"/>
        <v>0</v>
      </c>
      <c r="U1280" s="95">
        <f t="shared" si="1004"/>
        <v>0</v>
      </c>
      <c r="V1280" s="94"/>
      <c r="X1280" s="580" t="str">
        <f t="shared" si="1005"/>
        <v/>
      </c>
      <c r="Y1280" s="580" t="str">
        <f t="shared" si="1006"/>
        <v/>
      </c>
      <c r="Z1280" s="580" t="str">
        <f t="shared" si="1007"/>
        <v/>
      </c>
    </row>
    <row r="1281" spans="1:26" ht="25.5" hidden="1" x14ac:dyDescent="0.2">
      <c r="A1281" s="97">
        <v>101946</v>
      </c>
      <c r="B1281" s="1031">
        <v>101946</v>
      </c>
      <c r="C1281" s="978" t="s">
        <v>883</v>
      </c>
      <c r="D1281" s="595" t="s">
        <v>1504</v>
      </c>
      <c r="E1281" s="596"/>
      <c r="F1281" s="671"/>
      <c r="G1281" s="597"/>
      <c r="H1281" s="682"/>
      <c r="I1281" s="592">
        <v>125.73</v>
      </c>
      <c r="J1281" s="592">
        <f t="shared" si="998"/>
        <v>125.73</v>
      </c>
      <c r="K1281" s="593">
        <f t="shared" si="997"/>
        <v>153.03</v>
      </c>
      <c r="L1281" s="594" t="s">
        <v>21</v>
      </c>
      <c r="M1281" s="92"/>
      <c r="N1281" s="92"/>
      <c r="O1281" s="93">
        <f t="shared" si="999"/>
        <v>0</v>
      </c>
      <c r="P1281" s="93">
        <f t="shared" si="1000"/>
        <v>0</v>
      </c>
      <c r="Q1281" s="94"/>
      <c r="R1281" s="92">
        <f t="shared" si="1001"/>
        <v>0</v>
      </c>
      <c r="S1281" s="92">
        <f t="shared" si="1002"/>
        <v>0</v>
      </c>
      <c r="T1281" s="93">
        <f t="shared" si="1003"/>
        <v>0</v>
      </c>
      <c r="U1281" s="95">
        <f t="shared" si="1004"/>
        <v>0</v>
      </c>
      <c r="V1281" s="94"/>
      <c r="X1281" s="580" t="str">
        <f t="shared" si="1005"/>
        <v/>
      </c>
      <c r="Y1281" s="580" t="str">
        <f t="shared" si="1006"/>
        <v/>
      </c>
      <c r="Z1281" s="580" t="str">
        <f t="shared" si="1007"/>
        <v/>
      </c>
    </row>
    <row r="1282" spans="1:26" ht="25.5" hidden="1" x14ac:dyDescent="0.2">
      <c r="A1282" s="97">
        <v>97362</v>
      </c>
      <c r="B1282" s="1031">
        <v>97362</v>
      </c>
      <c r="C1282" s="978" t="s">
        <v>883</v>
      </c>
      <c r="D1282" s="595" t="s">
        <v>1505</v>
      </c>
      <c r="E1282" s="596"/>
      <c r="F1282" s="671"/>
      <c r="G1282" s="597"/>
      <c r="H1282" s="682"/>
      <c r="I1282" s="592">
        <v>2080.13</v>
      </c>
      <c r="J1282" s="592">
        <f t="shared" si="998"/>
        <v>2080.13</v>
      </c>
      <c r="K1282" s="593">
        <f t="shared" si="997"/>
        <v>2531.73</v>
      </c>
      <c r="L1282" s="594" t="s">
        <v>21</v>
      </c>
      <c r="M1282" s="92"/>
      <c r="N1282" s="92"/>
      <c r="O1282" s="93">
        <f t="shared" si="999"/>
        <v>0</v>
      </c>
      <c r="P1282" s="93">
        <f t="shared" si="1000"/>
        <v>0</v>
      </c>
      <c r="Q1282" s="94"/>
      <c r="R1282" s="92">
        <f t="shared" si="1001"/>
        <v>0</v>
      </c>
      <c r="S1282" s="92">
        <f t="shared" si="1002"/>
        <v>0</v>
      </c>
      <c r="T1282" s="93">
        <f t="shared" si="1003"/>
        <v>0</v>
      </c>
      <c r="U1282" s="95">
        <f t="shared" si="1004"/>
        <v>0</v>
      </c>
      <c r="V1282" s="94"/>
      <c r="X1282" s="580" t="str">
        <f t="shared" si="1005"/>
        <v/>
      </c>
      <c r="Y1282" s="580" t="str">
        <f t="shared" si="1006"/>
        <v/>
      </c>
      <c r="Z1282" s="580" t="str">
        <f t="shared" si="1007"/>
        <v/>
      </c>
    </row>
    <row r="1283" spans="1:26" ht="25.5" hidden="1" x14ac:dyDescent="0.2">
      <c r="A1283" s="97">
        <v>97359</v>
      </c>
      <c r="B1283" s="1031">
        <v>97359</v>
      </c>
      <c r="C1283" s="978" t="s">
        <v>883</v>
      </c>
      <c r="D1283" s="595" t="s">
        <v>1506</v>
      </c>
      <c r="E1283" s="596"/>
      <c r="F1283" s="671"/>
      <c r="G1283" s="597"/>
      <c r="H1283" s="682"/>
      <c r="I1283" s="592">
        <v>2468.66</v>
      </c>
      <c r="J1283" s="592">
        <f t="shared" si="998"/>
        <v>2468.66</v>
      </c>
      <c r="K1283" s="593">
        <f t="shared" si="997"/>
        <v>3004.61</v>
      </c>
      <c r="L1283" s="594" t="s">
        <v>21</v>
      </c>
      <c r="M1283" s="92"/>
      <c r="N1283" s="92"/>
      <c r="O1283" s="93">
        <f t="shared" si="999"/>
        <v>0</v>
      </c>
      <c r="P1283" s="93">
        <f t="shared" si="1000"/>
        <v>0</v>
      </c>
      <c r="Q1283" s="94"/>
      <c r="R1283" s="92">
        <f t="shared" si="1001"/>
        <v>0</v>
      </c>
      <c r="S1283" s="92">
        <f t="shared" si="1002"/>
        <v>0</v>
      </c>
      <c r="T1283" s="93">
        <f t="shared" si="1003"/>
        <v>0</v>
      </c>
      <c r="U1283" s="95">
        <f t="shared" si="1004"/>
        <v>0</v>
      </c>
      <c r="V1283" s="94"/>
      <c r="X1283" s="580" t="str">
        <f t="shared" si="1005"/>
        <v/>
      </c>
      <c r="Y1283" s="580" t="str">
        <f t="shared" si="1006"/>
        <v/>
      </c>
      <c r="Z1283" s="580" t="str">
        <f t="shared" si="1007"/>
        <v/>
      </c>
    </row>
    <row r="1284" spans="1:26" ht="25.5" hidden="1" x14ac:dyDescent="0.2">
      <c r="A1284" s="97">
        <v>97360</v>
      </c>
      <c r="B1284" s="1031">
        <v>97360</v>
      </c>
      <c r="C1284" s="978" t="s">
        <v>883</v>
      </c>
      <c r="D1284" s="595" t="s">
        <v>1507</v>
      </c>
      <c r="E1284" s="596"/>
      <c r="F1284" s="671"/>
      <c r="G1284" s="597"/>
      <c r="H1284" s="682"/>
      <c r="I1284" s="592">
        <v>4739.78</v>
      </c>
      <c r="J1284" s="592">
        <f t="shared" si="998"/>
        <v>4739.78</v>
      </c>
      <c r="K1284" s="593">
        <f t="shared" si="997"/>
        <v>5768.79</v>
      </c>
      <c r="L1284" s="594" t="s">
        <v>21</v>
      </c>
      <c r="M1284" s="92"/>
      <c r="N1284" s="92"/>
      <c r="O1284" s="93">
        <f t="shared" si="999"/>
        <v>0</v>
      </c>
      <c r="P1284" s="93">
        <f t="shared" si="1000"/>
        <v>0</v>
      </c>
      <c r="Q1284" s="94"/>
      <c r="R1284" s="92">
        <f t="shared" si="1001"/>
        <v>0</v>
      </c>
      <c r="S1284" s="92">
        <f t="shared" si="1002"/>
        <v>0</v>
      </c>
      <c r="T1284" s="93">
        <f t="shared" si="1003"/>
        <v>0</v>
      </c>
      <c r="U1284" s="95">
        <f t="shared" si="1004"/>
        <v>0</v>
      </c>
      <c r="V1284" s="94"/>
      <c r="X1284" s="580" t="str">
        <f t="shared" si="1005"/>
        <v/>
      </c>
      <c r="Y1284" s="580" t="str">
        <f t="shared" si="1006"/>
        <v/>
      </c>
      <c r="Z1284" s="580" t="str">
        <f t="shared" si="1007"/>
        <v/>
      </c>
    </row>
    <row r="1285" spans="1:26" ht="25.5" hidden="1" x14ac:dyDescent="0.2">
      <c r="A1285" s="97">
        <v>97361</v>
      </c>
      <c r="B1285" s="1031">
        <v>97361</v>
      </c>
      <c r="C1285" s="978" t="s">
        <v>883</v>
      </c>
      <c r="D1285" s="595" t="s">
        <v>1508</v>
      </c>
      <c r="E1285" s="596"/>
      <c r="F1285" s="671"/>
      <c r="G1285" s="597"/>
      <c r="H1285" s="682"/>
      <c r="I1285" s="592">
        <v>6319.71</v>
      </c>
      <c r="J1285" s="592">
        <f t="shared" si="998"/>
        <v>6319.71</v>
      </c>
      <c r="K1285" s="593">
        <f t="shared" si="997"/>
        <v>7691.72</v>
      </c>
      <c r="L1285" s="594" t="s">
        <v>21</v>
      </c>
      <c r="M1285" s="92"/>
      <c r="N1285" s="92"/>
      <c r="O1285" s="93">
        <f t="shared" si="999"/>
        <v>0</v>
      </c>
      <c r="P1285" s="93">
        <f t="shared" si="1000"/>
        <v>0</v>
      </c>
      <c r="Q1285" s="94"/>
      <c r="R1285" s="92">
        <f t="shared" si="1001"/>
        <v>0</v>
      </c>
      <c r="S1285" s="92">
        <f t="shared" si="1002"/>
        <v>0</v>
      </c>
      <c r="T1285" s="93">
        <f t="shared" si="1003"/>
        <v>0</v>
      </c>
      <c r="U1285" s="95">
        <f t="shared" si="1004"/>
        <v>0</v>
      </c>
      <c r="V1285" s="94"/>
      <c r="X1285" s="580" t="str">
        <f t="shared" si="1005"/>
        <v/>
      </c>
      <c r="Y1285" s="580" t="str">
        <f t="shared" si="1006"/>
        <v/>
      </c>
      <c r="Z1285" s="580" t="str">
        <f t="shared" si="1007"/>
        <v/>
      </c>
    </row>
    <row r="1286" spans="1:26" ht="38.25" hidden="1" x14ac:dyDescent="0.2">
      <c r="A1286" s="97">
        <v>101875</v>
      </c>
      <c r="B1286" s="1031">
        <v>101875</v>
      </c>
      <c r="C1286" s="978" t="s">
        <v>883</v>
      </c>
      <c r="D1286" s="595" t="s">
        <v>1509</v>
      </c>
      <c r="E1286" s="596"/>
      <c r="F1286" s="671"/>
      <c r="G1286" s="597"/>
      <c r="H1286" s="682"/>
      <c r="I1286" s="592">
        <v>441.05</v>
      </c>
      <c r="J1286" s="592">
        <f t="shared" si="998"/>
        <v>441.05</v>
      </c>
      <c r="K1286" s="593">
        <f t="shared" si="997"/>
        <v>536.79999999999995</v>
      </c>
      <c r="L1286" s="594" t="s">
        <v>21</v>
      </c>
      <c r="M1286" s="92"/>
      <c r="N1286" s="92"/>
      <c r="O1286" s="93">
        <f t="shared" si="999"/>
        <v>0</v>
      </c>
      <c r="P1286" s="93">
        <f t="shared" si="1000"/>
        <v>0</v>
      </c>
      <c r="Q1286" s="94"/>
      <c r="R1286" s="92">
        <f t="shared" si="1001"/>
        <v>0</v>
      </c>
      <c r="S1286" s="92">
        <f t="shared" si="1002"/>
        <v>0</v>
      </c>
      <c r="T1286" s="93">
        <f t="shared" si="1003"/>
        <v>0</v>
      </c>
      <c r="U1286" s="95">
        <f t="shared" si="1004"/>
        <v>0</v>
      </c>
      <c r="V1286" s="94"/>
      <c r="X1286" s="580" t="str">
        <f t="shared" si="1005"/>
        <v/>
      </c>
      <c r="Y1286" s="580" t="str">
        <f t="shared" si="1006"/>
        <v/>
      </c>
      <c r="Z1286" s="580" t="str">
        <f t="shared" si="1007"/>
        <v/>
      </c>
    </row>
    <row r="1287" spans="1:26" ht="25.5" hidden="1" x14ac:dyDescent="0.2">
      <c r="A1287" s="97">
        <v>101876</v>
      </c>
      <c r="B1287" s="1031">
        <v>101876</v>
      </c>
      <c r="C1287" s="978" t="s">
        <v>883</v>
      </c>
      <c r="D1287" s="595" t="s">
        <v>1510</v>
      </c>
      <c r="E1287" s="596"/>
      <c r="F1287" s="671"/>
      <c r="G1287" s="597"/>
      <c r="H1287" s="682"/>
      <c r="I1287" s="592">
        <v>58.48</v>
      </c>
      <c r="J1287" s="592">
        <f t="shared" si="998"/>
        <v>58.48</v>
      </c>
      <c r="K1287" s="593">
        <f t="shared" si="997"/>
        <v>71.180000000000007</v>
      </c>
      <c r="L1287" s="594" t="s">
        <v>21</v>
      </c>
      <c r="M1287" s="92"/>
      <c r="N1287" s="92"/>
      <c r="O1287" s="93">
        <f t="shared" si="999"/>
        <v>0</v>
      </c>
      <c r="P1287" s="93">
        <f t="shared" si="1000"/>
        <v>0</v>
      </c>
      <c r="Q1287" s="94"/>
      <c r="R1287" s="92">
        <f t="shared" si="1001"/>
        <v>0</v>
      </c>
      <c r="S1287" s="92">
        <f t="shared" si="1002"/>
        <v>0</v>
      </c>
      <c r="T1287" s="93">
        <f t="shared" si="1003"/>
        <v>0</v>
      </c>
      <c r="U1287" s="95">
        <f t="shared" si="1004"/>
        <v>0</v>
      </c>
      <c r="V1287" s="94"/>
      <c r="X1287" s="580" t="str">
        <f t="shared" si="1005"/>
        <v/>
      </c>
      <c r="Y1287" s="580" t="str">
        <f t="shared" si="1006"/>
        <v/>
      </c>
      <c r="Z1287" s="580" t="str">
        <f t="shared" si="1007"/>
        <v/>
      </c>
    </row>
    <row r="1288" spans="1:26" ht="25.5" hidden="1" x14ac:dyDescent="0.2">
      <c r="A1288" s="97">
        <v>101877</v>
      </c>
      <c r="B1288" s="1031">
        <v>101877</v>
      </c>
      <c r="C1288" s="978" t="s">
        <v>883</v>
      </c>
      <c r="D1288" s="595" t="s">
        <v>1511</v>
      </c>
      <c r="E1288" s="596"/>
      <c r="F1288" s="671"/>
      <c r="G1288" s="597"/>
      <c r="H1288" s="682"/>
      <c r="I1288" s="592">
        <v>41.14</v>
      </c>
      <c r="J1288" s="592">
        <f t="shared" si="998"/>
        <v>41.14</v>
      </c>
      <c r="K1288" s="593">
        <f t="shared" si="997"/>
        <v>50.07</v>
      </c>
      <c r="L1288" s="594" t="s">
        <v>21</v>
      </c>
      <c r="M1288" s="92"/>
      <c r="N1288" s="92"/>
      <c r="O1288" s="93">
        <f t="shared" si="999"/>
        <v>0</v>
      </c>
      <c r="P1288" s="93">
        <f t="shared" si="1000"/>
        <v>0</v>
      </c>
      <c r="Q1288" s="94"/>
      <c r="R1288" s="92">
        <f t="shared" si="1001"/>
        <v>0</v>
      </c>
      <c r="S1288" s="92">
        <f t="shared" si="1002"/>
        <v>0</v>
      </c>
      <c r="T1288" s="93">
        <f t="shared" si="1003"/>
        <v>0</v>
      </c>
      <c r="U1288" s="95">
        <f t="shared" si="1004"/>
        <v>0</v>
      </c>
      <c r="V1288" s="94"/>
      <c r="X1288" s="580" t="str">
        <f t="shared" si="1005"/>
        <v/>
      </c>
      <c r="Y1288" s="580" t="str">
        <f t="shared" si="1006"/>
        <v/>
      </c>
      <c r="Z1288" s="580" t="str">
        <f t="shared" si="1007"/>
        <v/>
      </c>
    </row>
    <row r="1289" spans="1:26" ht="38.25" hidden="1" x14ac:dyDescent="0.2">
      <c r="A1289" s="97">
        <v>101878</v>
      </c>
      <c r="B1289" s="1031">
        <v>101878</v>
      </c>
      <c r="C1289" s="978" t="s">
        <v>883</v>
      </c>
      <c r="D1289" s="595" t="s">
        <v>1512</v>
      </c>
      <c r="E1289" s="596"/>
      <c r="F1289" s="671"/>
      <c r="G1289" s="597"/>
      <c r="H1289" s="682"/>
      <c r="I1289" s="592">
        <v>605.13</v>
      </c>
      <c r="J1289" s="592">
        <f t="shared" si="998"/>
        <v>605.13</v>
      </c>
      <c r="K1289" s="593">
        <f t="shared" si="997"/>
        <v>736.5</v>
      </c>
      <c r="L1289" s="594" t="s">
        <v>21</v>
      </c>
      <c r="M1289" s="92"/>
      <c r="N1289" s="92"/>
      <c r="O1289" s="93">
        <f t="shared" si="999"/>
        <v>0</v>
      </c>
      <c r="P1289" s="93">
        <f t="shared" si="1000"/>
        <v>0</v>
      </c>
      <c r="Q1289" s="94"/>
      <c r="R1289" s="92">
        <f t="shared" si="1001"/>
        <v>0</v>
      </c>
      <c r="S1289" s="92">
        <f t="shared" si="1002"/>
        <v>0</v>
      </c>
      <c r="T1289" s="93">
        <f t="shared" si="1003"/>
        <v>0</v>
      </c>
      <c r="U1289" s="95">
        <f t="shared" si="1004"/>
        <v>0</v>
      </c>
      <c r="V1289" s="94"/>
      <c r="X1289" s="580" t="str">
        <f t="shared" si="1005"/>
        <v/>
      </c>
      <c r="Y1289" s="580" t="str">
        <f t="shared" si="1006"/>
        <v/>
      </c>
      <c r="Z1289" s="580" t="str">
        <f t="shared" si="1007"/>
        <v/>
      </c>
    </row>
    <row r="1290" spans="1:26" ht="38.25" hidden="1" x14ac:dyDescent="0.2">
      <c r="A1290" s="97">
        <v>101879</v>
      </c>
      <c r="B1290" s="1031">
        <v>101879</v>
      </c>
      <c r="C1290" s="978" t="s">
        <v>883</v>
      </c>
      <c r="D1290" s="595" t="s">
        <v>1513</v>
      </c>
      <c r="E1290" s="596"/>
      <c r="F1290" s="671"/>
      <c r="G1290" s="597"/>
      <c r="H1290" s="682"/>
      <c r="I1290" s="592">
        <v>640.34</v>
      </c>
      <c r="J1290" s="592">
        <f t="shared" si="998"/>
        <v>640.34</v>
      </c>
      <c r="K1290" s="593">
        <f t="shared" si="997"/>
        <v>779.36</v>
      </c>
      <c r="L1290" s="594" t="s">
        <v>21</v>
      </c>
      <c r="M1290" s="92"/>
      <c r="N1290" s="92"/>
      <c r="O1290" s="93">
        <f t="shared" si="999"/>
        <v>0</v>
      </c>
      <c r="P1290" s="93">
        <f t="shared" si="1000"/>
        <v>0</v>
      </c>
      <c r="Q1290" s="94"/>
      <c r="R1290" s="92">
        <f t="shared" si="1001"/>
        <v>0</v>
      </c>
      <c r="S1290" s="92">
        <f t="shared" si="1002"/>
        <v>0</v>
      </c>
      <c r="T1290" s="93">
        <f t="shared" si="1003"/>
        <v>0</v>
      </c>
      <c r="U1290" s="95">
        <f t="shared" si="1004"/>
        <v>0</v>
      </c>
      <c r="V1290" s="94"/>
      <c r="X1290" s="580" t="str">
        <f t="shared" si="1005"/>
        <v/>
      </c>
      <c r="Y1290" s="580" t="str">
        <f t="shared" si="1006"/>
        <v/>
      </c>
      <c r="Z1290" s="580" t="str">
        <f t="shared" si="1007"/>
        <v/>
      </c>
    </row>
    <row r="1291" spans="1:26" ht="38.25" hidden="1" x14ac:dyDescent="0.2">
      <c r="A1291" s="97">
        <v>101880</v>
      </c>
      <c r="B1291" s="1031">
        <v>101880</v>
      </c>
      <c r="C1291" s="978" t="s">
        <v>883</v>
      </c>
      <c r="D1291" s="595" t="s">
        <v>1514</v>
      </c>
      <c r="E1291" s="596"/>
      <c r="F1291" s="671"/>
      <c r="G1291" s="597"/>
      <c r="H1291" s="682"/>
      <c r="I1291" s="592">
        <v>736.59</v>
      </c>
      <c r="J1291" s="592">
        <f t="shared" si="998"/>
        <v>736.59</v>
      </c>
      <c r="K1291" s="593">
        <f t="shared" si="997"/>
        <v>896.5</v>
      </c>
      <c r="L1291" s="594" t="s">
        <v>21</v>
      </c>
      <c r="M1291" s="92"/>
      <c r="N1291" s="92"/>
      <c r="O1291" s="93">
        <f t="shared" si="999"/>
        <v>0</v>
      </c>
      <c r="P1291" s="93">
        <f t="shared" si="1000"/>
        <v>0</v>
      </c>
      <c r="Q1291" s="94"/>
      <c r="R1291" s="92">
        <f t="shared" si="1001"/>
        <v>0</v>
      </c>
      <c r="S1291" s="92">
        <f t="shared" si="1002"/>
        <v>0</v>
      </c>
      <c r="T1291" s="93">
        <f t="shared" si="1003"/>
        <v>0</v>
      </c>
      <c r="U1291" s="95">
        <f t="shared" si="1004"/>
        <v>0</v>
      </c>
      <c r="V1291" s="94"/>
      <c r="X1291" s="580" t="str">
        <f t="shared" si="1005"/>
        <v/>
      </c>
      <c r="Y1291" s="580" t="str">
        <f t="shared" si="1006"/>
        <v/>
      </c>
      <c r="Z1291" s="580" t="str">
        <f t="shared" si="1007"/>
        <v/>
      </c>
    </row>
    <row r="1292" spans="1:26" ht="38.25" hidden="1" x14ac:dyDescent="0.2">
      <c r="A1292" s="97">
        <v>101881</v>
      </c>
      <c r="B1292" s="1031">
        <v>101881</v>
      </c>
      <c r="C1292" s="978" t="s">
        <v>883</v>
      </c>
      <c r="D1292" s="595" t="s">
        <v>1515</v>
      </c>
      <c r="E1292" s="596"/>
      <c r="F1292" s="671"/>
      <c r="G1292" s="597"/>
      <c r="H1292" s="682"/>
      <c r="I1292" s="592">
        <v>1063.2</v>
      </c>
      <c r="J1292" s="592">
        <f t="shared" si="998"/>
        <v>1063.2</v>
      </c>
      <c r="K1292" s="593">
        <f t="shared" ref="K1292:K1355" si="1008">IF(ISBLANK(I1292),0,ROUND(J1292*(1+$F$10)*(1+$F$11*E1292),2))</f>
        <v>1294.02</v>
      </c>
      <c r="L1292" s="594" t="s">
        <v>21</v>
      </c>
      <c r="M1292" s="92"/>
      <c r="N1292" s="92"/>
      <c r="O1292" s="93">
        <f t="shared" si="999"/>
        <v>0</v>
      </c>
      <c r="P1292" s="93">
        <f t="shared" si="1000"/>
        <v>0</v>
      </c>
      <c r="Q1292" s="94"/>
      <c r="R1292" s="92">
        <f t="shared" si="1001"/>
        <v>0</v>
      </c>
      <c r="S1292" s="92">
        <f t="shared" si="1002"/>
        <v>0</v>
      </c>
      <c r="T1292" s="93">
        <f t="shared" si="1003"/>
        <v>0</v>
      </c>
      <c r="U1292" s="95">
        <f t="shared" si="1004"/>
        <v>0</v>
      </c>
      <c r="V1292" s="94"/>
      <c r="X1292" s="580" t="str">
        <f t="shared" si="1005"/>
        <v/>
      </c>
      <c r="Y1292" s="580" t="str">
        <f t="shared" si="1006"/>
        <v/>
      </c>
      <c r="Z1292" s="580" t="str">
        <f t="shared" si="1007"/>
        <v/>
      </c>
    </row>
    <row r="1293" spans="1:26" ht="38.25" hidden="1" x14ac:dyDescent="0.2">
      <c r="A1293" s="97">
        <v>101882</v>
      </c>
      <c r="B1293" s="1031">
        <v>101882</v>
      </c>
      <c r="C1293" s="978" t="s">
        <v>883</v>
      </c>
      <c r="D1293" s="595" t="s">
        <v>1516</v>
      </c>
      <c r="E1293" s="596"/>
      <c r="F1293" s="671"/>
      <c r="G1293" s="597"/>
      <c r="H1293" s="682"/>
      <c r="I1293" s="592">
        <v>1513.24</v>
      </c>
      <c r="J1293" s="592">
        <f t="shared" si="998"/>
        <v>1513.24</v>
      </c>
      <c r="K1293" s="593">
        <f t="shared" si="1008"/>
        <v>1841.76</v>
      </c>
      <c r="L1293" s="594" t="s">
        <v>21</v>
      </c>
      <c r="M1293" s="92"/>
      <c r="N1293" s="92"/>
      <c r="O1293" s="93">
        <f t="shared" si="999"/>
        <v>0</v>
      </c>
      <c r="P1293" s="93">
        <f t="shared" si="1000"/>
        <v>0</v>
      </c>
      <c r="Q1293" s="94"/>
      <c r="R1293" s="92">
        <f t="shared" si="1001"/>
        <v>0</v>
      </c>
      <c r="S1293" s="92">
        <f t="shared" si="1002"/>
        <v>0</v>
      </c>
      <c r="T1293" s="93">
        <f t="shared" si="1003"/>
        <v>0</v>
      </c>
      <c r="U1293" s="95">
        <f t="shared" si="1004"/>
        <v>0</v>
      </c>
      <c r="V1293" s="94"/>
      <c r="X1293" s="580" t="str">
        <f t="shared" si="1005"/>
        <v/>
      </c>
      <c r="Y1293" s="580" t="str">
        <f t="shared" si="1006"/>
        <v/>
      </c>
      <c r="Z1293" s="580" t="str">
        <f t="shared" si="1007"/>
        <v/>
      </c>
    </row>
    <row r="1294" spans="1:26" ht="38.25" hidden="1" x14ac:dyDescent="0.2">
      <c r="A1294" s="97">
        <v>101883</v>
      </c>
      <c r="B1294" s="1031">
        <v>101883</v>
      </c>
      <c r="C1294" s="978" t="s">
        <v>883</v>
      </c>
      <c r="D1294" s="595" t="s">
        <v>1517</v>
      </c>
      <c r="E1294" s="596"/>
      <c r="F1294" s="671"/>
      <c r="G1294" s="597"/>
      <c r="H1294" s="682"/>
      <c r="I1294" s="592">
        <v>610.30999999999995</v>
      </c>
      <c r="J1294" s="592">
        <f t="shared" si="998"/>
        <v>610.30999999999995</v>
      </c>
      <c r="K1294" s="593">
        <f t="shared" si="1008"/>
        <v>742.81</v>
      </c>
      <c r="L1294" s="594" t="s">
        <v>21</v>
      </c>
      <c r="M1294" s="92"/>
      <c r="N1294" s="92"/>
      <c r="O1294" s="93">
        <f t="shared" si="999"/>
        <v>0</v>
      </c>
      <c r="P1294" s="93">
        <f t="shared" si="1000"/>
        <v>0</v>
      </c>
      <c r="Q1294" s="94"/>
      <c r="R1294" s="92">
        <f t="shared" si="1001"/>
        <v>0</v>
      </c>
      <c r="S1294" s="92">
        <f t="shared" si="1002"/>
        <v>0</v>
      </c>
      <c r="T1294" s="93">
        <f t="shared" si="1003"/>
        <v>0</v>
      </c>
      <c r="U1294" s="95">
        <f t="shared" si="1004"/>
        <v>0</v>
      </c>
      <c r="V1294" s="94"/>
      <c r="X1294" s="580" t="str">
        <f t="shared" si="1005"/>
        <v/>
      </c>
      <c r="Y1294" s="580" t="str">
        <f t="shared" si="1006"/>
        <v/>
      </c>
      <c r="Z1294" s="580" t="str">
        <f t="shared" si="1007"/>
        <v/>
      </c>
    </row>
    <row r="1295" spans="1:26" hidden="1" x14ac:dyDescent="0.2">
      <c r="A1295" s="97">
        <v>101901</v>
      </c>
      <c r="B1295" s="1031">
        <v>101901</v>
      </c>
      <c r="C1295" s="978" t="s">
        <v>883</v>
      </c>
      <c r="D1295" s="595" t="s">
        <v>1518</v>
      </c>
      <c r="E1295" s="596"/>
      <c r="F1295" s="671"/>
      <c r="G1295" s="597"/>
      <c r="H1295" s="682"/>
      <c r="I1295" s="592">
        <v>221.34</v>
      </c>
      <c r="J1295" s="592">
        <f t="shared" si="998"/>
        <v>221.34</v>
      </c>
      <c r="K1295" s="593">
        <f t="shared" si="1008"/>
        <v>269.39</v>
      </c>
      <c r="L1295" s="594" t="s">
        <v>21</v>
      </c>
      <c r="M1295" s="92"/>
      <c r="N1295" s="92"/>
      <c r="O1295" s="93">
        <f t="shared" si="999"/>
        <v>0</v>
      </c>
      <c r="P1295" s="93">
        <f t="shared" si="1000"/>
        <v>0</v>
      </c>
      <c r="Q1295" s="94"/>
      <c r="R1295" s="92">
        <f t="shared" si="1001"/>
        <v>0</v>
      </c>
      <c r="S1295" s="92">
        <f t="shared" si="1002"/>
        <v>0</v>
      </c>
      <c r="T1295" s="93">
        <f t="shared" si="1003"/>
        <v>0</v>
      </c>
      <c r="U1295" s="95">
        <f t="shared" si="1004"/>
        <v>0</v>
      </c>
      <c r="V1295" s="94"/>
      <c r="X1295" s="580" t="str">
        <f t="shared" si="1005"/>
        <v/>
      </c>
      <c r="Y1295" s="580" t="str">
        <f t="shared" si="1006"/>
        <v/>
      </c>
      <c r="Z1295" s="580" t="str">
        <f t="shared" si="1007"/>
        <v/>
      </c>
    </row>
    <row r="1296" spans="1:26" hidden="1" x14ac:dyDescent="0.2">
      <c r="A1296" s="97">
        <v>101902</v>
      </c>
      <c r="B1296" s="1031">
        <v>101902</v>
      </c>
      <c r="C1296" s="978" t="s">
        <v>883</v>
      </c>
      <c r="D1296" s="595" t="s">
        <v>1519</v>
      </c>
      <c r="E1296" s="596"/>
      <c r="F1296" s="671"/>
      <c r="G1296" s="597"/>
      <c r="H1296" s="682"/>
      <c r="I1296" s="592">
        <v>272.64999999999998</v>
      </c>
      <c r="J1296" s="592">
        <f t="shared" si="998"/>
        <v>272.64999999999998</v>
      </c>
      <c r="K1296" s="593">
        <f t="shared" si="1008"/>
        <v>331.84</v>
      </c>
      <c r="L1296" s="594" t="s">
        <v>21</v>
      </c>
      <c r="M1296" s="92"/>
      <c r="N1296" s="92"/>
      <c r="O1296" s="93">
        <f t="shared" si="999"/>
        <v>0</v>
      </c>
      <c r="P1296" s="93">
        <f t="shared" si="1000"/>
        <v>0</v>
      </c>
      <c r="Q1296" s="94"/>
      <c r="R1296" s="92">
        <f t="shared" si="1001"/>
        <v>0</v>
      </c>
      <c r="S1296" s="92">
        <f t="shared" si="1002"/>
        <v>0</v>
      </c>
      <c r="T1296" s="93">
        <f t="shared" si="1003"/>
        <v>0</v>
      </c>
      <c r="U1296" s="95">
        <f t="shared" si="1004"/>
        <v>0</v>
      </c>
      <c r="V1296" s="94"/>
      <c r="X1296" s="580" t="str">
        <f t="shared" si="1005"/>
        <v/>
      </c>
      <c r="Y1296" s="580" t="str">
        <f t="shared" si="1006"/>
        <v/>
      </c>
      <c r="Z1296" s="580" t="str">
        <f t="shared" si="1007"/>
        <v/>
      </c>
    </row>
    <row r="1297" spans="1:26" hidden="1" x14ac:dyDescent="0.2">
      <c r="A1297" s="97">
        <v>101903</v>
      </c>
      <c r="B1297" s="1031">
        <v>101903</v>
      </c>
      <c r="C1297" s="978" t="s">
        <v>883</v>
      </c>
      <c r="D1297" s="595" t="s">
        <v>1520</v>
      </c>
      <c r="E1297" s="596"/>
      <c r="F1297" s="671"/>
      <c r="G1297" s="597"/>
      <c r="H1297" s="682"/>
      <c r="I1297" s="592">
        <v>571.08000000000004</v>
      </c>
      <c r="J1297" s="592">
        <f t="shared" si="998"/>
        <v>571.08000000000004</v>
      </c>
      <c r="K1297" s="593">
        <f t="shared" si="1008"/>
        <v>695.06</v>
      </c>
      <c r="L1297" s="594" t="s">
        <v>21</v>
      </c>
      <c r="M1297" s="92"/>
      <c r="N1297" s="92"/>
      <c r="O1297" s="93">
        <f t="shared" si="999"/>
        <v>0</v>
      </c>
      <c r="P1297" s="93">
        <f t="shared" si="1000"/>
        <v>0</v>
      </c>
      <c r="Q1297" s="94"/>
      <c r="R1297" s="92">
        <f t="shared" si="1001"/>
        <v>0</v>
      </c>
      <c r="S1297" s="92">
        <f t="shared" si="1002"/>
        <v>0</v>
      </c>
      <c r="T1297" s="93">
        <f t="shared" si="1003"/>
        <v>0</v>
      </c>
      <c r="U1297" s="95">
        <f t="shared" si="1004"/>
        <v>0</v>
      </c>
      <c r="V1297" s="94"/>
      <c r="X1297" s="580" t="str">
        <f t="shared" si="1005"/>
        <v/>
      </c>
      <c r="Y1297" s="580" t="str">
        <f t="shared" si="1006"/>
        <v/>
      </c>
      <c r="Z1297" s="580" t="str">
        <f t="shared" si="1007"/>
        <v/>
      </c>
    </row>
    <row r="1298" spans="1:26" hidden="1" x14ac:dyDescent="0.2">
      <c r="A1298" s="97">
        <v>101904</v>
      </c>
      <c r="B1298" s="1031">
        <v>101904</v>
      </c>
      <c r="C1298" s="978" t="s">
        <v>883</v>
      </c>
      <c r="D1298" s="595" t="s">
        <v>1521</v>
      </c>
      <c r="E1298" s="596"/>
      <c r="F1298" s="671"/>
      <c r="G1298" s="597"/>
      <c r="H1298" s="682"/>
      <c r="I1298" s="592">
        <v>2128.86</v>
      </c>
      <c r="J1298" s="592">
        <f t="shared" ref="J1298:J1361" si="1009">IF(ISBLANK(I1298),"",SUM(H1298:I1298))</f>
        <v>2128.86</v>
      </c>
      <c r="K1298" s="593">
        <f t="shared" si="1008"/>
        <v>2591.04</v>
      </c>
      <c r="L1298" s="594" t="s">
        <v>21</v>
      </c>
      <c r="M1298" s="92"/>
      <c r="N1298" s="92"/>
      <c r="O1298" s="93">
        <f t="shared" ref="O1298:O1361" si="1010">IF(ISBLANK(M1298),0,ROUND(K1298*M1298,2))</f>
        <v>0</v>
      </c>
      <c r="P1298" s="93">
        <f t="shared" ref="P1298:P1361" si="1011">IF(ISBLANK(N1298),0,ROUND(M1298*N1298,2))</f>
        <v>0</v>
      </c>
      <c r="Q1298" s="94"/>
      <c r="R1298" s="92">
        <f t="shared" ref="R1298:R1361" si="1012">M1298</f>
        <v>0</v>
      </c>
      <c r="S1298" s="92">
        <f t="shared" ref="S1298:S1361" si="1013">N1298</f>
        <v>0</v>
      </c>
      <c r="T1298" s="93">
        <f t="shared" ref="T1298:T1361" si="1014">IF(ISBLANK(R1298),0,ROUND(K1298*R1298,2))</f>
        <v>0</v>
      </c>
      <c r="U1298" s="95">
        <f t="shared" ref="U1298:U1361" si="1015">IF(ISBLANK(R1298),0,ROUND(R1298*S1298,2))</f>
        <v>0</v>
      </c>
      <c r="V1298" s="94"/>
      <c r="X1298" s="580" t="str">
        <f t="shared" ref="X1298:X1361" si="1016">IF(W1298="X","x",IF(W1298="xx","x",IF(W1298="xy","x",IF(W1298="y","x",IF(OR(P1298&gt;0,U1298&gt;0),"x","")))))</f>
        <v/>
      </c>
      <c r="Y1298" s="580" t="str">
        <f t="shared" ref="Y1298:Y1361" si="1017">IF(W1298="X","x",IF(W1298="y","x",IF(W1298="xx","x",IF(U1298&gt;0,"x",""))))</f>
        <v/>
      </c>
      <c r="Z1298" s="580" t="str">
        <f t="shared" ref="Z1298:Z1361" si="1018">IF(W1298="X","x",IF(U1298&gt;0,"x",""))</f>
        <v/>
      </c>
    </row>
    <row r="1299" spans="1:26" ht="25.5" hidden="1" x14ac:dyDescent="0.2">
      <c r="A1299" s="97">
        <v>93653</v>
      </c>
      <c r="B1299" s="1031">
        <v>93653</v>
      </c>
      <c r="C1299" s="978" t="s">
        <v>883</v>
      </c>
      <c r="D1299" s="595" t="s">
        <v>1522</v>
      </c>
      <c r="E1299" s="596"/>
      <c r="F1299" s="671"/>
      <c r="G1299" s="597"/>
      <c r="H1299" s="682"/>
      <c r="I1299" s="592">
        <v>11.63</v>
      </c>
      <c r="J1299" s="592">
        <f t="shared" si="1009"/>
        <v>11.63</v>
      </c>
      <c r="K1299" s="593">
        <f t="shared" si="1008"/>
        <v>14.15</v>
      </c>
      <c r="L1299" s="594" t="s">
        <v>21</v>
      </c>
      <c r="M1299" s="92"/>
      <c r="N1299" s="92"/>
      <c r="O1299" s="93">
        <f t="shared" si="1010"/>
        <v>0</v>
      </c>
      <c r="P1299" s="93">
        <f t="shared" si="1011"/>
        <v>0</v>
      </c>
      <c r="Q1299" s="94"/>
      <c r="R1299" s="92">
        <f t="shared" si="1012"/>
        <v>0</v>
      </c>
      <c r="S1299" s="92">
        <f t="shared" si="1013"/>
        <v>0</v>
      </c>
      <c r="T1299" s="93">
        <f t="shared" si="1014"/>
        <v>0</v>
      </c>
      <c r="U1299" s="95">
        <f t="shared" si="1015"/>
        <v>0</v>
      </c>
      <c r="V1299" s="94"/>
      <c r="X1299" s="580" t="str">
        <f t="shared" si="1016"/>
        <v/>
      </c>
      <c r="Y1299" s="580" t="str">
        <f t="shared" si="1017"/>
        <v/>
      </c>
      <c r="Z1299" s="580" t="str">
        <f t="shared" si="1018"/>
        <v/>
      </c>
    </row>
    <row r="1300" spans="1:26" ht="25.5" hidden="1" x14ac:dyDescent="0.2">
      <c r="A1300" s="97">
        <v>93654</v>
      </c>
      <c r="B1300" s="1031">
        <v>93654</v>
      </c>
      <c r="C1300" s="978" t="s">
        <v>883</v>
      </c>
      <c r="D1300" s="595" t="s">
        <v>1523</v>
      </c>
      <c r="E1300" s="596"/>
      <c r="F1300" s="671"/>
      <c r="G1300" s="597"/>
      <c r="H1300" s="682"/>
      <c r="I1300" s="592">
        <v>12.19</v>
      </c>
      <c r="J1300" s="592">
        <f t="shared" si="1009"/>
        <v>12.19</v>
      </c>
      <c r="K1300" s="593">
        <f t="shared" si="1008"/>
        <v>14.84</v>
      </c>
      <c r="L1300" s="594" t="s">
        <v>21</v>
      </c>
      <c r="M1300" s="92"/>
      <c r="N1300" s="92"/>
      <c r="O1300" s="93">
        <f t="shared" si="1010"/>
        <v>0</v>
      </c>
      <c r="P1300" s="93">
        <f t="shared" si="1011"/>
        <v>0</v>
      </c>
      <c r="Q1300" s="94"/>
      <c r="R1300" s="92">
        <f t="shared" si="1012"/>
        <v>0</v>
      </c>
      <c r="S1300" s="92">
        <f t="shared" si="1013"/>
        <v>0</v>
      </c>
      <c r="T1300" s="93">
        <f t="shared" si="1014"/>
        <v>0</v>
      </c>
      <c r="U1300" s="95">
        <f t="shared" si="1015"/>
        <v>0</v>
      </c>
      <c r="V1300" s="94"/>
      <c r="X1300" s="580" t="str">
        <f t="shared" si="1016"/>
        <v/>
      </c>
      <c r="Y1300" s="580" t="str">
        <f t="shared" si="1017"/>
        <v/>
      </c>
      <c r="Z1300" s="580" t="str">
        <f t="shared" si="1018"/>
        <v/>
      </c>
    </row>
    <row r="1301" spans="1:26" ht="25.5" hidden="1" x14ac:dyDescent="0.2">
      <c r="A1301" s="97">
        <v>93655</v>
      </c>
      <c r="B1301" s="1031">
        <v>93655</v>
      </c>
      <c r="C1301" s="978" t="s">
        <v>883</v>
      </c>
      <c r="D1301" s="595" t="s">
        <v>1524</v>
      </c>
      <c r="E1301" s="596"/>
      <c r="F1301" s="671"/>
      <c r="G1301" s="597"/>
      <c r="H1301" s="682"/>
      <c r="I1301" s="592">
        <v>13.28</v>
      </c>
      <c r="J1301" s="592">
        <f t="shared" si="1009"/>
        <v>13.28</v>
      </c>
      <c r="K1301" s="593">
        <f t="shared" si="1008"/>
        <v>16.16</v>
      </c>
      <c r="L1301" s="594" t="s">
        <v>21</v>
      </c>
      <c r="M1301" s="92"/>
      <c r="N1301" s="92"/>
      <c r="O1301" s="93">
        <f t="shared" si="1010"/>
        <v>0</v>
      </c>
      <c r="P1301" s="93">
        <f t="shared" si="1011"/>
        <v>0</v>
      </c>
      <c r="Q1301" s="94"/>
      <c r="R1301" s="92">
        <f t="shared" si="1012"/>
        <v>0</v>
      </c>
      <c r="S1301" s="92">
        <f t="shared" si="1013"/>
        <v>0</v>
      </c>
      <c r="T1301" s="93">
        <f t="shared" si="1014"/>
        <v>0</v>
      </c>
      <c r="U1301" s="95">
        <f t="shared" si="1015"/>
        <v>0</v>
      </c>
      <c r="V1301" s="94"/>
      <c r="X1301" s="580" t="str">
        <f t="shared" si="1016"/>
        <v/>
      </c>
      <c r="Y1301" s="580" t="str">
        <f t="shared" si="1017"/>
        <v/>
      </c>
      <c r="Z1301" s="580" t="str">
        <f t="shared" si="1018"/>
        <v/>
      </c>
    </row>
    <row r="1302" spans="1:26" ht="25.5" hidden="1" x14ac:dyDescent="0.2">
      <c r="A1302" s="97">
        <v>93656</v>
      </c>
      <c r="B1302" s="1031">
        <v>93656</v>
      </c>
      <c r="C1302" s="978" t="s">
        <v>883</v>
      </c>
      <c r="D1302" s="595" t="s">
        <v>1525</v>
      </c>
      <c r="E1302" s="596"/>
      <c r="F1302" s="671"/>
      <c r="G1302" s="597"/>
      <c r="H1302" s="682"/>
      <c r="I1302" s="592">
        <v>13.28</v>
      </c>
      <c r="J1302" s="592">
        <f t="shared" si="1009"/>
        <v>13.28</v>
      </c>
      <c r="K1302" s="593">
        <f t="shared" si="1008"/>
        <v>16.16</v>
      </c>
      <c r="L1302" s="594" t="s">
        <v>21</v>
      </c>
      <c r="M1302" s="92"/>
      <c r="N1302" s="92"/>
      <c r="O1302" s="93">
        <f t="shared" si="1010"/>
        <v>0</v>
      </c>
      <c r="P1302" s="93">
        <f t="shared" si="1011"/>
        <v>0</v>
      </c>
      <c r="Q1302" s="94"/>
      <c r="R1302" s="92">
        <f t="shared" si="1012"/>
        <v>0</v>
      </c>
      <c r="S1302" s="92">
        <f t="shared" si="1013"/>
        <v>0</v>
      </c>
      <c r="T1302" s="93">
        <f t="shared" si="1014"/>
        <v>0</v>
      </c>
      <c r="U1302" s="95">
        <f t="shared" si="1015"/>
        <v>0</v>
      </c>
      <c r="V1302" s="94"/>
      <c r="X1302" s="580" t="str">
        <f t="shared" si="1016"/>
        <v/>
      </c>
      <c r="Y1302" s="580" t="str">
        <f t="shared" si="1017"/>
        <v/>
      </c>
      <c r="Z1302" s="580" t="str">
        <f t="shared" si="1018"/>
        <v/>
      </c>
    </row>
    <row r="1303" spans="1:26" ht="25.5" hidden="1" x14ac:dyDescent="0.2">
      <c r="A1303" s="97">
        <v>93657</v>
      </c>
      <c r="B1303" s="1031">
        <v>93657</v>
      </c>
      <c r="C1303" s="978" t="s">
        <v>883</v>
      </c>
      <c r="D1303" s="595" t="s">
        <v>1526</v>
      </c>
      <c r="E1303" s="596"/>
      <c r="F1303" s="671"/>
      <c r="G1303" s="597"/>
      <c r="H1303" s="682"/>
      <c r="I1303" s="592">
        <v>14.61</v>
      </c>
      <c r="J1303" s="592">
        <f t="shared" si="1009"/>
        <v>14.61</v>
      </c>
      <c r="K1303" s="593">
        <f t="shared" si="1008"/>
        <v>17.78</v>
      </c>
      <c r="L1303" s="594" t="s">
        <v>21</v>
      </c>
      <c r="M1303" s="92"/>
      <c r="N1303" s="92"/>
      <c r="O1303" s="93">
        <f t="shared" si="1010"/>
        <v>0</v>
      </c>
      <c r="P1303" s="93">
        <f t="shared" si="1011"/>
        <v>0</v>
      </c>
      <c r="Q1303" s="94"/>
      <c r="R1303" s="92">
        <f t="shared" si="1012"/>
        <v>0</v>
      </c>
      <c r="S1303" s="92">
        <f t="shared" si="1013"/>
        <v>0</v>
      </c>
      <c r="T1303" s="93">
        <f t="shared" si="1014"/>
        <v>0</v>
      </c>
      <c r="U1303" s="95">
        <f t="shared" si="1015"/>
        <v>0</v>
      </c>
      <c r="V1303" s="94"/>
      <c r="X1303" s="580" t="str">
        <f t="shared" si="1016"/>
        <v/>
      </c>
      <c r="Y1303" s="580" t="str">
        <f t="shared" si="1017"/>
        <v/>
      </c>
      <c r="Z1303" s="580" t="str">
        <f t="shared" si="1018"/>
        <v/>
      </c>
    </row>
    <row r="1304" spans="1:26" ht="25.5" hidden="1" x14ac:dyDescent="0.2">
      <c r="A1304" s="97">
        <v>93658</v>
      </c>
      <c r="B1304" s="1031">
        <v>93658</v>
      </c>
      <c r="C1304" s="978" t="s">
        <v>883</v>
      </c>
      <c r="D1304" s="595" t="s">
        <v>1527</v>
      </c>
      <c r="E1304" s="596"/>
      <c r="F1304" s="671"/>
      <c r="G1304" s="597"/>
      <c r="H1304" s="682"/>
      <c r="I1304" s="592">
        <v>21.15</v>
      </c>
      <c r="J1304" s="592">
        <f t="shared" si="1009"/>
        <v>21.15</v>
      </c>
      <c r="K1304" s="593">
        <f t="shared" si="1008"/>
        <v>25.74</v>
      </c>
      <c r="L1304" s="594" t="s">
        <v>21</v>
      </c>
      <c r="M1304" s="92"/>
      <c r="N1304" s="92"/>
      <c r="O1304" s="93">
        <f t="shared" si="1010"/>
        <v>0</v>
      </c>
      <c r="P1304" s="93">
        <f t="shared" si="1011"/>
        <v>0</v>
      </c>
      <c r="Q1304" s="94"/>
      <c r="R1304" s="92">
        <f t="shared" si="1012"/>
        <v>0</v>
      </c>
      <c r="S1304" s="92">
        <f t="shared" si="1013"/>
        <v>0</v>
      </c>
      <c r="T1304" s="93">
        <f t="shared" si="1014"/>
        <v>0</v>
      </c>
      <c r="U1304" s="95">
        <f t="shared" si="1015"/>
        <v>0</v>
      </c>
      <c r="V1304" s="94"/>
      <c r="X1304" s="580" t="str">
        <f t="shared" si="1016"/>
        <v/>
      </c>
      <c r="Y1304" s="580" t="str">
        <f t="shared" si="1017"/>
        <v/>
      </c>
      <c r="Z1304" s="580" t="str">
        <f t="shared" si="1018"/>
        <v/>
      </c>
    </row>
    <row r="1305" spans="1:26" ht="25.5" hidden="1" x14ac:dyDescent="0.2">
      <c r="A1305" s="97">
        <v>93659</v>
      </c>
      <c r="B1305" s="1031">
        <v>93659</v>
      </c>
      <c r="C1305" s="978" t="s">
        <v>883</v>
      </c>
      <c r="D1305" s="595" t="s">
        <v>1528</v>
      </c>
      <c r="E1305" s="596"/>
      <c r="F1305" s="671"/>
      <c r="G1305" s="597"/>
      <c r="H1305" s="682"/>
      <c r="I1305" s="592">
        <v>23.85</v>
      </c>
      <c r="J1305" s="592">
        <f t="shared" si="1009"/>
        <v>23.85</v>
      </c>
      <c r="K1305" s="593">
        <f t="shared" si="1008"/>
        <v>29.03</v>
      </c>
      <c r="L1305" s="594" t="s">
        <v>21</v>
      </c>
      <c r="M1305" s="92"/>
      <c r="N1305" s="92"/>
      <c r="O1305" s="93">
        <f t="shared" si="1010"/>
        <v>0</v>
      </c>
      <c r="P1305" s="93">
        <f t="shared" si="1011"/>
        <v>0</v>
      </c>
      <c r="Q1305" s="94"/>
      <c r="R1305" s="92">
        <f t="shared" si="1012"/>
        <v>0</v>
      </c>
      <c r="S1305" s="92">
        <f t="shared" si="1013"/>
        <v>0</v>
      </c>
      <c r="T1305" s="93">
        <f t="shared" si="1014"/>
        <v>0</v>
      </c>
      <c r="U1305" s="95">
        <f t="shared" si="1015"/>
        <v>0</v>
      </c>
      <c r="V1305" s="94"/>
      <c r="X1305" s="580" t="str">
        <f t="shared" si="1016"/>
        <v/>
      </c>
      <c r="Y1305" s="580" t="str">
        <f t="shared" si="1017"/>
        <v/>
      </c>
      <c r="Z1305" s="580" t="str">
        <f t="shared" si="1018"/>
        <v/>
      </c>
    </row>
    <row r="1306" spans="1:26" ht="25.5" hidden="1" x14ac:dyDescent="0.2">
      <c r="A1306" s="97">
        <v>101890</v>
      </c>
      <c r="B1306" s="1031">
        <v>101890</v>
      </c>
      <c r="C1306" s="978" t="s">
        <v>883</v>
      </c>
      <c r="D1306" s="595" t="s">
        <v>1529</v>
      </c>
      <c r="E1306" s="596"/>
      <c r="F1306" s="671"/>
      <c r="G1306" s="597"/>
      <c r="H1306" s="682"/>
      <c r="I1306" s="592">
        <v>16</v>
      </c>
      <c r="J1306" s="592">
        <f t="shared" si="1009"/>
        <v>16</v>
      </c>
      <c r="K1306" s="593">
        <f t="shared" si="1008"/>
        <v>19.47</v>
      </c>
      <c r="L1306" s="594" t="s">
        <v>21</v>
      </c>
      <c r="M1306" s="92"/>
      <c r="N1306" s="92"/>
      <c r="O1306" s="93">
        <f t="shared" si="1010"/>
        <v>0</v>
      </c>
      <c r="P1306" s="93">
        <f t="shared" si="1011"/>
        <v>0</v>
      </c>
      <c r="Q1306" s="94"/>
      <c r="R1306" s="92">
        <f t="shared" si="1012"/>
        <v>0</v>
      </c>
      <c r="S1306" s="92">
        <f t="shared" si="1013"/>
        <v>0</v>
      </c>
      <c r="T1306" s="93">
        <f t="shared" si="1014"/>
        <v>0</v>
      </c>
      <c r="U1306" s="95">
        <f t="shared" si="1015"/>
        <v>0</v>
      </c>
      <c r="V1306" s="94"/>
      <c r="X1306" s="580" t="str">
        <f t="shared" si="1016"/>
        <v/>
      </c>
      <c r="Y1306" s="580" t="str">
        <f t="shared" si="1017"/>
        <v/>
      </c>
      <c r="Z1306" s="580" t="str">
        <f t="shared" si="1018"/>
        <v/>
      </c>
    </row>
    <row r="1307" spans="1:26" ht="25.5" hidden="1" x14ac:dyDescent="0.2">
      <c r="A1307" s="97">
        <v>101891</v>
      </c>
      <c r="B1307" s="1031">
        <v>101891</v>
      </c>
      <c r="C1307" s="978" t="s">
        <v>883</v>
      </c>
      <c r="D1307" s="595" t="s">
        <v>1530</v>
      </c>
      <c r="E1307" s="596"/>
      <c r="F1307" s="671"/>
      <c r="G1307" s="597"/>
      <c r="H1307" s="682"/>
      <c r="I1307" s="592">
        <v>27.5</v>
      </c>
      <c r="J1307" s="592">
        <f t="shared" si="1009"/>
        <v>27.5</v>
      </c>
      <c r="K1307" s="593">
        <f t="shared" si="1008"/>
        <v>33.47</v>
      </c>
      <c r="L1307" s="594" t="s">
        <v>21</v>
      </c>
      <c r="M1307" s="92"/>
      <c r="N1307" s="92"/>
      <c r="O1307" s="93">
        <f t="shared" si="1010"/>
        <v>0</v>
      </c>
      <c r="P1307" s="93">
        <f t="shared" si="1011"/>
        <v>0</v>
      </c>
      <c r="Q1307" s="94"/>
      <c r="R1307" s="92">
        <f t="shared" si="1012"/>
        <v>0</v>
      </c>
      <c r="S1307" s="92">
        <f t="shared" si="1013"/>
        <v>0</v>
      </c>
      <c r="T1307" s="93">
        <f t="shared" si="1014"/>
        <v>0</v>
      </c>
      <c r="U1307" s="95">
        <f t="shared" si="1015"/>
        <v>0</v>
      </c>
      <c r="V1307" s="94"/>
      <c r="X1307" s="580" t="str">
        <f t="shared" si="1016"/>
        <v/>
      </c>
      <c r="Y1307" s="580" t="str">
        <f t="shared" si="1017"/>
        <v/>
      </c>
      <c r="Z1307" s="580" t="str">
        <f t="shared" si="1018"/>
        <v/>
      </c>
    </row>
    <row r="1308" spans="1:26" ht="25.5" hidden="1" x14ac:dyDescent="0.2">
      <c r="A1308" s="97">
        <v>93660</v>
      </c>
      <c r="B1308" s="1031">
        <v>93660</v>
      </c>
      <c r="C1308" s="978" t="s">
        <v>883</v>
      </c>
      <c r="D1308" s="595" t="s">
        <v>1531</v>
      </c>
      <c r="E1308" s="596"/>
      <c r="F1308" s="671"/>
      <c r="G1308" s="597"/>
      <c r="H1308" s="682"/>
      <c r="I1308" s="592">
        <v>57.65</v>
      </c>
      <c r="J1308" s="592">
        <f t="shared" si="1009"/>
        <v>57.65</v>
      </c>
      <c r="K1308" s="593">
        <f t="shared" si="1008"/>
        <v>70.17</v>
      </c>
      <c r="L1308" s="594" t="s">
        <v>21</v>
      </c>
      <c r="M1308" s="92"/>
      <c r="N1308" s="92"/>
      <c r="O1308" s="93">
        <f t="shared" si="1010"/>
        <v>0</v>
      </c>
      <c r="P1308" s="93">
        <f t="shared" si="1011"/>
        <v>0</v>
      </c>
      <c r="Q1308" s="94"/>
      <c r="R1308" s="92">
        <f t="shared" si="1012"/>
        <v>0</v>
      </c>
      <c r="S1308" s="92">
        <f t="shared" si="1013"/>
        <v>0</v>
      </c>
      <c r="T1308" s="93">
        <f t="shared" si="1014"/>
        <v>0</v>
      </c>
      <c r="U1308" s="95">
        <f t="shared" si="1015"/>
        <v>0</v>
      </c>
      <c r="V1308" s="94"/>
      <c r="X1308" s="580" t="str">
        <f t="shared" si="1016"/>
        <v/>
      </c>
      <c r="Y1308" s="580" t="str">
        <f t="shared" si="1017"/>
        <v/>
      </c>
      <c r="Z1308" s="580" t="str">
        <f t="shared" si="1018"/>
        <v/>
      </c>
    </row>
    <row r="1309" spans="1:26" ht="25.5" hidden="1" x14ac:dyDescent="0.2">
      <c r="A1309" s="97">
        <v>93661</v>
      </c>
      <c r="B1309" s="1031">
        <v>93661</v>
      </c>
      <c r="C1309" s="978" t="s">
        <v>883</v>
      </c>
      <c r="D1309" s="595" t="s">
        <v>1532</v>
      </c>
      <c r="E1309" s="596"/>
      <c r="F1309" s="671"/>
      <c r="G1309" s="597"/>
      <c r="H1309" s="682"/>
      <c r="I1309" s="592">
        <v>58.77</v>
      </c>
      <c r="J1309" s="592">
        <f t="shared" si="1009"/>
        <v>58.77</v>
      </c>
      <c r="K1309" s="593">
        <f t="shared" si="1008"/>
        <v>71.53</v>
      </c>
      <c r="L1309" s="594" t="s">
        <v>21</v>
      </c>
      <c r="M1309" s="92"/>
      <c r="N1309" s="92"/>
      <c r="O1309" s="93">
        <f t="shared" si="1010"/>
        <v>0</v>
      </c>
      <c r="P1309" s="93">
        <f t="shared" si="1011"/>
        <v>0</v>
      </c>
      <c r="Q1309" s="94"/>
      <c r="R1309" s="92">
        <f t="shared" si="1012"/>
        <v>0</v>
      </c>
      <c r="S1309" s="92">
        <f t="shared" si="1013"/>
        <v>0</v>
      </c>
      <c r="T1309" s="93">
        <f t="shared" si="1014"/>
        <v>0</v>
      </c>
      <c r="U1309" s="95">
        <f t="shared" si="1015"/>
        <v>0</v>
      </c>
      <c r="V1309" s="94"/>
      <c r="X1309" s="580" t="str">
        <f t="shared" si="1016"/>
        <v/>
      </c>
      <c r="Y1309" s="580" t="str">
        <f t="shared" si="1017"/>
        <v/>
      </c>
      <c r="Z1309" s="580" t="str">
        <f t="shared" si="1018"/>
        <v/>
      </c>
    </row>
    <row r="1310" spans="1:26" ht="25.5" hidden="1" x14ac:dyDescent="0.2">
      <c r="A1310" s="97">
        <v>93662</v>
      </c>
      <c r="B1310" s="1031">
        <v>93662</v>
      </c>
      <c r="C1310" s="978" t="s">
        <v>883</v>
      </c>
      <c r="D1310" s="595" t="s">
        <v>1533</v>
      </c>
      <c r="E1310" s="596"/>
      <c r="F1310" s="671"/>
      <c r="G1310" s="597"/>
      <c r="H1310" s="682"/>
      <c r="I1310" s="592">
        <v>60.95</v>
      </c>
      <c r="J1310" s="592">
        <f t="shared" si="1009"/>
        <v>60.95</v>
      </c>
      <c r="K1310" s="593">
        <f t="shared" si="1008"/>
        <v>74.180000000000007</v>
      </c>
      <c r="L1310" s="594" t="s">
        <v>21</v>
      </c>
      <c r="M1310" s="92"/>
      <c r="N1310" s="92"/>
      <c r="O1310" s="93">
        <f t="shared" si="1010"/>
        <v>0</v>
      </c>
      <c r="P1310" s="93">
        <f t="shared" si="1011"/>
        <v>0</v>
      </c>
      <c r="Q1310" s="94"/>
      <c r="R1310" s="92">
        <f t="shared" si="1012"/>
        <v>0</v>
      </c>
      <c r="S1310" s="92">
        <f t="shared" si="1013"/>
        <v>0</v>
      </c>
      <c r="T1310" s="93">
        <f t="shared" si="1014"/>
        <v>0</v>
      </c>
      <c r="U1310" s="95">
        <f t="shared" si="1015"/>
        <v>0</v>
      </c>
      <c r="V1310" s="94"/>
      <c r="X1310" s="580" t="str">
        <f t="shared" si="1016"/>
        <v/>
      </c>
      <c r="Y1310" s="580" t="str">
        <f t="shared" si="1017"/>
        <v/>
      </c>
      <c r="Z1310" s="580" t="str">
        <f t="shared" si="1018"/>
        <v/>
      </c>
    </row>
    <row r="1311" spans="1:26" ht="25.5" hidden="1" x14ac:dyDescent="0.2">
      <c r="A1311" s="97">
        <v>93663</v>
      </c>
      <c r="B1311" s="1031">
        <v>93663</v>
      </c>
      <c r="C1311" s="978" t="s">
        <v>883</v>
      </c>
      <c r="D1311" s="595" t="s">
        <v>1534</v>
      </c>
      <c r="E1311" s="596"/>
      <c r="F1311" s="671"/>
      <c r="G1311" s="597"/>
      <c r="H1311" s="682"/>
      <c r="I1311" s="592">
        <v>60.95</v>
      </c>
      <c r="J1311" s="592">
        <f t="shared" si="1009"/>
        <v>60.95</v>
      </c>
      <c r="K1311" s="593">
        <f t="shared" si="1008"/>
        <v>74.180000000000007</v>
      </c>
      <c r="L1311" s="594" t="s">
        <v>21</v>
      </c>
      <c r="M1311" s="92"/>
      <c r="N1311" s="92"/>
      <c r="O1311" s="93">
        <f t="shared" si="1010"/>
        <v>0</v>
      </c>
      <c r="P1311" s="93">
        <f t="shared" si="1011"/>
        <v>0</v>
      </c>
      <c r="Q1311" s="94"/>
      <c r="R1311" s="92">
        <f t="shared" si="1012"/>
        <v>0</v>
      </c>
      <c r="S1311" s="92">
        <f t="shared" si="1013"/>
        <v>0</v>
      </c>
      <c r="T1311" s="93">
        <f t="shared" si="1014"/>
        <v>0</v>
      </c>
      <c r="U1311" s="95">
        <f t="shared" si="1015"/>
        <v>0</v>
      </c>
      <c r="V1311" s="94"/>
      <c r="X1311" s="580" t="str">
        <f t="shared" si="1016"/>
        <v/>
      </c>
      <c r="Y1311" s="580" t="str">
        <f t="shared" si="1017"/>
        <v/>
      </c>
      <c r="Z1311" s="580" t="str">
        <f t="shared" si="1018"/>
        <v/>
      </c>
    </row>
    <row r="1312" spans="1:26" ht="25.5" hidden="1" x14ac:dyDescent="0.2">
      <c r="A1312" s="97">
        <v>93664</v>
      </c>
      <c r="B1312" s="1031">
        <v>93664</v>
      </c>
      <c r="C1312" s="978" t="s">
        <v>883</v>
      </c>
      <c r="D1312" s="595" t="s">
        <v>1535</v>
      </c>
      <c r="E1312" s="596"/>
      <c r="F1312" s="671"/>
      <c r="G1312" s="597"/>
      <c r="H1312" s="682"/>
      <c r="I1312" s="592">
        <v>63.61</v>
      </c>
      <c r="J1312" s="592">
        <f t="shared" si="1009"/>
        <v>63.61</v>
      </c>
      <c r="K1312" s="593">
        <f t="shared" si="1008"/>
        <v>77.42</v>
      </c>
      <c r="L1312" s="594" t="s">
        <v>21</v>
      </c>
      <c r="M1312" s="92"/>
      <c r="N1312" s="92"/>
      <c r="O1312" s="93">
        <f t="shared" si="1010"/>
        <v>0</v>
      </c>
      <c r="P1312" s="93">
        <f t="shared" si="1011"/>
        <v>0</v>
      </c>
      <c r="Q1312" s="94"/>
      <c r="R1312" s="92">
        <f t="shared" si="1012"/>
        <v>0</v>
      </c>
      <c r="S1312" s="92">
        <f t="shared" si="1013"/>
        <v>0</v>
      </c>
      <c r="T1312" s="93">
        <f t="shared" si="1014"/>
        <v>0</v>
      </c>
      <c r="U1312" s="95">
        <f t="shared" si="1015"/>
        <v>0</v>
      </c>
      <c r="V1312" s="94"/>
      <c r="X1312" s="580" t="str">
        <f t="shared" si="1016"/>
        <v/>
      </c>
      <c r="Y1312" s="580" t="str">
        <f t="shared" si="1017"/>
        <v/>
      </c>
      <c r="Z1312" s="580" t="str">
        <f t="shared" si="1018"/>
        <v/>
      </c>
    </row>
    <row r="1313" spans="1:26" ht="25.5" hidden="1" x14ac:dyDescent="0.2">
      <c r="A1313" s="97">
        <v>93665</v>
      </c>
      <c r="B1313" s="1031">
        <v>93665</v>
      </c>
      <c r="C1313" s="978" t="s">
        <v>883</v>
      </c>
      <c r="D1313" s="595" t="s">
        <v>1536</v>
      </c>
      <c r="E1313" s="596"/>
      <c r="F1313" s="671"/>
      <c r="G1313" s="597"/>
      <c r="H1313" s="682"/>
      <c r="I1313" s="592">
        <v>66.989999999999995</v>
      </c>
      <c r="J1313" s="592">
        <f t="shared" si="1009"/>
        <v>66.989999999999995</v>
      </c>
      <c r="K1313" s="593">
        <f t="shared" si="1008"/>
        <v>81.53</v>
      </c>
      <c r="L1313" s="594" t="s">
        <v>21</v>
      </c>
      <c r="M1313" s="92"/>
      <c r="N1313" s="92"/>
      <c r="O1313" s="93">
        <f t="shared" si="1010"/>
        <v>0</v>
      </c>
      <c r="P1313" s="93">
        <f t="shared" si="1011"/>
        <v>0</v>
      </c>
      <c r="Q1313" s="94"/>
      <c r="R1313" s="92">
        <f t="shared" si="1012"/>
        <v>0</v>
      </c>
      <c r="S1313" s="92">
        <f t="shared" si="1013"/>
        <v>0</v>
      </c>
      <c r="T1313" s="93">
        <f t="shared" si="1014"/>
        <v>0</v>
      </c>
      <c r="U1313" s="95">
        <f t="shared" si="1015"/>
        <v>0</v>
      </c>
      <c r="V1313" s="94"/>
      <c r="X1313" s="580" t="str">
        <f t="shared" si="1016"/>
        <v/>
      </c>
      <c r="Y1313" s="580" t="str">
        <f t="shared" si="1017"/>
        <v/>
      </c>
      <c r="Z1313" s="580" t="str">
        <f t="shared" si="1018"/>
        <v/>
      </c>
    </row>
    <row r="1314" spans="1:26" ht="25.5" hidden="1" x14ac:dyDescent="0.2">
      <c r="A1314" s="97">
        <v>93666</v>
      </c>
      <c r="B1314" s="1031">
        <v>93666</v>
      </c>
      <c r="C1314" s="978" t="s">
        <v>883</v>
      </c>
      <c r="D1314" s="595" t="s">
        <v>1537</v>
      </c>
      <c r="E1314" s="596"/>
      <c r="F1314" s="671"/>
      <c r="G1314" s="597"/>
      <c r="H1314" s="682"/>
      <c r="I1314" s="592">
        <v>72.38</v>
      </c>
      <c r="J1314" s="592">
        <f t="shared" si="1009"/>
        <v>72.38</v>
      </c>
      <c r="K1314" s="593">
        <f t="shared" si="1008"/>
        <v>88.09</v>
      </c>
      <c r="L1314" s="594" t="s">
        <v>21</v>
      </c>
      <c r="M1314" s="92"/>
      <c r="N1314" s="92"/>
      <c r="O1314" s="93">
        <f t="shared" si="1010"/>
        <v>0</v>
      </c>
      <c r="P1314" s="93">
        <f t="shared" si="1011"/>
        <v>0</v>
      </c>
      <c r="Q1314" s="94"/>
      <c r="R1314" s="92">
        <f t="shared" si="1012"/>
        <v>0</v>
      </c>
      <c r="S1314" s="92">
        <f t="shared" si="1013"/>
        <v>0</v>
      </c>
      <c r="T1314" s="93">
        <f t="shared" si="1014"/>
        <v>0</v>
      </c>
      <c r="U1314" s="95">
        <f t="shared" si="1015"/>
        <v>0</v>
      </c>
      <c r="V1314" s="94"/>
      <c r="X1314" s="580" t="str">
        <f t="shared" si="1016"/>
        <v/>
      </c>
      <c r="Y1314" s="580" t="str">
        <f t="shared" si="1017"/>
        <v/>
      </c>
      <c r="Z1314" s="580" t="str">
        <f t="shared" si="1018"/>
        <v/>
      </c>
    </row>
    <row r="1315" spans="1:26" ht="25.5" hidden="1" x14ac:dyDescent="0.2">
      <c r="A1315" s="97">
        <v>101892</v>
      </c>
      <c r="B1315" s="1031">
        <v>101892</v>
      </c>
      <c r="C1315" s="978" t="s">
        <v>883</v>
      </c>
      <c r="D1315" s="595" t="s">
        <v>1538</v>
      </c>
      <c r="E1315" s="596"/>
      <c r="F1315" s="671"/>
      <c r="G1315" s="597"/>
      <c r="H1315" s="682"/>
      <c r="I1315" s="592">
        <v>72.349999999999994</v>
      </c>
      <c r="J1315" s="592">
        <f t="shared" si="1009"/>
        <v>72.349999999999994</v>
      </c>
      <c r="K1315" s="593">
        <f t="shared" si="1008"/>
        <v>88.06</v>
      </c>
      <c r="L1315" s="594" t="s">
        <v>21</v>
      </c>
      <c r="M1315" s="92"/>
      <c r="N1315" s="92"/>
      <c r="O1315" s="93">
        <f t="shared" si="1010"/>
        <v>0</v>
      </c>
      <c r="P1315" s="93">
        <f t="shared" si="1011"/>
        <v>0</v>
      </c>
      <c r="Q1315" s="94"/>
      <c r="R1315" s="92">
        <f t="shared" si="1012"/>
        <v>0</v>
      </c>
      <c r="S1315" s="92">
        <f t="shared" si="1013"/>
        <v>0</v>
      </c>
      <c r="T1315" s="93">
        <f t="shared" si="1014"/>
        <v>0</v>
      </c>
      <c r="U1315" s="95">
        <f t="shared" si="1015"/>
        <v>0</v>
      </c>
      <c r="V1315" s="94"/>
      <c r="X1315" s="580" t="str">
        <f t="shared" si="1016"/>
        <v/>
      </c>
      <c r="Y1315" s="580" t="str">
        <f t="shared" si="1017"/>
        <v/>
      </c>
      <c r="Z1315" s="580" t="str">
        <f t="shared" si="1018"/>
        <v/>
      </c>
    </row>
    <row r="1316" spans="1:26" ht="25.5" hidden="1" x14ac:dyDescent="0.2">
      <c r="A1316" s="97">
        <v>93667</v>
      </c>
      <c r="B1316" s="1031">
        <v>93667</v>
      </c>
      <c r="C1316" s="978" t="s">
        <v>883</v>
      </c>
      <c r="D1316" s="595" t="s">
        <v>1539</v>
      </c>
      <c r="E1316" s="596"/>
      <c r="F1316" s="671"/>
      <c r="G1316" s="597"/>
      <c r="H1316" s="682"/>
      <c r="I1316" s="592">
        <v>71.98</v>
      </c>
      <c r="J1316" s="592">
        <f t="shared" si="1009"/>
        <v>71.98</v>
      </c>
      <c r="K1316" s="593">
        <f t="shared" si="1008"/>
        <v>87.61</v>
      </c>
      <c r="L1316" s="594" t="s">
        <v>21</v>
      </c>
      <c r="M1316" s="92"/>
      <c r="N1316" s="92"/>
      <c r="O1316" s="93">
        <f t="shared" si="1010"/>
        <v>0</v>
      </c>
      <c r="P1316" s="93">
        <f t="shared" si="1011"/>
        <v>0</v>
      </c>
      <c r="Q1316" s="94"/>
      <c r="R1316" s="92">
        <f t="shared" si="1012"/>
        <v>0</v>
      </c>
      <c r="S1316" s="92">
        <f t="shared" si="1013"/>
        <v>0</v>
      </c>
      <c r="T1316" s="93">
        <f t="shared" si="1014"/>
        <v>0</v>
      </c>
      <c r="U1316" s="95">
        <f t="shared" si="1015"/>
        <v>0</v>
      </c>
      <c r="V1316" s="94"/>
      <c r="X1316" s="580" t="str">
        <f t="shared" si="1016"/>
        <v/>
      </c>
      <c r="Y1316" s="580" t="str">
        <f t="shared" si="1017"/>
        <v/>
      </c>
      <c r="Z1316" s="580" t="str">
        <f t="shared" si="1018"/>
        <v/>
      </c>
    </row>
    <row r="1317" spans="1:26" ht="25.5" hidden="1" x14ac:dyDescent="0.2">
      <c r="A1317" s="97">
        <v>93668</v>
      </c>
      <c r="B1317" s="1031">
        <v>93668</v>
      </c>
      <c r="C1317" s="978" t="s">
        <v>883</v>
      </c>
      <c r="D1317" s="595" t="s">
        <v>1540</v>
      </c>
      <c r="E1317" s="596"/>
      <c r="F1317" s="671"/>
      <c r="G1317" s="597"/>
      <c r="H1317" s="682"/>
      <c r="I1317" s="592">
        <v>73.650000000000006</v>
      </c>
      <c r="J1317" s="592">
        <f t="shared" si="1009"/>
        <v>73.650000000000006</v>
      </c>
      <c r="K1317" s="593">
        <f t="shared" si="1008"/>
        <v>89.64</v>
      </c>
      <c r="L1317" s="594" t="s">
        <v>21</v>
      </c>
      <c r="M1317" s="92"/>
      <c r="N1317" s="92"/>
      <c r="O1317" s="93">
        <f t="shared" si="1010"/>
        <v>0</v>
      </c>
      <c r="P1317" s="93">
        <f t="shared" si="1011"/>
        <v>0</v>
      </c>
      <c r="Q1317" s="94"/>
      <c r="R1317" s="92">
        <f t="shared" si="1012"/>
        <v>0</v>
      </c>
      <c r="S1317" s="92">
        <f t="shared" si="1013"/>
        <v>0</v>
      </c>
      <c r="T1317" s="93">
        <f t="shared" si="1014"/>
        <v>0</v>
      </c>
      <c r="U1317" s="95">
        <f t="shared" si="1015"/>
        <v>0</v>
      </c>
      <c r="V1317" s="94"/>
      <c r="X1317" s="580" t="str">
        <f t="shared" si="1016"/>
        <v/>
      </c>
      <c r="Y1317" s="580" t="str">
        <f t="shared" si="1017"/>
        <v/>
      </c>
      <c r="Z1317" s="580" t="str">
        <f t="shared" si="1018"/>
        <v/>
      </c>
    </row>
    <row r="1318" spans="1:26" ht="25.5" hidden="1" x14ac:dyDescent="0.2">
      <c r="A1318" s="97">
        <v>93669</v>
      </c>
      <c r="B1318" s="1031">
        <v>93669</v>
      </c>
      <c r="C1318" s="978" t="s">
        <v>883</v>
      </c>
      <c r="D1318" s="595" t="s">
        <v>1541</v>
      </c>
      <c r="E1318" s="596"/>
      <c r="F1318" s="671"/>
      <c r="G1318" s="597"/>
      <c r="H1318" s="682"/>
      <c r="I1318" s="592">
        <v>76.930000000000007</v>
      </c>
      <c r="J1318" s="592">
        <f t="shared" si="1009"/>
        <v>76.930000000000007</v>
      </c>
      <c r="K1318" s="593">
        <f t="shared" si="1008"/>
        <v>93.63</v>
      </c>
      <c r="L1318" s="594" t="s">
        <v>21</v>
      </c>
      <c r="M1318" s="92"/>
      <c r="N1318" s="92"/>
      <c r="O1318" s="93">
        <f t="shared" si="1010"/>
        <v>0</v>
      </c>
      <c r="P1318" s="93">
        <f t="shared" si="1011"/>
        <v>0</v>
      </c>
      <c r="Q1318" s="94"/>
      <c r="R1318" s="92">
        <f t="shared" si="1012"/>
        <v>0</v>
      </c>
      <c r="S1318" s="92">
        <f t="shared" si="1013"/>
        <v>0</v>
      </c>
      <c r="T1318" s="93">
        <f t="shared" si="1014"/>
        <v>0</v>
      </c>
      <c r="U1318" s="95">
        <f t="shared" si="1015"/>
        <v>0</v>
      </c>
      <c r="V1318" s="94"/>
      <c r="X1318" s="580" t="str">
        <f t="shared" si="1016"/>
        <v/>
      </c>
      <c r="Y1318" s="580" t="str">
        <f t="shared" si="1017"/>
        <v/>
      </c>
      <c r="Z1318" s="580" t="str">
        <f t="shared" si="1018"/>
        <v/>
      </c>
    </row>
    <row r="1319" spans="1:26" ht="25.5" hidden="1" x14ac:dyDescent="0.2">
      <c r="A1319" s="97">
        <v>93670</v>
      </c>
      <c r="B1319" s="1031">
        <v>93670</v>
      </c>
      <c r="C1319" s="978" t="s">
        <v>883</v>
      </c>
      <c r="D1319" s="595" t="s">
        <v>1542</v>
      </c>
      <c r="E1319" s="596"/>
      <c r="F1319" s="671"/>
      <c r="G1319" s="597"/>
      <c r="H1319" s="682"/>
      <c r="I1319" s="592">
        <v>76.930000000000007</v>
      </c>
      <c r="J1319" s="592">
        <f t="shared" si="1009"/>
        <v>76.930000000000007</v>
      </c>
      <c r="K1319" s="593">
        <f t="shared" si="1008"/>
        <v>93.63</v>
      </c>
      <c r="L1319" s="594" t="s">
        <v>21</v>
      </c>
      <c r="M1319" s="92"/>
      <c r="N1319" s="92"/>
      <c r="O1319" s="93">
        <f t="shared" si="1010"/>
        <v>0</v>
      </c>
      <c r="P1319" s="93">
        <f t="shared" si="1011"/>
        <v>0</v>
      </c>
      <c r="Q1319" s="94"/>
      <c r="R1319" s="92">
        <f t="shared" si="1012"/>
        <v>0</v>
      </c>
      <c r="S1319" s="92">
        <f t="shared" si="1013"/>
        <v>0</v>
      </c>
      <c r="T1319" s="93">
        <f t="shared" si="1014"/>
        <v>0</v>
      </c>
      <c r="U1319" s="95">
        <f t="shared" si="1015"/>
        <v>0</v>
      </c>
      <c r="V1319" s="94"/>
      <c r="X1319" s="580" t="str">
        <f t="shared" si="1016"/>
        <v/>
      </c>
      <c r="Y1319" s="580" t="str">
        <f t="shared" si="1017"/>
        <v/>
      </c>
      <c r="Z1319" s="580" t="str">
        <f t="shared" si="1018"/>
        <v/>
      </c>
    </row>
    <row r="1320" spans="1:26" ht="25.5" hidden="1" x14ac:dyDescent="0.2">
      <c r="A1320" s="97">
        <v>93671</v>
      </c>
      <c r="B1320" s="1031">
        <v>93671</v>
      </c>
      <c r="C1320" s="978" t="s">
        <v>883</v>
      </c>
      <c r="D1320" s="595" t="s">
        <v>1543</v>
      </c>
      <c r="E1320" s="596"/>
      <c r="F1320" s="671"/>
      <c r="G1320" s="597"/>
      <c r="H1320" s="682"/>
      <c r="I1320" s="592">
        <v>80.91</v>
      </c>
      <c r="J1320" s="592">
        <f t="shared" si="1009"/>
        <v>80.91</v>
      </c>
      <c r="K1320" s="593">
        <f t="shared" si="1008"/>
        <v>98.48</v>
      </c>
      <c r="L1320" s="594" t="s">
        <v>21</v>
      </c>
      <c r="M1320" s="92"/>
      <c r="N1320" s="92"/>
      <c r="O1320" s="93">
        <f t="shared" si="1010"/>
        <v>0</v>
      </c>
      <c r="P1320" s="93">
        <f t="shared" si="1011"/>
        <v>0</v>
      </c>
      <c r="Q1320" s="94"/>
      <c r="R1320" s="92">
        <f t="shared" si="1012"/>
        <v>0</v>
      </c>
      <c r="S1320" s="92">
        <f t="shared" si="1013"/>
        <v>0</v>
      </c>
      <c r="T1320" s="93">
        <f t="shared" si="1014"/>
        <v>0</v>
      </c>
      <c r="U1320" s="95">
        <f t="shared" si="1015"/>
        <v>0</v>
      </c>
      <c r="V1320" s="94"/>
      <c r="X1320" s="580" t="str">
        <f t="shared" si="1016"/>
        <v/>
      </c>
      <c r="Y1320" s="580" t="str">
        <f t="shared" si="1017"/>
        <v/>
      </c>
      <c r="Z1320" s="580" t="str">
        <f t="shared" si="1018"/>
        <v/>
      </c>
    </row>
    <row r="1321" spans="1:26" ht="25.5" hidden="1" x14ac:dyDescent="0.2">
      <c r="A1321" s="97">
        <v>93672</v>
      </c>
      <c r="B1321" s="1031">
        <v>93672</v>
      </c>
      <c r="C1321" s="978" t="s">
        <v>883</v>
      </c>
      <c r="D1321" s="595" t="s">
        <v>1544</v>
      </c>
      <c r="E1321" s="596"/>
      <c r="F1321" s="671"/>
      <c r="G1321" s="597"/>
      <c r="H1321" s="682"/>
      <c r="I1321" s="592">
        <v>87.2</v>
      </c>
      <c r="J1321" s="592">
        <f t="shared" si="1009"/>
        <v>87.2</v>
      </c>
      <c r="K1321" s="593">
        <f t="shared" si="1008"/>
        <v>106.13</v>
      </c>
      <c r="L1321" s="594" t="s">
        <v>21</v>
      </c>
      <c r="M1321" s="92"/>
      <c r="N1321" s="92"/>
      <c r="O1321" s="93">
        <f t="shared" si="1010"/>
        <v>0</v>
      </c>
      <c r="P1321" s="93">
        <f t="shared" si="1011"/>
        <v>0</v>
      </c>
      <c r="Q1321" s="94"/>
      <c r="R1321" s="92">
        <f t="shared" si="1012"/>
        <v>0</v>
      </c>
      <c r="S1321" s="92">
        <f t="shared" si="1013"/>
        <v>0</v>
      </c>
      <c r="T1321" s="93">
        <f t="shared" si="1014"/>
        <v>0</v>
      </c>
      <c r="U1321" s="95">
        <f t="shared" si="1015"/>
        <v>0</v>
      </c>
      <c r="V1321" s="94"/>
      <c r="X1321" s="580" t="str">
        <f t="shared" si="1016"/>
        <v/>
      </c>
      <c r="Y1321" s="580" t="str">
        <f t="shared" si="1017"/>
        <v/>
      </c>
      <c r="Z1321" s="580" t="str">
        <f t="shared" si="1018"/>
        <v/>
      </c>
    </row>
    <row r="1322" spans="1:26" ht="25.5" hidden="1" x14ac:dyDescent="0.2">
      <c r="A1322" s="97">
        <v>93673</v>
      </c>
      <c r="B1322" s="1031">
        <v>93673</v>
      </c>
      <c r="C1322" s="978" t="s">
        <v>883</v>
      </c>
      <c r="D1322" s="595" t="s">
        <v>1545</v>
      </c>
      <c r="E1322" s="596"/>
      <c r="F1322" s="671"/>
      <c r="G1322" s="597"/>
      <c r="H1322" s="682"/>
      <c r="I1322" s="592">
        <v>95.3</v>
      </c>
      <c r="J1322" s="592">
        <f t="shared" si="1009"/>
        <v>95.3</v>
      </c>
      <c r="K1322" s="593">
        <f t="shared" si="1008"/>
        <v>115.99</v>
      </c>
      <c r="L1322" s="594" t="s">
        <v>21</v>
      </c>
      <c r="M1322" s="92"/>
      <c r="N1322" s="92"/>
      <c r="O1322" s="93">
        <f t="shared" si="1010"/>
        <v>0</v>
      </c>
      <c r="P1322" s="93">
        <f t="shared" si="1011"/>
        <v>0</v>
      </c>
      <c r="Q1322" s="94"/>
      <c r="R1322" s="92">
        <f t="shared" si="1012"/>
        <v>0</v>
      </c>
      <c r="S1322" s="92">
        <f t="shared" si="1013"/>
        <v>0</v>
      </c>
      <c r="T1322" s="93">
        <f t="shared" si="1014"/>
        <v>0</v>
      </c>
      <c r="U1322" s="95">
        <f t="shared" si="1015"/>
        <v>0</v>
      </c>
      <c r="V1322" s="94"/>
      <c r="X1322" s="580" t="str">
        <f t="shared" si="1016"/>
        <v/>
      </c>
      <c r="Y1322" s="580" t="str">
        <f t="shared" si="1017"/>
        <v/>
      </c>
      <c r="Z1322" s="580" t="str">
        <f t="shared" si="1018"/>
        <v/>
      </c>
    </row>
    <row r="1323" spans="1:26" ht="25.5" hidden="1" x14ac:dyDescent="0.2">
      <c r="A1323" s="97">
        <v>101893</v>
      </c>
      <c r="B1323" s="1031">
        <v>101893</v>
      </c>
      <c r="C1323" s="978" t="s">
        <v>883</v>
      </c>
      <c r="D1323" s="595" t="s">
        <v>1546</v>
      </c>
      <c r="E1323" s="596"/>
      <c r="F1323" s="671"/>
      <c r="G1323" s="597"/>
      <c r="H1323" s="682"/>
      <c r="I1323" s="592">
        <v>92.32</v>
      </c>
      <c r="J1323" s="592">
        <f t="shared" si="1009"/>
        <v>92.32</v>
      </c>
      <c r="K1323" s="593">
        <f t="shared" si="1008"/>
        <v>112.36</v>
      </c>
      <c r="L1323" s="594" t="s">
        <v>21</v>
      </c>
      <c r="M1323" s="92"/>
      <c r="N1323" s="92"/>
      <c r="O1323" s="93">
        <f t="shared" si="1010"/>
        <v>0</v>
      </c>
      <c r="P1323" s="93">
        <f t="shared" si="1011"/>
        <v>0</v>
      </c>
      <c r="Q1323" s="94"/>
      <c r="R1323" s="92">
        <f t="shared" si="1012"/>
        <v>0</v>
      </c>
      <c r="S1323" s="92">
        <f t="shared" si="1013"/>
        <v>0</v>
      </c>
      <c r="T1323" s="93">
        <f t="shared" si="1014"/>
        <v>0</v>
      </c>
      <c r="U1323" s="95">
        <f t="shared" si="1015"/>
        <v>0</v>
      </c>
      <c r="V1323" s="94"/>
      <c r="X1323" s="580" t="str">
        <f t="shared" si="1016"/>
        <v/>
      </c>
      <c r="Y1323" s="580" t="str">
        <f t="shared" si="1017"/>
        <v/>
      </c>
      <c r="Z1323" s="580" t="str">
        <f t="shared" si="1018"/>
        <v/>
      </c>
    </row>
    <row r="1324" spans="1:26" ht="25.5" hidden="1" x14ac:dyDescent="0.2">
      <c r="A1324" s="97">
        <v>101894</v>
      </c>
      <c r="B1324" s="1031">
        <v>101894</v>
      </c>
      <c r="C1324" s="978" t="s">
        <v>883</v>
      </c>
      <c r="D1324" s="595" t="s">
        <v>1547</v>
      </c>
      <c r="E1324" s="596"/>
      <c r="F1324" s="671"/>
      <c r="G1324" s="597"/>
      <c r="H1324" s="682"/>
      <c r="I1324" s="592">
        <v>155.05000000000001</v>
      </c>
      <c r="J1324" s="592">
        <f t="shared" si="1009"/>
        <v>155.05000000000001</v>
      </c>
      <c r="K1324" s="593">
        <f t="shared" si="1008"/>
        <v>188.71</v>
      </c>
      <c r="L1324" s="594" t="s">
        <v>21</v>
      </c>
      <c r="M1324" s="92"/>
      <c r="N1324" s="92"/>
      <c r="O1324" s="93">
        <f t="shared" si="1010"/>
        <v>0</v>
      </c>
      <c r="P1324" s="93">
        <f t="shared" si="1011"/>
        <v>0</v>
      </c>
      <c r="Q1324" s="94"/>
      <c r="R1324" s="92">
        <f t="shared" si="1012"/>
        <v>0</v>
      </c>
      <c r="S1324" s="92">
        <f t="shared" si="1013"/>
        <v>0</v>
      </c>
      <c r="T1324" s="93">
        <f t="shared" si="1014"/>
        <v>0</v>
      </c>
      <c r="U1324" s="95">
        <f t="shared" si="1015"/>
        <v>0</v>
      </c>
      <c r="V1324" s="94"/>
      <c r="X1324" s="580" t="str">
        <f t="shared" si="1016"/>
        <v/>
      </c>
      <c r="Y1324" s="580" t="str">
        <f t="shared" si="1017"/>
        <v/>
      </c>
      <c r="Z1324" s="580" t="str">
        <f t="shared" si="1018"/>
        <v/>
      </c>
    </row>
    <row r="1325" spans="1:26" ht="25.5" hidden="1" x14ac:dyDescent="0.2">
      <c r="A1325" s="97">
        <v>101663</v>
      </c>
      <c r="B1325" s="1031">
        <v>101663</v>
      </c>
      <c r="C1325" s="978" t="s">
        <v>883</v>
      </c>
      <c r="D1325" s="595" t="s">
        <v>1548</v>
      </c>
      <c r="E1325" s="596"/>
      <c r="F1325" s="671"/>
      <c r="G1325" s="597"/>
      <c r="H1325" s="682"/>
      <c r="I1325" s="592">
        <v>22.44</v>
      </c>
      <c r="J1325" s="592">
        <f t="shared" si="1009"/>
        <v>22.44</v>
      </c>
      <c r="K1325" s="593">
        <f t="shared" si="1008"/>
        <v>27.31</v>
      </c>
      <c r="L1325" s="594" t="s">
        <v>21</v>
      </c>
      <c r="M1325" s="92"/>
      <c r="N1325" s="92"/>
      <c r="O1325" s="93">
        <f t="shared" si="1010"/>
        <v>0</v>
      </c>
      <c r="P1325" s="93">
        <f t="shared" si="1011"/>
        <v>0</v>
      </c>
      <c r="Q1325" s="94"/>
      <c r="R1325" s="92">
        <f t="shared" si="1012"/>
        <v>0</v>
      </c>
      <c r="S1325" s="92">
        <f t="shared" si="1013"/>
        <v>0</v>
      </c>
      <c r="T1325" s="93">
        <f t="shared" si="1014"/>
        <v>0</v>
      </c>
      <c r="U1325" s="95">
        <f t="shared" si="1015"/>
        <v>0</v>
      </c>
      <c r="V1325" s="94"/>
      <c r="X1325" s="580" t="str">
        <f t="shared" si="1016"/>
        <v/>
      </c>
      <c r="Y1325" s="580" t="str">
        <f t="shared" si="1017"/>
        <v/>
      </c>
      <c r="Z1325" s="580" t="str">
        <f t="shared" si="1018"/>
        <v/>
      </c>
    </row>
    <row r="1326" spans="1:26" ht="25.5" hidden="1" x14ac:dyDescent="0.2">
      <c r="A1326" s="97">
        <v>101664</v>
      </c>
      <c r="B1326" s="1031">
        <v>101664</v>
      </c>
      <c r="C1326" s="978" t="s">
        <v>883</v>
      </c>
      <c r="D1326" s="595" t="s">
        <v>1549</v>
      </c>
      <c r="E1326" s="596"/>
      <c r="F1326" s="671"/>
      <c r="G1326" s="597"/>
      <c r="H1326" s="682"/>
      <c r="I1326" s="592">
        <v>23.3</v>
      </c>
      <c r="J1326" s="592">
        <f t="shared" si="1009"/>
        <v>23.3</v>
      </c>
      <c r="K1326" s="593">
        <f t="shared" si="1008"/>
        <v>28.36</v>
      </c>
      <c r="L1326" s="594" t="s">
        <v>21</v>
      </c>
      <c r="M1326" s="92"/>
      <c r="N1326" s="92"/>
      <c r="O1326" s="93">
        <f t="shared" si="1010"/>
        <v>0</v>
      </c>
      <c r="P1326" s="93">
        <f t="shared" si="1011"/>
        <v>0</v>
      </c>
      <c r="Q1326" s="94"/>
      <c r="R1326" s="92">
        <f t="shared" si="1012"/>
        <v>0</v>
      </c>
      <c r="S1326" s="92">
        <f t="shared" si="1013"/>
        <v>0</v>
      </c>
      <c r="T1326" s="93">
        <f t="shared" si="1014"/>
        <v>0</v>
      </c>
      <c r="U1326" s="95">
        <f t="shared" si="1015"/>
        <v>0</v>
      </c>
      <c r="V1326" s="94"/>
      <c r="X1326" s="580" t="str">
        <f t="shared" si="1016"/>
        <v/>
      </c>
      <c r="Y1326" s="580" t="str">
        <f t="shared" si="1017"/>
        <v/>
      </c>
      <c r="Z1326" s="580" t="str">
        <f t="shared" si="1018"/>
        <v/>
      </c>
    </row>
    <row r="1327" spans="1:26" ht="25.5" hidden="1" x14ac:dyDescent="0.2">
      <c r="A1327" s="97">
        <v>101665</v>
      </c>
      <c r="B1327" s="1031">
        <v>101665</v>
      </c>
      <c r="C1327" s="978" t="s">
        <v>883</v>
      </c>
      <c r="D1327" s="595" t="s">
        <v>1550</v>
      </c>
      <c r="E1327" s="596"/>
      <c r="F1327" s="671"/>
      <c r="G1327" s="597"/>
      <c r="H1327" s="682"/>
      <c r="I1327" s="592">
        <v>27</v>
      </c>
      <c r="J1327" s="592">
        <f t="shared" si="1009"/>
        <v>27</v>
      </c>
      <c r="K1327" s="593">
        <f t="shared" si="1008"/>
        <v>32.86</v>
      </c>
      <c r="L1327" s="594" t="s">
        <v>21</v>
      </c>
      <c r="M1327" s="92"/>
      <c r="N1327" s="92"/>
      <c r="O1327" s="93">
        <f t="shared" si="1010"/>
        <v>0</v>
      </c>
      <c r="P1327" s="93">
        <f t="shared" si="1011"/>
        <v>0</v>
      </c>
      <c r="Q1327" s="94"/>
      <c r="R1327" s="92">
        <f t="shared" si="1012"/>
        <v>0</v>
      </c>
      <c r="S1327" s="92">
        <f t="shared" si="1013"/>
        <v>0</v>
      </c>
      <c r="T1327" s="93">
        <f t="shared" si="1014"/>
        <v>0</v>
      </c>
      <c r="U1327" s="95">
        <f t="shared" si="1015"/>
        <v>0</v>
      </c>
      <c r="V1327" s="94"/>
      <c r="X1327" s="580" t="str">
        <f t="shared" si="1016"/>
        <v/>
      </c>
      <c r="Y1327" s="580" t="str">
        <f t="shared" si="1017"/>
        <v/>
      </c>
      <c r="Z1327" s="580" t="str">
        <f t="shared" si="1018"/>
        <v/>
      </c>
    </row>
    <row r="1328" spans="1:26" ht="25.5" hidden="1" x14ac:dyDescent="0.2">
      <c r="A1328" s="97">
        <v>101895</v>
      </c>
      <c r="B1328" s="1031">
        <v>101895</v>
      </c>
      <c r="C1328" s="978" t="s">
        <v>883</v>
      </c>
      <c r="D1328" s="595" t="s">
        <v>1551</v>
      </c>
      <c r="E1328" s="596"/>
      <c r="F1328" s="671"/>
      <c r="G1328" s="597"/>
      <c r="H1328" s="682"/>
      <c r="I1328" s="592">
        <v>426.1</v>
      </c>
      <c r="J1328" s="592">
        <f t="shared" si="1009"/>
        <v>426.1</v>
      </c>
      <c r="K1328" s="593">
        <f t="shared" si="1008"/>
        <v>518.61</v>
      </c>
      <c r="L1328" s="594" t="s">
        <v>21</v>
      </c>
      <c r="M1328" s="92"/>
      <c r="N1328" s="92"/>
      <c r="O1328" s="93">
        <f t="shared" si="1010"/>
        <v>0</v>
      </c>
      <c r="P1328" s="93">
        <f t="shared" si="1011"/>
        <v>0</v>
      </c>
      <c r="Q1328" s="94"/>
      <c r="R1328" s="92">
        <f t="shared" si="1012"/>
        <v>0</v>
      </c>
      <c r="S1328" s="92">
        <f t="shared" si="1013"/>
        <v>0</v>
      </c>
      <c r="T1328" s="93">
        <f t="shared" si="1014"/>
        <v>0</v>
      </c>
      <c r="U1328" s="95">
        <f t="shared" si="1015"/>
        <v>0</v>
      </c>
      <c r="V1328" s="94"/>
      <c r="X1328" s="580" t="str">
        <f t="shared" si="1016"/>
        <v/>
      </c>
      <c r="Y1328" s="580" t="str">
        <f t="shared" si="1017"/>
        <v/>
      </c>
      <c r="Z1328" s="580" t="str">
        <f t="shared" si="1018"/>
        <v/>
      </c>
    </row>
    <row r="1329" spans="1:26" ht="25.5" hidden="1" x14ac:dyDescent="0.2">
      <c r="A1329" s="97">
        <v>101896</v>
      </c>
      <c r="B1329" s="1031">
        <v>101896</v>
      </c>
      <c r="C1329" s="978" t="s">
        <v>883</v>
      </c>
      <c r="D1329" s="595" t="s">
        <v>1552</v>
      </c>
      <c r="E1329" s="596"/>
      <c r="F1329" s="671"/>
      <c r="G1329" s="597"/>
      <c r="H1329" s="682"/>
      <c r="I1329" s="592">
        <v>642.35</v>
      </c>
      <c r="J1329" s="592">
        <f t="shared" si="1009"/>
        <v>642.35</v>
      </c>
      <c r="K1329" s="593">
        <f t="shared" si="1008"/>
        <v>781.8</v>
      </c>
      <c r="L1329" s="594" t="s">
        <v>21</v>
      </c>
      <c r="M1329" s="92"/>
      <c r="N1329" s="92"/>
      <c r="O1329" s="93">
        <f t="shared" si="1010"/>
        <v>0</v>
      </c>
      <c r="P1329" s="93">
        <f t="shared" si="1011"/>
        <v>0</v>
      </c>
      <c r="Q1329" s="94"/>
      <c r="R1329" s="92">
        <f t="shared" si="1012"/>
        <v>0</v>
      </c>
      <c r="S1329" s="92">
        <f t="shared" si="1013"/>
        <v>0</v>
      </c>
      <c r="T1329" s="93">
        <f t="shared" si="1014"/>
        <v>0</v>
      </c>
      <c r="U1329" s="95">
        <f t="shared" si="1015"/>
        <v>0</v>
      </c>
      <c r="V1329" s="94"/>
      <c r="X1329" s="580" t="str">
        <f t="shared" si="1016"/>
        <v/>
      </c>
      <c r="Y1329" s="580" t="str">
        <f t="shared" si="1017"/>
        <v/>
      </c>
      <c r="Z1329" s="580" t="str">
        <f t="shared" si="1018"/>
        <v/>
      </c>
    </row>
    <row r="1330" spans="1:26" ht="25.5" hidden="1" x14ac:dyDescent="0.2">
      <c r="A1330" s="97">
        <v>101897</v>
      </c>
      <c r="B1330" s="1031">
        <v>101897</v>
      </c>
      <c r="C1330" s="978" t="s">
        <v>883</v>
      </c>
      <c r="D1330" s="595" t="s">
        <v>1553</v>
      </c>
      <c r="E1330" s="596"/>
      <c r="F1330" s="671"/>
      <c r="G1330" s="597"/>
      <c r="H1330" s="682"/>
      <c r="I1330" s="592">
        <v>1029.9100000000001</v>
      </c>
      <c r="J1330" s="592">
        <f t="shared" si="1009"/>
        <v>1029.9100000000001</v>
      </c>
      <c r="K1330" s="593">
        <f t="shared" si="1008"/>
        <v>1253.5</v>
      </c>
      <c r="L1330" s="594" t="s">
        <v>21</v>
      </c>
      <c r="M1330" s="92"/>
      <c r="N1330" s="92"/>
      <c r="O1330" s="93">
        <f t="shared" si="1010"/>
        <v>0</v>
      </c>
      <c r="P1330" s="93">
        <f t="shared" si="1011"/>
        <v>0</v>
      </c>
      <c r="Q1330" s="94"/>
      <c r="R1330" s="92">
        <f t="shared" si="1012"/>
        <v>0</v>
      </c>
      <c r="S1330" s="92">
        <f t="shared" si="1013"/>
        <v>0</v>
      </c>
      <c r="T1330" s="93">
        <f t="shared" si="1014"/>
        <v>0</v>
      </c>
      <c r="U1330" s="95">
        <f t="shared" si="1015"/>
        <v>0</v>
      </c>
      <c r="V1330" s="94"/>
      <c r="X1330" s="580" t="str">
        <f t="shared" si="1016"/>
        <v/>
      </c>
      <c r="Y1330" s="580" t="str">
        <f t="shared" si="1017"/>
        <v/>
      </c>
      <c r="Z1330" s="580" t="str">
        <f t="shared" si="1018"/>
        <v/>
      </c>
    </row>
    <row r="1331" spans="1:26" ht="25.5" hidden="1" x14ac:dyDescent="0.2">
      <c r="A1331" s="97">
        <v>101898</v>
      </c>
      <c r="B1331" s="1031">
        <v>101898</v>
      </c>
      <c r="C1331" s="978" t="s">
        <v>883</v>
      </c>
      <c r="D1331" s="595" t="s">
        <v>1554</v>
      </c>
      <c r="E1331" s="596"/>
      <c r="F1331" s="671"/>
      <c r="G1331" s="597"/>
      <c r="H1331" s="682"/>
      <c r="I1331" s="592">
        <v>1381.42</v>
      </c>
      <c r="J1331" s="592">
        <f t="shared" si="1009"/>
        <v>1381.42</v>
      </c>
      <c r="K1331" s="593">
        <f t="shared" si="1008"/>
        <v>1681.33</v>
      </c>
      <c r="L1331" s="594" t="s">
        <v>21</v>
      </c>
      <c r="M1331" s="92"/>
      <c r="N1331" s="92"/>
      <c r="O1331" s="93">
        <f t="shared" si="1010"/>
        <v>0</v>
      </c>
      <c r="P1331" s="93">
        <f t="shared" si="1011"/>
        <v>0</v>
      </c>
      <c r="Q1331" s="94"/>
      <c r="R1331" s="92">
        <f t="shared" si="1012"/>
        <v>0</v>
      </c>
      <c r="S1331" s="92">
        <f t="shared" si="1013"/>
        <v>0</v>
      </c>
      <c r="T1331" s="93">
        <f t="shared" si="1014"/>
        <v>0</v>
      </c>
      <c r="U1331" s="95">
        <f t="shared" si="1015"/>
        <v>0</v>
      </c>
      <c r="V1331" s="94"/>
      <c r="X1331" s="580" t="str">
        <f t="shared" si="1016"/>
        <v/>
      </c>
      <c r="Y1331" s="580" t="str">
        <f t="shared" si="1017"/>
        <v/>
      </c>
      <c r="Z1331" s="580" t="str">
        <f t="shared" si="1018"/>
        <v/>
      </c>
    </row>
    <row r="1332" spans="1:26" ht="25.5" hidden="1" x14ac:dyDescent="0.2">
      <c r="A1332" s="97">
        <v>101899</v>
      </c>
      <c r="B1332" s="1031">
        <v>101899</v>
      </c>
      <c r="C1332" s="978" t="s">
        <v>883</v>
      </c>
      <c r="D1332" s="595" t="s">
        <v>1555</v>
      </c>
      <c r="E1332" s="596"/>
      <c r="F1332" s="671"/>
      <c r="G1332" s="597"/>
      <c r="H1332" s="682"/>
      <c r="I1332" s="592">
        <v>2217.54</v>
      </c>
      <c r="J1332" s="592">
        <f t="shared" si="1009"/>
        <v>2217.54</v>
      </c>
      <c r="K1332" s="593">
        <f t="shared" si="1008"/>
        <v>2698.97</v>
      </c>
      <c r="L1332" s="594" t="s">
        <v>21</v>
      </c>
      <c r="M1332" s="92"/>
      <c r="N1332" s="92"/>
      <c r="O1332" s="93">
        <f t="shared" si="1010"/>
        <v>0</v>
      </c>
      <c r="P1332" s="93">
        <f t="shared" si="1011"/>
        <v>0</v>
      </c>
      <c r="Q1332" s="94"/>
      <c r="R1332" s="92">
        <f t="shared" si="1012"/>
        <v>0</v>
      </c>
      <c r="S1332" s="92">
        <f t="shared" si="1013"/>
        <v>0</v>
      </c>
      <c r="T1332" s="93">
        <f t="shared" si="1014"/>
        <v>0</v>
      </c>
      <c r="U1332" s="95">
        <f t="shared" si="1015"/>
        <v>0</v>
      </c>
      <c r="V1332" s="94"/>
      <c r="X1332" s="580" t="str">
        <f t="shared" si="1016"/>
        <v/>
      </c>
      <c r="Y1332" s="580" t="str">
        <f t="shared" si="1017"/>
        <v/>
      </c>
      <c r="Z1332" s="580" t="str">
        <f t="shared" si="1018"/>
        <v/>
      </c>
    </row>
    <row r="1333" spans="1:26" ht="25.5" hidden="1" x14ac:dyDescent="0.2">
      <c r="A1333" s="97">
        <v>101900</v>
      </c>
      <c r="B1333" s="1031">
        <v>101900</v>
      </c>
      <c r="C1333" s="978" t="s">
        <v>883</v>
      </c>
      <c r="D1333" s="595" t="s">
        <v>1556</v>
      </c>
      <c r="E1333" s="596"/>
      <c r="F1333" s="671"/>
      <c r="G1333" s="597"/>
      <c r="H1333" s="682"/>
      <c r="I1333" s="592">
        <v>4639.3</v>
      </c>
      <c r="J1333" s="592">
        <f t="shared" si="1009"/>
        <v>4639.3</v>
      </c>
      <c r="K1333" s="593">
        <f t="shared" si="1008"/>
        <v>5646.49</v>
      </c>
      <c r="L1333" s="594" t="s">
        <v>21</v>
      </c>
      <c r="M1333" s="92"/>
      <c r="N1333" s="92"/>
      <c r="O1333" s="93">
        <f t="shared" si="1010"/>
        <v>0</v>
      </c>
      <c r="P1333" s="93">
        <f t="shared" si="1011"/>
        <v>0</v>
      </c>
      <c r="Q1333" s="94"/>
      <c r="R1333" s="92">
        <f t="shared" si="1012"/>
        <v>0</v>
      </c>
      <c r="S1333" s="92">
        <f t="shared" si="1013"/>
        <v>0</v>
      </c>
      <c r="T1333" s="93">
        <f t="shared" si="1014"/>
        <v>0</v>
      </c>
      <c r="U1333" s="95">
        <f t="shared" si="1015"/>
        <v>0</v>
      </c>
      <c r="V1333" s="94"/>
      <c r="X1333" s="580" t="str">
        <f t="shared" si="1016"/>
        <v/>
      </c>
      <c r="Y1333" s="580" t="str">
        <f t="shared" si="1017"/>
        <v/>
      </c>
      <c r="Z1333" s="580" t="str">
        <f t="shared" si="1018"/>
        <v/>
      </c>
    </row>
    <row r="1334" spans="1:26" ht="25.5" hidden="1" x14ac:dyDescent="0.2">
      <c r="A1334" s="97">
        <v>91952</v>
      </c>
      <c r="B1334" s="1031">
        <v>91952</v>
      </c>
      <c r="C1334" s="978" t="s">
        <v>883</v>
      </c>
      <c r="D1334" s="595" t="s">
        <v>1557</v>
      </c>
      <c r="E1334" s="596"/>
      <c r="F1334" s="671"/>
      <c r="G1334" s="597"/>
      <c r="H1334" s="682"/>
      <c r="I1334" s="592">
        <v>17.21</v>
      </c>
      <c r="J1334" s="592">
        <f t="shared" si="1009"/>
        <v>17.21</v>
      </c>
      <c r="K1334" s="593">
        <f t="shared" si="1008"/>
        <v>20.95</v>
      </c>
      <c r="L1334" s="594" t="s">
        <v>21</v>
      </c>
      <c r="M1334" s="92"/>
      <c r="N1334" s="92"/>
      <c r="O1334" s="93">
        <f t="shared" si="1010"/>
        <v>0</v>
      </c>
      <c r="P1334" s="93">
        <f t="shared" si="1011"/>
        <v>0</v>
      </c>
      <c r="Q1334" s="94"/>
      <c r="R1334" s="92">
        <f t="shared" si="1012"/>
        <v>0</v>
      </c>
      <c r="S1334" s="92">
        <f t="shared" si="1013"/>
        <v>0</v>
      </c>
      <c r="T1334" s="93">
        <f t="shared" si="1014"/>
        <v>0</v>
      </c>
      <c r="U1334" s="95">
        <f t="shared" si="1015"/>
        <v>0</v>
      </c>
      <c r="V1334" s="94"/>
      <c r="X1334" s="580" t="str">
        <f t="shared" si="1016"/>
        <v/>
      </c>
      <c r="Y1334" s="580" t="str">
        <f t="shared" si="1017"/>
        <v/>
      </c>
      <c r="Z1334" s="580" t="str">
        <f t="shared" si="1018"/>
        <v/>
      </c>
    </row>
    <row r="1335" spans="1:26" ht="25.5" hidden="1" x14ac:dyDescent="0.2">
      <c r="A1335" s="97">
        <v>91953</v>
      </c>
      <c r="B1335" s="1031">
        <v>91953</v>
      </c>
      <c r="C1335" s="978" t="s">
        <v>883</v>
      </c>
      <c r="D1335" s="595" t="s">
        <v>1558</v>
      </c>
      <c r="E1335" s="596"/>
      <c r="F1335" s="671"/>
      <c r="G1335" s="597"/>
      <c r="H1335" s="682"/>
      <c r="I1335" s="592">
        <v>24.93</v>
      </c>
      <c r="J1335" s="592">
        <f t="shared" si="1009"/>
        <v>24.93</v>
      </c>
      <c r="K1335" s="593">
        <f t="shared" si="1008"/>
        <v>30.34</v>
      </c>
      <c r="L1335" s="594" t="s">
        <v>21</v>
      </c>
      <c r="M1335" s="92"/>
      <c r="N1335" s="92"/>
      <c r="O1335" s="93">
        <f t="shared" si="1010"/>
        <v>0</v>
      </c>
      <c r="P1335" s="93">
        <f t="shared" si="1011"/>
        <v>0</v>
      </c>
      <c r="Q1335" s="94"/>
      <c r="R1335" s="92">
        <f t="shared" si="1012"/>
        <v>0</v>
      </c>
      <c r="S1335" s="92">
        <f t="shared" si="1013"/>
        <v>0</v>
      </c>
      <c r="T1335" s="93">
        <f t="shared" si="1014"/>
        <v>0</v>
      </c>
      <c r="U1335" s="95">
        <f t="shared" si="1015"/>
        <v>0</v>
      </c>
      <c r="V1335" s="94"/>
      <c r="X1335" s="580" t="str">
        <f t="shared" si="1016"/>
        <v/>
      </c>
      <c r="Y1335" s="580" t="str">
        <f t="shared" si="1017"/>
        <v/>
      </c>
      <c r="Z1335" s="580" t="str">
        <f t="shared" si="1018"/>
        <v/>
      </c>
    </row>
    <row r="1336" spans="1:26" ht="25.5" hidden="1" x14ac:dyDescent="0.2">
      <c r="A1336" s="97">
        <v>91956</v>
      </c>
      <c r="B1336" s="1031">
        <v>91956</v>
      </c>
      <c r="C1336" s="978" t="s">
        <v>883</v>
      </c>
      <c r="D1336" s="595" t="s">
        <v>1559</v>
      </c>
      <c r="E1336" s="596"/>
      <c r="F1336" s="671"/>
      <c r="G1336" s="597"/>
      <c r="H1336" s="682"/>
      <c r="I1336" s="592">
        <v>37.58</v>
      </c>
      <c r="J1336" s="592">
        <f t="shared" si="1009"/>
        <v>37.58</v>
      </c>
      <c r="K1336" s="593">
        <f t="shared" si="1008"/>
        <v>45.74</v>
      </c>
      <c r="L1336" s="594" t="s">
        <v>21</v>
      </c>
      <c r="M1336" s="92"/>
      <c r="N1336" s="92"/>
      <c r="O1336" s="93">
        <f t="shared" si="1010"/>
        <v>0</v>
      </c>
      <c r="P1336" s="93">
        <f t="shared" si="1011"/>
        <v>0</v>
      </c>
      <c r="Q1336" s="94"/>
      <c r="R1336" s="92">
        <f t="shared" si="1012"/>
        <v>0</v>
      </c>
      <c r="S1336" s="92">
        <f t="shared" si="1013"/>
        <v>0</v>
      </c>
      <c r="T1336" s="93">
        <f t="shared" si="1014"/>
        <v>0</v>
      </c>
      <c r="U1336" s="95">
        <f t="shared" si="1015"/>
        <v>0</v>
      </c>
      <c r="V1336" s="94"/>
      <c r="X1336" s="580" t="str">
        <f t="shared" si="1016"/>
        <v/>
      </c>
      <c r="Y1336" s="580" t="str">
        <f t="shared" si="1017"/>
        <v/>
      </c>
      <c r="Z1336" s="580" t="str">
        <f t="shared" si="1018"/>
        <v/>
      </c>
    </row>
    <row r="1337" spans="1:26" ht="25.5" hidden="1" x14ac:dyDescent="0.2">
      <c r="A1337" s="97">
        <v>91957</v>
      </c>
      <c r="B1337" s="1031">
        <v>91957</v>
      </c>
      <c r="C1337" s="978" t="s">
        <v>883</v>
      </c>
      <c r="D1337" s="595" t="s">
        <v>1560</v>
      </c>
      <c r="E1337" s="596"/>
      <c r="F1337" s="671"/>
      <c r="G1337" s="597"/>
      <c r="H1337" s="682"/>
      <c r="I1337" s="592">
        <v>45.3</v>
      </c>
      <c r="J1337" s="592">
        <f t="shared" si="1009"/>
        <v>45.3</v>
      </c>
      <c r="K1337" s="593">
        <f t="shared" si="1008"/>
        <v>55.13</v>
      </c>
      <c r="L1337" s="594" t="s">
        <v>21</v>
      </c>
      <c r="M1337" s="92"/>
      <c r="N1337" s="92"/>
      <c r="O1337" s="93">
        <f t="shared" si="1010"/>
        <v>0</v>
      </c>
      <c r="P1337" s="93">
        <f t="shared" si="1011"/>
        <v>0</v>
      </c>
      <c r="Q1337" s="94"/>
      <c r="R1337" s="92">
        <f t="shared" si="1012"/>
        <v>0</v>
      </c>
      <c r="S1337" s="92">
        <f t="shared" si="1013"/>
        <v>0</v>
      </c>
      <c r="T1337" s="93">
        <f t="shared" si="1014"/>
        <v>0</v>
      </c>
      <c r="U1337" s="95">
        <f t="shared" si="1015"/>
        <v>0</v>
      </c>
      <c r="V1337" s="94"/>
      <c r="X1337" s="580" t="str">
        <f t="shared" si="1016"/>
        <v/>
      </c>
      <c r="Y1337" s="580" t="str">
        <f t="shared" si="1017"/>
        <v/>
      </c>
      <c r="Z1337" s="580" t="str">
        <f t="shared" si="1018"/>
        <v/>
      </c>
    </row>
    <row r="1338" spans="1:26" ht="25.5" hidden="1" x14ac:dyDescent="0.2">
      <c r="A1338" s="97">
        <v>91958</v>
      </c>
      <c r="B1338" s="1031">
        <v>91958</v>
      </c>
      <c r="C1338" s="978" t="s">
        <v>883</v>
      </c>
      <c r="D1338" s="595" t="s">
        <v>1561</v>
      </c>
      <c r="E1338" s="596"/>
      <c r="F1338" s="671"/>
      <c r="G1338" s="597"/>
      <c r="H1338" s="682"/>
      <c r="I1338" s="592">
        <v>31.74</v>
      </c>
      <c r="J1338" s="592">
        <f t="shared" si="1009"/>
        <v>31.74</v>
      </c>
      <c r="K1338" s="593">
        <f t="shared" si="1008"/>
        <v>38.630000000000003</v>
      </c>
      <c r="L1338" s="594" t="s">
        <v>21</v>
      </c>
      <c r="M1338" s="92"/>
      <c r="N1338" s="92"/>
      <c r="O1338" s="93">
        <f t="shared" si="1010"/>
        <v>0</v>
      </c>
      <c r="P1338" s="93">
        <f t="shared" si="1011"/>
        <v>0</v>
      </c>
      <c r="Q1338" s="94"/>
      <c r="R1338" s="92">
        <f t="shared" si="1012"/>
        <v>0</v>
      </c>
      <c r="S1338" s="92">
        <f t="shared" si="1013"/>
        <v>0</v>
      </c>
      <c r="T1338" s="93">
        <f t="shared" si="1014"/>
        <v>0</v>
      </c>
      <c r="U1338" s="95">
        <f t="shared" si="1015"/>
        <v>0</v>
      </c>
      <c r="V1338" s="94"/>
      <c r="X1338" s="580" t="str">
        <f t="shared" si="1016"/>
        <v/>
      </c>
      <c r="Y1338" s="580" t="str">
        <f t="shared" si="1017"/>
        <v/>
      </c>
      <c r="Z1338" s="580" t="str">
        <f t="shared" si="1018"/>
        <v/>
      </c>
    </row>
    <row r="1339" spans="1:26" ht="25.5" hidden="1" x14ac:dyDescent="0.2">
      <c r="A1339" s="97">
        <v>91959</v>
      </c>
      <c r="B1339" s="1031">
        <v>91959</v>
      </c>
      <c r="C1339" s="978" t="s">
        <v>883</v>
      </c>
      <c r="D1339" s="595" t="s">
        <v>1562</v>
      </c>
      <c r="E1339" s="596"/>
      <c r="F1339" s="671"/>
      <c r="G1339" s="597"/>
      <c r="H1339" s="682"/>
      <c r="I1339" s="592">
        <v>39.46</v>
      </c>
      <c r="J1339" s="592">
        <f t="shared" si="1009"/>
        <v>39.46</v>
      </c>
      <c r="K1339" s="593">
        <f t="shared" si="1008"/>
        <v>48.03</v>
      </c>
      <c r="L1339" s="594" t="s">
        <v>21</v>
      </c>
      <c r="M1339" s="92"/>
      <c r="N1339" s="92"/>
      <c r="O1339" s="93">
        <f t="shared" si="1010"/>
        <v>0</v>
      </c>
      <c r="P1339" s="93">
        <f t="shared" si="1011"/>
        <v>0</v>
      </c>
      <c r="Q1339" s="94"/>
      <c r="R1339" s="92">
        <f t="shared" si="1012"/>
        <v>0</v>
      </c>
      <c r="S1339" s="92">
        <f t="shared" si="1013"/>
        <v>0</v>
      </c>
      <c r="T1339" s="93">
        <f t="shared" si="1014"/>
        <v>0</v>
      </c>
      <c r="U1339" s="95">
        <f t="shared" si="1015"/>
        <v>0</v>
      </c>
      <c r="V1339" s="94"/>
      <c r="X1339" s="580" t="str">
        <f t="shared" si="1016"/>
        <v/>
      </c>
      <c r="Y1339" s="580" t="str">
        <f t="shared" si="1017"/>
        <v/>
      </c>
      <c r="Z1339" s="580" t="str">
        <f t="shared" si="1018"/>
        <v/>
      </c>
    </row>
    <row r="1340" spans="1:26" ht="25.5" hidden="1" x14ac:dyDescent="0.2">
      <c r="A1340" s="97">
        <v>91962</v>
      </c>
      <c r="B1340" s="1031">
        <v>91962</v>
      </c>
      <c r="C1340" s="978" t="s">
        <v>883</v>
      </c>
      <c r="D1340" s="595" t="s">
        <v>1563</v>
      </c>
      <c r="E1340" s="596"/>
      <c r="F1340" s="671"/>
      <c r="G1340" s="597"/>
      <c r="H1340" s="682"/>
      <c r="I1340" s="592">
        <v>57.99</v>
      </c>
      <c r="J1340" s="592">
        <f t="shared" si="1009"/>
        <v>57.99</v>
      </c>
      <c r="K1340" s="593">
        <f t="shared" si="1008"/>
        <v>70.58</v>
      </c>
      <c r="L1340" s="594" t="s">
        <v>21</v>
      </c>
      <c r="M1340" s="92"/>
      <c r="N1340" s="92"/>
      <c r="O1340" s="93">
        <f t="shared" si="1010"/>
        <v>0</v>
      </c>
      <c r="P1340" s="93">
        <f t="shared" si="1011"/>
        <v>0</v>
      </c>
      <c r="Q1340" s="94"/>
      <c r="R1340" s="92">
        <f t="shared" si="1012"/>
        <v>0</v>
      </c>
      <c r="S1340" s="92">
        <f t="shared" si="1013"/>
        <v>0</v>
      </c>
      <c r="T1340" s="93">
        <f t="shared" si="1014"/>
        <v>0</v>
      </c>
      <c r="U1340" s="95">
        <f t="shared" si="1015"/>
        <v>0</v>
      </c>
      <c r="V1340" s="94"/>
      <c r="X1340" s="580" t="str">
        <f t="shared" si="1016"/>
        <v/>
      </c>
      <c r="Y1340" s="580" t="str">
        <f t="shared" si="1017"/>
        <v/>
      </c>
      <c r="Z1340" s="580" t="str">
        <f t="shared" si="1018"/>
        <v/>
      </c>
    </row>
    <row r="1341" spans="1:26" ht="25.5" hidden="1" x14ac:dyDescent="0.2">
      <c r="A1341" s="97">
        <v>91963</v>
      </c>
      <c r="B1341" s="1031">
        <v>91963</v>
      </c>
      <c r="C1341" s="978" t="s">
        <v>883</v>
      </c>
      <c r="D1341" s="595" t="s">
        <v>1564</v>
      </c>
      <c r="E1341" s="596"/>
      <c r="F1341" s="671"/>
      <c r="G1341" s="597"/>
      <c r="H1341" s="682"/>
      <c r="I1341" s="592">
        <v>65.709999999999994</v>
      </c>
      <c r="J1341" s="592">
        <f t="shared" si="1009"/>
        <v>65.709999999999994</v>
      </c>
      <c r="K1341" s="593">
        <f t="shared" si="1008"/>
        <v>79.98</v>
      </c>
      <c r="L1341" s="594" t="s">
        <v>21</v>
      </c>
      <c r="M1341" s="92"/>
      <c r="N1341" s="92"/>
      <c r="O1341" s="93">
        <f t="shared" si="1010"/>
        <v>0</v>
      </c>
      <c r="P1341" s="93">
        <f t="shared" si="1011"/>
        <v>0</v>
      </c>
      <c r="Q1341" s="94"/>
      <c r="R1341" s="92">
        <f t="shared" si="1012"/>
        <v>0</v>
      </c>
      <c r="S1341" s="92">
        <f t="shared" si="1013"/>
        <v>0</v>
      </c>
      <c r="T1341" s="93">
        <f t="shared" si="1014"/>
        <v>0</v>
      </c>
      <c r="U1341" s="95">
        <f t="shared" si="1015"/>
        <v>0</v>
      </c>
      <c r="V1341" s="94"/>
      <c r="X1341" s="580" t="str">
        <f t="shared" si="1016"/>
        <v/>
      </c>
      <c r="Y1341" s="580" t="str">
        <f t="shared" si="1017"/>
        <v/>
      </c>
      <c r="Z1341" s="580" t="str">
        <f t="shared" si="1018"/>
        <v/>
      </c>
    </row>
    <row r="1342" spans="1:26" ht="25.5" hidden="1" x14ac:dyDescent="0.2">
      <c r="A1342" s="97">
        <v>91964</v>
      </c>
      <c r="B1342" s="1031">
        <v>91964</v>
      </c>
      <c r="C1342" s="978" t="s">
        <v>883</v>
      </c>
      <c r="D1342" s="595" t="s">
        <v>1565</v>
      </c>
      <c r="E1342" s="596"/>
      <c r="F1342" s="671"/>
      <c r="G1342" s="597"/>
      <c r="H1342" s="682"/>
      <c r="I1342" s="592">
        <v>52.11</v>
      </c>
      <c r="J1342" s="592">
        <f t="shared" si="1009"/>
        <v>52.11</v>
      </c>
      <c r="K1342" s="593">
        <f t="shared" si="1008"/>
        <v>63.42</v>
      </c>
      <c r="L1342" s="594" t="s">
        <v>21</v>
      </c>
      <c r="M1342" s="92"/>
      <c r="N1342" s="92"/>
      <c r="O1342" s="93">
        <f t="shared" si="1010"/>
        <v>0</v>
      </c>
      <c r="P1342" s="93">
        <f t="shared" si="1011"/>
        <v>0</v>
      </c>
      <c r="Q1342" s="94"/>
      <c r="R1342" s="92">
        <f t="shared" si="1012"/>
        <v>0</v>
      </c>
      <c r="S1342" s="92">
        <f t="shared" si="1013"/>
        <v>0</v>
      </c>
      <c r="T1342" s="93">
        <f t="shared" si="1014"/>
        <v>0</v>
      </c>
      <c r="U1342" s="95">
        <f t="shared" si="1015"/>
        <v>0</v>
      </c>
      <c r="V1342" s="94"/>
      <c r="X1342" s="580" t="str">
        <f t="shared" si="1016"/>
        <v/>
      </c>
      <c r="Y1342" s="580" t="str">
        <f t="shared" si="1017"/>
        <v/>
      </c>
      <c r="Z1342" s="580" t="str">
        <f t="shared" si="1018"/>
        <v/>
      </c>
    </row>
    <row r="1343" spans="1:26" ht="25.5" hidden="1" x14ac:dyDescent="0.2">
      <c r="A1343" s="97">
        <v>91965</v>
      </c>
      <c r="B1343" s="1031">
        <v>91965</v>
      </c>
      <c r="C1343" s="978" t="s">
        <v>883</v>
      </c>
      <c r="D1343" s="595" t="s">
        <v>1566</v>
      </c>
      <c r="E1343" s="596"/>
      <c r="F1343" s="671"/>
      <c r="G1343" s="597"/>
      <c r="H1343" s="682"/>
      <c r="I1343" s="592">
        <v>59.83</v>
      </c>
      <c r="J1343" s="592">
        <f t="shared" si="1009"/>
        <v>59.83</v>
      </c>
      <c r="K1343" s="593">
        <f t="shared" si="1008"/>
        <v>72.819999999999993</v>
      </c>
      <c r="L1343" s="594" t="s">
        <v>21</v>
      </c>
      <c r="M1343" s="92"/>
      <c r="N1343" s="92"/>
      <c r="O1343" s="93">
        <f t="shared" si="1010"/>
        <v>0</v>
      </c>
      <c r="P1343" s="93">
        <f t="shared" si="1011"/>
        <v>0</v>
      </c>
      <c r="Q1343" s="94"/>
      <c r="R1343" s="92">
        <f t="shared" si="1012"/>
        <v>0</v>
      </c>
      <c r="S1343" s="92">
        <f t="shared" si="1013"/>
        <v>0</v>
      </c>
      <c r="T1343" s="93">
        <f t="shared" si="1014"/>
        <v>0</v>
      </c>
      <c r="U1343" s="95">
        <f t="shared" si="1015"/>
        <v>0</v>
      </c>
      <c r="V1343" s="94"/>
      <c r="X1343" s="580" t="str">
        <f t="shared" si="1016"/>
        <v/>
      </c>
      <c r="Y1343" s="580" t="str">
        <f t="shared" si="1017"/>
        <v/>
      </c>
      <c r="Z1343" s="580" t="str">
        <f t="shared" si="1018"/>
        <v/>
      </c>
    </row>
    <row r="1344" spans="1:26" ht="25.5" hidden="1" x14ac:dyDescent="0.2">
      <c r="A1344" s="97">
        <v>91966</v>
      </c>
      <c r="B1344" s="1031">
        <v>91966</v>
      </c>
      <c r="C1344" s="978" t="s">
        <v>883</v>
      </c>
      <c r="D1344" s="595" t="s">
        <v>1567</v>
      </c>
      <c r="E1344" s="596"/>
      <c r="F1344" s="671"/>
      <c r="G1344" s="597"/>
      <c r="H1344" s="682"/>
      <c r="I1344" s="592">
        <v>46.26</v>
      </c>
      <c r="J1344" s="592">
        <f t="shared" si="1009"/>
        <v>46.26</v>
      </c>
      <c r="K1344" s="593">
        <f t="shared" si="1008"/>
        <v>56.3</v>
      </c>
      <c r="L1344" s="594" t="s">
        <v>21</v>
      </c>
      <c r="M1344" s="92"/>
      <c r="N1344" s="92"/>
      <c r="O1344" s="93">
        <f t="shared" si="1010"/>
        <v>0</v>
      </c>
      <c r="P1344" s="93">
        <f t="shared" si="1011"/>
        <v>0</v>
      </c>
      <c r="Q1344" s="94"/>
      <c r="R1344" s="92">
        <f t="shared" si="1012"/>
        <v>0</v>
      </c>
      <c r="S1344" s="92">
        <f t="shared" si="1013"/>
        <v>0</v>
      </c>
      <c r="T1344" s="93">
        <f t="shared" si="1014"/>
        <v>0</v>
      </c>
      <c r="U1344" s="95">
        <f t="shared" si="1015"/>
        <v>0</v>
      </c>
      <c r="V1344" s="94"/>
      <c r="X1344" s="580" t="str">
        <f t="shared" si="1016"/>
        <v/>
      </c>
      <c r="Y1344" s="580" t="str">
        <f t="shared" si="1017"/>
        <v/>
      </c>
      <c r="Z1344" s="580" t="str">
        <f t="shared" si="1018"/>
        <v/>
      </c>
    </row>
    <row r="1345" spans="1:26" ht="25.5" hidden="1" x14ac:dyDescent="0.2">
      <c r="A1345" s="97">
        <v>91967</v>
      </c>
      <c r="B1345" s="1031">
        <v>91967</v>
      </c>
      <c r="C1345" s="978" t="s">
        <v>883</v>
      </c>
      <c r="D1345" s="595" t="s">
        <v>1568</v>
      </c>
      <c r="E1345" s="596"/>
      <c r="F1345" s="671"/>
      <c r="G1345" s="597"/>
      <c r="H1345" s="682"/>
      <c r="I1345" s="592">
        <v>53.98</v>
      </c>
      <c r="J1345" s="592">
        <f t="shared" si="1009"/>
        <v>53.98</v>
      </c>
      <c r="K1345" s="593">
        <f t="shared" si="1008"/>
        <v>65.7</v>
      </c>
      <c r="L1345" s="594" t="s">
        <v>21</v>
      </c>
      <c r="M1345" s="92"/>
      <c r="N1345" s="92"/>
      <c r="O1345" s="93">
        <f t="shared" si="1010"/>
        <v>0</v>
      </c>
      <c r="P1345" s="93">
        <f t="shared" si="1011"/>
        <v>0</v>
      </c>
      <c r="Q1345" s="94"/>
      <c r="R1345" s="92">
        <f t="shared" si="1012"/>
        <v>0</v>
      </c>
      <c r="S1345" s="92">
        <f t="shared" si="1013"/>
        <v>0</v>
      </c>
      <c r="T1345" s="93">
        <f t="shared" si="1014"/>
        <v>0</v>
      </c>
      <c r="U1345" s="95">
        <f t="shared" si="1015"/>
        <v>0</v>
      </c>
      <c r="V1345" s="94"/>
      <c r="X1345" s="580" t="str">
        <f t="shared" si="1016"/>
        <v/>
      </c>
      <c r="Y1345" s="580" t="str">
        <f t="shared" si="1017"/>
        <v/>
      </c>
      <c r="Z1345" s="580" t="str">
        <f t="shared" si="1018"/>
        <v/>
      </c>
    </row>
    <row r="1346" spans="1:26" ht="25.5" hidden="1" x14ac:dyDescent="0.2">
      <c r="A1346" s="97">
        <v>91970</v>
      </c>
      <c r="B1346" s="1031">
        <v>91970</v>
      </c>
      <c r="C1346" s="978" t="s">
        <v>883</v>
      </c>
      <c r="D1346" s="595" t="s">
        <v>1569</v>
      </c>
      <c r="E1346" s="596"/>
      <c r="F1346" s="671"/>
      <c r="G1346" s="597"/>
      <c r="H1346" s="682"/>
      <c r="I1346" s="592">
        <v>66.95</v>
      </c>
      <c r="J1346" s="592">
        <f t="shared" si="1009"/>
        <v>66.95</v>
      </c>
      <c r="K1346" s="593">
        <f t="shared" si="1008"/>
        <v>81.48</v>
      </c>
      <c r="L1346" s="594" t="s">
        <v>21</v>
      </c>
      <c r="M1346" s="92"/>
      <c r="N1346" s="92"/>
      <c r="O1346" s="93">
        <f t="shared" si="1010"/>
        <v>0</v>
      </c>
      <c r="P1346" s="93">
        <f t="shared" si="1011"/>
        <v>0</v>
      </c>
      <c r="Q1346" s="94"/>
      <c r="R1346" s="92">
        <f t="shared" si="1012"/>
        <v>0</v>
      </c>
      <c r="S1346" s="92">
        <f t="shared" si="1013"/>
        <v>0</v>
      </c>
      <c r="T1346" s="93">
        <f t="shared" si="1014"/>
        <v>0</v>
      </c>
      <c r="U1346" s="95">
        <f t="shared" si="1015"/>
        <v>0</v>
      </c>
      <c r="V1346" s="94"/>
      <c r="X1346" s="580" t="str">
        <f t="shared" si="1016"/>
        <v/>
      </c>
      <c r="Y1346" s="580" t="str">
        <f t="shared" si="1017"/>
        <v/>
      </c>
      <c r="Z1346" s="580" t="str">
        <f t="shared" si="1018"/>
        <v/>
      </c>
    </row>
    <row r="1347" spans="1:26" ht="25.5" hidden="1" x14ac:dyDescent="0.2">
      <c r="A1347" s="97">
        <v>91971</v>
      </c>
      <c r="B1347" s="1031">
        <v>91971</v>
      </c>
      <c r="C1347" s="978" t="s">
        <v>883</v>
      </c>
      <c r="D1347" s="595" t="s">
        <v>1570</v>
      </c>
      <c r="E1347" s="596"/>
      <c r="F1347" s="671"/>
      <c r="G1347" s="597"/>
      <c r="H1347" s="682"/>
      <c r="I1347" s="592">
        <v>79.319999999999993</v>
      </c>
      <c r="J1347" s="592">
        <f t="shared" si="1009"/>
        <v>79.319999999999993</v>
      </c>
      <c r="K1347" s="593">
        <f t="shared" si="1008"/>
        <v>96.54</v>
      </c>
      <c r="L1347" s="594" t="s">
        <v>21</v>
      </c>
      <c r="M1347" s="92"/>
      <c r="N1347" s="92"/>
      <c r="O1347" s="93">
        <f t="shared" si="1010"/>
        <v>0</v>
      </c>
      <c r="P1347" s="93">
        <f t="shared" si="1011"/>
        <v>0</v>
      </c>
      <c r="Q1347" s="94"/>
      <c r="R1347" s="92">
        <f t="shared" si="1012"/>
        <v>0</v>
      </c>
      <c r="S1347" s="92">
        <f t="shared" si="1013"/>
        <v>0</v>
      </c>
      <c r="T1347" s="93">
        <f t="shared" si="1014"/>
        <v>0</v>
      </c>
      <c r="U1347" s="95">
        <f t="shared" si="1015"/>
        <v>0</v>
      </c>
      <c r="V1347" s="94"/>
      <c r="X1347" s="580" t="str">
        <f t="shared" si="1016"/>
        <v/>
      </c>
      <c r="Y1347" s="580" t="str">
        <f t="shared" si="1017"/>
        <v/>
      </c>
      <c r="Z1347" s="580" t="str">
        <f t="shared" si="1018"/>
        <v/>
      </c>
    </row>
    <row r="1348" spans="1:26" ht="25.5" hidden="1" x14ac:dyDescent="0.2">
      <c r="A1348" s="97">
        <v>91972</v>
      </c>
      <c r="B1348" s="1031">
        <v>91972</v>
      </c>
      <c r="C1348" s="978" t="s">
        <v>883</v>
      </c>
      <c r="D1348" s="595" t="s">
        <v>1571</v>
      </c>
      <c r="E1348" s="596"/>
      <c r="F1348" s="671"/>
      <c r="G1348" s="597"/>
      <c r="H1348" s="682"/>
      <c r="I1348" s="592">
        <v>72.83</v>
      </c>
      <c r="J1348" s="592">
        <f t="shared" si="1009"/>
        <v>72.83</v>
      </c>
      <c r="K1348" s="593">
        <f t="shared" si="1008"/>
        <v>88.64</v>
      </c>
      <c r="L1348" s="594" t="s">
        <v>21</v>
      </c>
      <c r="M1348" s="92"/>
      <c r="N1348" s="92"/>
      <c r="O1348" s="93">
        <f t="shared" si="1010"/>
        <v>0</v>
      </c>
      <c r="P1348" s="93">
        <f t="shared" si="1011"/>
        <v>0</v>
      </c>
      <c r="Q1348" s="94"/>
      <c r="R1348" s="92">
        <f t="shared" si="1012"/>
        <v>0</v>
      </c>
      <c r="S1348" s="92">
        <f t="shared" si="1013"/>
        <v>0</v>
      </c>
      <c r="T1348" s="93">
        <f t="shared" si="1014"/>
        <v>0</v>
      </c>
      <c r="U1348" s="95">
        <f t="shared" si="1015"/>
        <v>0</v>
      </c>
      <c r="V1348" s="94"/>
      <c r="X1348" s="580" t="str">
        <f t="shared" si="1016"/>
        <v/>
      </c>
      <c r="Y1348" s="580" t="str">
        <f t="shared" si="1017"/>
        <v/>
      </c>
      <c r="Z1348" s="580" t="str">
        <f t="shared" si="1018"/>
        <v/>
      </c>
    </row>
    <row r="1349" spans="1:26" ht="25.5" hidden="1" x14ac:dyDescent="0.2">
      <c r="A1349" s="97">
        <v>91973</v>
      </c>
      <c r="B1349" s="1031">
        <v>91973</v>
      </c>
      <c r="C1349" s="978" t="s">
        <v>883</v>
      </c>
      <c r="D1349" s="595" t="s">
        <v>1572</v>
      </c>
      <c r="E1349" s="596"/>
      <c r="F1349" s="671"/>
      <c r="G1349" s="597"/>
      <c r="H1349" s="682"/>
      <c r="I1349" s="592">
        <v>85.2</v>
      </c>
      <c r="J1349" s="592">
        <f t="shared" si="1009"/>
        <v>85.2</v>
      </c>
      <c r="K1349" s="593">
        <f t="shared" si="1008"/>
        <v>103.7</v>
      </c>
      <c r="L1349" s="594" t="s">
        <v>21</v>
      </c>
      <c r="M1349" s="92"/>
      <c r="N1349" s="92"/>
      <c r="O1349" s="93">
        <f t="shared" si="1010"/>
        <v>0</v>
      </c>
      <c r="P1349" s="93">
        <f t="shared" si="1011"/>
        <v>0</v>
      </c>
      <c r="Q1349" s="94"/>
      <c r="R1349" s="92">
        <f t="shared" si="1012"/>
        <v>0</v>
      </c>
      <c r="S1349" s="92">
        <f t="shared" si="1013"/>
        <v>0</v>
      </c>
      <c r="T1349" s="93">
        <f t="shared" si="1014"/>
        <v>0</v>
      </c>
      <c r="U1349" s="95">
        <f t="shared" si="1015"/>
        <v>0</v>
      </c>
      <c r="V1349" s="94"/>
      <c r="X1349" s="580" t="str">
        <f t="shared" si="1016"/>
        <v/>
      </c>
      <c r="Y1349" s="580" t="str">
        <f t="shared" si="1017"/>
        <v/>
      </c>
      <c r="Z1349" s="580" t="str">
        <f t="shared" si="1018"/>
        <v/>
      </c>
    </row>
    <row r="1350" spans="1:26" ht="25.5" hidden="1" x14ac:dyDescent="0.2">
      <c r="A1350" s="97">
        <v>91974</v>
      </c>
      <c r="B1350" s="1031">
        <v>91974</v>
      </c>
      <c r="C1350" s="978" t="s">
        <v>883</v>
      </c>
      <c r="D1350" s="595" t="s">
        <v>1573</v>
      </c>
      <c r="E1350" s="596"/>
      <c r="F1350" s="671"/>
      <c r="G1350" s="597"/>
      <c r="H1350" s="682"/>
      <c r="I1350" s="592">
        <v>61.06</v>
      </c>
      <c r="J1350" s="592">
        <f t="shared" si="1009"/>
        <v>61.06</v>
      </c>
      <c r="K1350" s="593">
        <f t="shared" si="1008"/>
        <v>74.319999999999993</v>
      </c>
      <c r="L1350" s="594" t="s">
        <v>21</v>
      </c>
      <c r="M1350" s="92"/>
      <c r="N1350" s="92"/>
      <c r="O1350" s="93">
        <f t="shared" si="1010"/>
        <v>0</v>
      </c>
      <c r="P1350" s="93">
        <f t="shared" si="1011"/>
        <v>0</v>
      </c>
      <c r="Q1350" s="94"/>
      <c r="R1350" s="92">
        <f t="shared" si="1012"/>
        <v>0</v>
      </c>
      <c r="S1350" s="92">
        <f t="shared" si="1013"/>
        <v>0</v>
      </c>
      <c r="T1350" s="93">
        <f t="shared" si="1014"/>
        <v>0</v>
      </c>
      <c r="U1350" s="95">
        <f t="shared" si="1015"/>
        <v>0</v>
      </c>
      <c r="V1350" s="94"/>
      <c r="X1350" s="580" t="str">
        <f t="shared" si="1016"/>
        <v/>
      </c>
      <c r="Y1350" s="580" t="str">
        <f t="shared" si="1017"/>
        <v/>
      </c>
      <c r="Z1350" s="580" t="str">
        <f t="shared" si="1018"/>
        <v/>
      </c>
    </row>
    <row r="1351" spans="1:26" ht="25.5" hidden="1" x14ac:dyDescent="0.2">
      <c r="A1351" s="97">
        <v>91975</v>
      </c>
      <c r="B1351" s="1031">
        <v>91975</v>
      </c>
      <c r="C1351" s="978" t="s">
        <v>883</v>
      </c>
      <c r="D1351" s="595" t="s">
        <v>1574</v>
      </c>
      <c r="E1351" s="596"/>
      <c r="F1351" s="671"/>
      <c r="G1351" s="597"/>
      <c r="H1351" s="682"/>
      <c r="I1351" s="592">
        <v>73.430000000000007</v>
      </c>
      <c r="J1351" s="592">
        <f t="shared" si="1009"/>
        <v>73.430000000000007</v>
      </c>
      <c r="K1351" s="593">
        <f t="shared" si="1008"/>
        <v>89.37</v>
      </c>
      <c r="L1351" s="594" t="s">
        <v>21</v>
      </c>
      <c r="M1351" s="92"/>
      <c r="N1351" s="92"/>
      <c r="O1351" s="93">
        <f t="shared" si="1010"/>
        <v>0</v>
      </c>
      <c r="P1351" s="93">
        <f t="shared" si="1011"/>
        <v>0</v>
      </c>
      <c r="Q1351" s="94"/>
      <c r="R1351" s="92">
        <f t="shared" si="1012"/>
        <v>0</v>
      </c>
      <c r="S1351" s="92">
        <f t="shared" si="1013"/>
        <v>0</v>
      </c>
      <c r="T1351" s="93">
        <f t="shared" si="1014"/>
        <v>0</v>
      </c>
      <c r="U1351" s="95">
        <f t="shared" si="1015"/>
        <v>0</v>
      </c>
      <c r="V1351" s="94"/>
      <c r="X1351" s="580" t="str">
        <f t="shared" si="1016"/>
        <v/>
      </c>
      <c r="Y1351" s="580" t="str">
        <f t="shared" si="1017"/>
        <v/>
      </c>
      <c r="Z1351" s="580" t="str">
        <f t="shared" si="1018"/>
        <v/>
      </c>
    </row>
    <row r="1352" spans="1:26" ht="25.5" hidden="1" x14ac:dyDescent="0.2">
      <c r="A1352" s="97">
        <v>91976</v>
      </c>
      <c r="B1352" s="1031">
        <v>91976</v>
      </c>
      <c r="C1352" s="978" t="s">
        <v>883</v>
      </c>
      <c r="D1352" s="595" t="s">
        <v>1575</v>
      </c>
      <c r="E1352" s="596"/>
      <c r="F1352" s="671"/>
      <c r="G1352" s="597"/>
      <c r="H1352" s="682"/>
      <c r="I1352" s="592">
        <v>90.2</v>
      </c>
      <c r="J1352" s="592">
        <f t="shared" si="1009"/>
        <v>90.2</v>
      </c>
      <c r="K1352" s="593">
        <f t="shared" si="1008"/>
        <v>109.78</v>
      </c>
      <c r="L1352" s="594" t="s">
        <v>21</v>
      </c>
      <c r="M1352" s="92"/>
      <c r="N1352" s="92"/>
      <c r="O1352" s="93">
        <f t="shared" si="1010"/>
        <v>0</v>
      </c>
      <c r="P1352" s="93">
        <f t="shared" si="1011"/>
        <v>0</v>
      </c>
      <c r="Q1352" s="94"/>
      <c r="R1352" s="92">
        <f t="shared" si="1012"/>
        <v>0</v>
      </c>
      <c r="S1352" s="92">
        <f t="shared" si="1013"/>
        <v>0</v>
      </c>
      <c r="T1352" s="93">
        <f t="shared" si="1014"/>
        <v>0</v>
      </c>
      <c r="U1352" s="95">
        <f t="shared" si="1015"/>
        <v>0</v>
      </c>
      <c r="V1352" s="94"/>
      <c r="X1352" s="580" t="str">
        <f t="shared" si="1016"/>
        <v/>
      </c>
      <c r="Y1352" s="580" t="str">
        <f t="shared" si="1017"/>
        <v/>
      </c>
      <c r="Z1352" s="580" t="str">
        <f t="shared" si="1018"/>
        <v/>
      </c>
    </row>
    <row r="1353" spans="1:26" ht="25.5" hidden="1" x14ac:dyDescent="0.2">
      <c r="A1353" s="97">
        <v>91977</v>
      </c>
      <c r="B1353" s="1031">
        <v>91977</v>
      </c>
      <c r="C1353" s="978" t="s">
        <v>883</v>
      </c>
      <c r="D1353" s="595" t="s">
        <v>1576</v>
      </c>
      <c r="E1353" s="596"/>
      <c r="F1353" s="671"/>
      <c r="G1353" s="597"/>
      <c r="H1353" s="682"/>
      <c r="I1353" s="592">
        <v>102.57</v>
      </c>
      <c r="J1353" s="592">
        <f t="shared" si="1009"/>
        <v>102.57</v>
      </c>
      <c r="K1353" s="593">
        <f t="shared" si="1008"/>
        <v>124.84</v>
      </c>
      <c r="L1353" s="594" t="s">
        <v>21</v>
      </c>
      <c r="M1353" s="92"/>
      <c r="N1353" s="92"/>
      <c r="O1353" s="93">
        <f t="shared" si="1010"/>
        <v>0</v>
      </c>
      <c r="P1353" s="93">
        <f t="shared" si="1011"/>
        <v>0</v>
      </c>
      <c r="Q1353" s="94"/>
      <c r="R1353" s="92">
        <f t="shared" si="1012"/>
        <v>0</v>
      </c>
      <c r="S1353" s="92">
        <f t="shared" si="1013"/>
        <v>0</v>
      </c>
      <c r="T1353" s="93">
        <f t="shared" si="1014"/>
        <v>0</v>
      </c>
      <c r="U1353" s="95">
        <f t="shared" si="1015"/>
        <v>0</v>
      </c>
      <c r="V1353" s="94"/>
      <c r="X1353" s="580" t="str">
        <f t="shared" si="1016"/>
        <v/>
      </c>
      <c r="Y1353" s="580" t="str">
        <f t="shared" si="1017"/>
        <v/>
      </c>
      <c r="Z1353" s="580" t="str">
        <f t="shared" si="1018"/>
        <v/>
      </c>
    </row>
    <row r="1354" spans="1:26" ht="25.5" hidden="1" x14ac:dyDescent="0.2">
      <c r="A1354" s="97">
        <v>92022</v>
      </c>
      <c r="B1354" s="1031">
        <v>92022</v>
      </c>
      <c r="C1354" s="978" t="s">
        <v>883</v>
      </c>
      <c r="D1354" s="595" t="s">
        <v>1577</v>
      </c>
      <c r="E1354" s="596"/>
      <c r="F1354" s="671"/>
      <c r="G1354" s="597"/>
      <c r="H1354" s="682"/>
      <c r="I1354" s="592">
        <v>36.409999999999997</v>
      </c>
      <c r="J1354" s="592">
        <f t="shared" si="1009"/>
        <v>36.409999999999997</v>
      </c>
      <c r="K1354" s="593">
        <f t="shared" si="1008"/>
        <v>44.31</v>
      </c>
      <c r="L1354" s="594" t="s">
        <v>21</v>
      </c>
      <c r="M1354" s="92"/>
      <c r="N1354" s="92"/>
      <c r="O1354" s="93">
        <f t="shared" si="1010"/>
        <v>0</v>
      </c>
      <c r="P1354" s="93">
        <f t="shared" si="1011"/>
        <v>0</v>
      </c>
      <c r="Q1354" s="94"/>
      <c r="R1354" s="92">
        <f t="shared" si="1012"/>
        <v>0</v>
      </c>
      <c r="S1354" s="92">
        <f t="shared" si="1013"/>
        <v>0</v>
      </c>
      <c r="T1354" s="93">
        <f t="shared" si="1014"/>
        <v>0</v>
      </c>
      <c r="U1354" s="95">
        <f t="shared" si="1015"/>
        <v>0</v>
      </c>
      <c r="V1354" s="94"/>
      <c r="X1354" s="580" t="str">
        <f t="shared" si="1016"/>
        <v/>
      </c>
      <c r="Y1354" s="580" t="str">
        <f t="shared" si="1017"/>
        <v/>
      </c>
      <c r="Z1354" s="580" t="str">
        <f t="shared" si="1018"/>
        <v/>
      </c>
    </row>
    <row r="1355" spans="1:26" ht="25.5" hidden="1" x14ac:dyDescent="0.2">
      <c r="A1355" s="97">
        <v>92023</v>
      </c>
      <c r="B1355" s="1031">
        <v>92023</v>
      </c>
      <c r="C1355" s="978" t="s">
        <v>883</v>
      </c>
      <c r="D1355" s="595" t="s">
        <v>1578</v>
      </c>
      <c r="E1355" s="596"/>
      <c r="F1355" s="671"/>
      <c r="G1355" s="597"/>
      <c r="H1355" s="682"/>
      <c r="I1355" s="592">
        <v>44.13</v>
      </c>
      <c r="J1355" s="592">
        <f t="shared" si="1009"/>
        <v>44.13</v>
      </c>
      <c r="K1355" s="593">
        <f t="shared" si="1008"/>
        <v>53.71</v>
      </c>
      <c r="L1355" s="594" t="s">
        <v>21</v>
      </c>
      <c r="M1355" s="92"/>
      <c r="N1355" s="92"/>
      <c r="O1355" s="93">
        <f t="shared" si="1010"/>
        <v>0</v>
      </c>
      <c r="P1355" s="93">
        <f t="shared" si="1011"/>
        <v>0</v>
      </c>
      <c r="Q1355" s="94"/>
      <c r="R1355" s="92">
        <f t="shared" si="1012"/>
        <v>0</v>
      </c>
      <c r="S1355" s="92">
        <f t="shared" si="1013"/>
        <v>0</v>
      </c>
      <c r="T1355" s="93">
        <f t="shared" si="1014"/>
        <v>0</v>
      </c>
      <c r="U1355" s="95">
        <f t="shared" si="1015"/>
        <v>0</v>
      </c>
      <c r="V1355" s="94"/>
      <c r="X1355" s="580" t="str">
        <f t="shared" si="1016"/>
        <v/>
      </c>
      <c r="Y1355" s="580" t="str">
        <f t="shared" si="1017"/>
        <v/>
      </c>
      <c r="Z1355" s="580" t="str">
        <f t="shared" si="1018"/>
        <v/>
      </c>
    </row>
    <row r="1356" spans="1:26" ht="25.5" hidden="1" x14ac:dyDescent="0.2">
      <c r="A1356" s="97">
        <v>92024</v>
      </c>
      <c r="B1356" s="1031">
        <v>92024</v>
      </c>
      <c r="C1356" s="978" t="s">
        <v>883</v>
      </c>
      <c r="D1356" s="595" t="s">
        <v>1579</v>
      </c>
      <c r="E1356" s="596"/>
      <c r="F1356" s="671"/>
      <c r="G1356" s="597"/>
      <c r="H1356" s="682"/>
      <c r="I1356" s="592">
        <v>55.65</v>
      </c>
      <c r="J1356" s="592">
        <f t="shared" si="1009"/>
        <v>55.65</v>
      </c>
      <c r="K1356" s="593">
        <f t="shared" ref="K1356:K1419" si="1019">IF(ISBLANK(I1356),0,ROUND(J1356*(1+$F$10)*(1+$F$11*E1356),2))</f>
        <v>67.73</v>
      </c>
      <c r="L1356" s="594" t="s">
        <v>21</v>
      </c>
      <c r="M1356" s="92"/>
      <c r="N1356" s="92"/>
      <c r="O1356" s="93">
        <f t="shared" si="1010"/>
        <v>0</v>
      </c>
      <c r="P1356" s="93">
        <f t="shared" si="1011"/>
        <v>0</v>
      </c>
      <c r="Q1356" s="94"/>
      <c r="R1356" s="92">
        <f t="shared" si="1012"/>
        <v>0</v>
      </c>
      <c r="S1356" s="92">
        <f t="shared" si="1013"/>
        <v>0</v>
      </c>
      <c r="T1356" s="93">
        <f t="shared" si="1014"/>
        <v>0</v>
      </c>
      <c r="U1356" s="95">
        <f t="shared" si="1015"/>
        <v>0</v>
      </c>
      <c r="V1356" s="94"/>
      <c r="X1356" s="580" t="str">
        <f t="shared" si="1016"/>
        <v/>
      </c>
      <c r="Y1356" s="580" t="str">
        <f t="shared" si="1017"/>
        <v/>
      </c>
      <c r="Z1356" s="580" t="str">
        <f t="shared" si="1018"/>
        <v/>
      </c>
    </row>
    <row r="1357" spans="1:26" ht="25.5" hidden="1" x14ac:dyDescent="0.2">
      <c r="A1357" s="97">
        <v>92025</v>
      </c>
      <c r="B1357" s="1031">
        <v>92025</v>
      </c>
      <c r="C1357" s="978" t="s">
        <v>883</v>
      </c>
      <c r="D1357" s="595" t="s">
        <v>1580</v>
      </c>
      <c r="E1357" s="596"/>
      <c r="F1357" s="671"/>
      <c r="G1357" s="597"/>
      <c r="H1357" s="682"/>
      <c r="I1357" s="592">
        <v>63.37</v>
      </c>
      <c r="J1357" s="592">
        <f t="shared" si="1009"/>
        <v>63.37</v>
      </c>
      <c r="K1357" s="593">
        <f t="shared" si="1019"/>
        <v>77.13</v>
      </c>
      <c r="L1357" s="594" t="s">
        <v>21</v>
      </c>
      <c r="M1357" s="92"/>
      <c r="N1357" s="92"/>
      <c r="O1357" s="93">
        <f t="shared" si="1010"/>
        <v>0</v>
      </c>
      <c r="P1357" s="93">
        <f t="shared" si="1011"/>
        <v>0</v>
      </c>
      <c r="Q1357" s="94"/>
      <c r="R1357" s="92">
        <f t="shared" si="1012"/>
        <v>0</v>
      </c>
      <c r="S1357" s="92">
        <f t="shared" si="1013"/>
        <v>0</v>
      </c>
      <c r="T1357" s="93">
        <f t="shared" si="1014"/>
        <v>0</v>
      </c>
      <c r="U1357" s="95">
        <f t="shared" si="1015"/>
        <v>0</v>
      </c>
      <c r="V1357" s="94"/>
      <c r="X1357" s="580" t="str">
        <f t="shared" si="1016"/>
        <v/>
      </c>
      <c r="Y1357" s="580" t="str">
        <f t="shared" si="1017"/>
        <v/>
      </c>
      <c r="Z1357" s="580" t="str">
        <f t="shared" si="1018"/>
        <v/>
      </c>
    </row>
    <row r="1358" spans="1:26" ht="25.5" hidden="1" x14ac:dyDescent="0.2">
      <c r="A1358" s="97">
        <v>92026</v>
      </c>
      <c r="B1358" s="1031">
        <v>92026</v>
      </c>
      <c r="C1358" s="978" t="s">
        <v>883</v>
      </c>
      <c r="D1358" s="595" t="s">
        <v>1581</v>
      </c>
      <c r="E1358" s="596"/>
      <c r="F1358" s="671"/>
      <c r="G1358" s="597"/>
      <c r="H1358" s="682"/>
      <c r="I1358" s="592">
        <v>50.94</v>
      </c>
      <c r="J1358" s="592">
        <f t="shared" si="1009"/>
        <v>50.94</v>
      </c>
      <c r="K1358" s="593">
        <f t="shared" si="1019"/>
        <v>62</v>
      </c>
      <c r="L1358" s="594" t="s">
        <v>21</v>
      </c>
      <c r="M1358" s="92"/>
      <c r="N1358" s="92"/>
      <c r="O1358" s="93">
        <f t="shared" si="1010"/>
        <v>0</v>
      </c>
      <c r="P1358" s="93">
        <f t="shared" si="1011"/>
        <v>0</v>
      </c>
      <c r="Q1358" s="94"/>
      <c r="R1358" s="92">
        <f t="shared" si="1012"/>
        <v>0</v>
      </c>
      <c r="S1358" s="92">
        <f t="shared" si="1013"/>
        <v>0</v>
      </c>
      <c r="T1358" s="93">
        <f t="shared" si="1014"/>
        <v>0</v>
      </c>
      <c r="U1358" s="95">
        <f t="shared" si="1015"/>
        <v>0</v>
      </c>
      <c r="V1358" s="94"/>
      <c r="X1358" s="580" t="str">
        <f t="shared" si="1016"/>
        <v/>
      </c>
      <c r="Y1358" s="580" t="str">
        <f t="shared" si="1017"/>
        <v/>
      </c>
      <c r="Z1358" s="580" t="str">
        <f t="shared" si="1018"/>
        <v/>
      </c>
    </row>
    <row r="1359" spans="1:26" ht="25.5" hidden="1" x14ac:dyDescent="0.2">
      <c r="A1359" s="97">
        <v>92027</v>
      </c>
      <c r="B1359" s="1031">
        <v>92027</v>
      </c>
      <c r="C1359" s="978" t="s">
        <v>883</v>
      </c>
      <c r="D1359" s="595" t="s">
        <v>1582</v>
      </c>
      <c r="E1359" s="596"/>
      <c r="F1359" s="671"/>
      <c r="G1359" s="597"/>
      <c r="H1359" s="682"/>
      <c r="I1359" s="592">
        <v>58.66</v>
      </c>
      <c r="J1359" s="592">
        <f t="shared" si="1009"/>
        <v>58.66</v>
      </c>
      <c r="K1359" s="593">
        <f t="shared" si="1019"/>
        <v>71.400000000000006</v>
      </c>
      <c r="L1359" s="594" t="s">
        <v>21</v>
      </c>
      <c r="M1359" s="92"/>
      <c r="N1359" s="92"/>
      <c r="O1359" s="93">
        <f t="shared" si="1010"/>
        <v>0</v>
      </c>
      <c r="P1359" s="93">
        <f t="shared" si="1011"/>
        <v>0</v>
      </c>
      <c r="Q1359" s="94"/>
      <c r="R1359" s="92">
        <f t="shared" si="1012"/>
        <v>0</v>
      </c>
      <c r="S1359" s="92">
        <f t="shared" si="1013"/>
        <v>0</v>
      </c>
      <c r="T1359" s="93">
        <f t="shared" si="1014"/>
        <v>0</v>
      </c>
      <c r="U1359" s="95">
        <f t="shared" si="1015"/>
        <v>0</v>
      </c>
      <c r="V1359" s="94"/>
      <c r="X1359" s="580" t="str">
        <f t="shared" si="1016"/>
        <v/>
      </c>
      <c r="Y1359" s="580" t="str">
        <f t="shared" si="1017"/>
        <v/>
      </c>
      <c r="Z1359" s="580" t="str">
        <f t="shared" si="1018"/>
        <v/>
      </c>
    </row>
    <row r="1360" spans="1:26" ht="38.25" hidden="1" x14ac:dyDescent="0.2">
      <c r="A1360" s="97">
        <v>92034</v>
      </c>
      <c r="B1360" s="1031">
        <v>92034</v>
      </c>
      <c r="C1360" s="978" t="s">
        <v>883</v>
      </c>
      <c r="D1360" s="595" t="s">
        <v>1583</v>
      </c>
      <c r="E1360" s="596"/>
      <c r="F1360" s="671"/>
      <c r="G1360" s="597"/>
      <c r="H1360" s="682"/>
      <c r="I1360" s="592">
        <v>56.82</v>
      </c>
      <c r="J1360" s="592">
        <f t="shared" si="1009"/>
        <v>56.82</v>
      </c>
      <c r="K1360" s="593">
        <f t="shared" si="1019"/>
        <v>69.16</v>
      </c>
      <c r="L1360" s="594" t="s">
        <v>21</v>
      </c>
      <c r="M1360" s="92"/>
      <c r="N1360" s="92"/>
      <c r="O1360" s="93">
        <f t="shared" si="1010"/>
        <v>0</v>
      </c>
      <c r="P1360" s="93">
        <f t="shared" si="1011"/>
        <v>0</v>
      </c>
      <c r="Q1360" s="94"/>
      <c r="R1360" s="92">
        <f t="shared" si="1012"/>
        <v>0</v>
      </c>
      <c r="S1360" s="92">
        <f t="shared" si="1013"/>
        <v>0</v>
      </c>
      <c r="T1360" s="93">
        <f t="shared" si="1014"/>
        <v>0</v>
      </c>
      <c r="U1360" s="95">
        <f t="shared" si="1015"/>
        <v>0</v>
      </c>
      <c r="V1360" s="94"/>
      <c r="X1360" s="580" t="str">
        <f t="shared" si="1016"/>
        <v/>
      </c>
      <c r="Y1360" s="580" t="str">
        <f t="shared" si="1017"/>
        <v/>
      </c>
      <c r="Z1360" s="580" t="str">
        <f t="shared" si="1018"/>
        <v/>
      </c>
    </row>
    <row r="1361" spans="1:26" ht="38.25" hidden="1" x14ac:dyDescent="0.2">
      <c r="A1361" s="97">
        <v>92035</v>
      </c>
      <c r="B1361" s="1031">
        <v>92035</v>
      </c>
      <c r="C1361" s="978" t="s">
        <v>883</v>
      </c>
      <c r="D1361" s="595" t="s">
        <v>1584</v>
      </c>
      <c r="E1361" s="596"/>
      <c r="F1361" s="671"/>
      <c r="G1361" s="597"/>
      <c r="H1361" s="682"/>
      <c r="I1361" s="592">
        <v>64.540000000000006</v>
      </c>
      <c r="J1361" s="592">
        <f t="shared" si="1009"/>
        <v>64.540000000000006</v>
      </c>
      <c r="K1361" s="593">
        <f t="shared" si="1019"/>
        <v>78.55</v>
      </c>
      <c r="L1361" s="594" t="s">
        <v>21</v>
      </c>
      <c r="M1361" s="92"/>
      <c r="N1361" s="92"/>
      <c r="O1361" s="93">
        <f t="shared" si="1010"/>
        <v>0</v>
      </c>
      <c r="P1361" s="93">
        <f t="shared" si="1011"/>
        <v>0</v>
      </c>
      <c r="Q1361" s="94"/>
      <c r="R1361" s="92">
        <f t="shared" si="1012"/>
        <v>0</v>
      </c>
      <c r="S1361" s="92">
        <f t="shared" si="1013"/>
        <v>0</v>
      </c>
      <c r="T1361" s="93">
        <f t="shared" si="1014"/>
        <v>0</v>
      </c>
      <c r="U1361" s="95">
        <f t="shared" si="1015"/>
        <v>0</v>
      </c>
      <c r="V1361" s="94"/>
      <c r="X1361" s="580" t="str">
        <f t="shared" si="1016"/>
        <v/>
      </c>
      <c r="Y1361" s="580" t="str">
        <f t="shared" si="1017"/>
        <v/>
      </c>
      <c r="Z1361" s="580" t="str">
        <f t="shared" si="1018"/>
        <v/>
      </c>
    </row>
    <row r="1362" spans="1:26" ht="25.5" hidden="1" x14ac:dyDescent="0.2">
      <c r="A1362" s="97">
        <v>91954</v>
      </c>
      <c r="B1362" s="1031">
        <v>91954</v>
      </c>
      <c r="C1362" s="978" t="s">
        <v>883</v>
      </c>
      <c r="D1362" s="595" t="s">
        <v>1585</v>
      </c>
      <c r="E1362" s="596"/>
      <c r="F1362" s="671"/>
      <c r="G1362" s="597"/>
      <c r="H1362" s="682"/>
      <c r="I1362" s="592">
        <v>23.1</v>
      </c>
      <c r="J1362" s="592">
        <f t="shared" ref="J1362:J1425" si="1020">IF(ISBLANK(I1362),"",SUM(H1362:I1362))</f>
        <v>23.1</v>
      </c>
      <c r="K1362" s="593">
        <f t="shared" si="1019"/>
        <v>28.12</v>
      </c>
      <c r="L1362" s="594" t="s">
        <v>21</v>
      </c>
      <c r="M1362" s="92"/>
      <c r="N1362" s="92"/>
      <c r="O1362" s="93">
        <f t="shared" ref="O1362:O1425" si="1021">IF(ISBLANK(M1362),0,ROUND(K1362*M1362,2))</f>
        <v>0</v>
      </c>
      <c r="P1362" s="93">
        <f t="shared" ref="P1362:P1425" si="1022">IF(ISBLANK(N1362),0,ROUND(M1362*N1362,2))</f>
        <v>0</v>
      </c>
      <c r="Q1362" s="94"/>
      <c r="R1362" s="92">
        <f t="shared" ref="R1362:R1425" si="1023">M1362</f>
        <v>0</v>
      </c>
      <c r="S1362" s="92">
        <f t="shared" ref="S1362:S1425" si="1024">N1362</f>
        <v>0</v>
      </c>
      <c r="T1362" s="93">
        <f t="shared" ref="T1362:T1425" si="1025">IF(ISBLANK(R1362),0,ROUND(K1362*R1362,2))</f>
        <v>0</v>
      </c>
      <c r="U1362" s="95">
        <f t="shared" ref="U1362:U1425" si="1026">IF(ISBLANK(R1362),0,ROUND(R1362*S1362,2))</f>
        <v>0</v>
      </c>
      <c r="V1362" s="94"/>
      <c r="X1362" s="580" t="str">
        <f t="shared" ref="X1362:X1425" si="1027">IF(W1362="X","x",IF(W1362="xx","x",IF(W1362="xy","x",IF(W1362="y","x",IF(OR(P1362&gt;0,U1362&gt;0),"x","")))))</f>
        <v/>
      </c>
      <c r="Y1362" s="580" t="str">
        <f t="shared" ref="Y1362:Y1425" si="1028">IF(W1362="X","x",IF(W1362="y","x",IF(W1362="xx","x",IF(U1362&gt;0,"x",""))))</f>
        <v/>
      </c>
      <c r="Z1362" s="580" t="str">
        <f t="shared" ref="Z1362:Z1425" si="1029">IF(W1362="X","x",IF(U1362&gt;0,"x",""))</f>
        <v/>
      </c>
    </row>
    <row r="1363" spans="1:26" ht="25.5" hidden="1" x14ac:dyDescent="0.2">
      <c r="A1363" s="97">
        <v>91955</v>
      </c>
      <c r="B1363" s="1031">
        <v>91955</v>
      </c>
      <c r="C1363" s="978" t="s">
        <v>883</v>
      </c>
      <c r="D1363" s="595" t="s">
        <v>1586</v>
      </c>
      <c r="E1363" s="596"/>
      <c r="F1363" s="671"/>
      <c r="G1363" s="597"/>
      <c r="H1363" s="682"/>
      <c r="I1363" s="592">
        <v>30.82</v>
      </c>
      <c r="J1363" s="592">
        <f t="shared" si="1020"/>
        <v>30.82</v>
      </c>
      <c r="K1363" s="593">
        <f t="shared" si="1019"/>
        <v>37.51</v>
      </c>
      <c r="L1363" s="594" t="s">
        <v>21</v>
      </c>
      <c r="M1363" s="92"/>
      <c r="N1363" s="92"/>
      <c r="O1363" s="93">
        <f t="shared" si="1021"/>
        <v>0</v>
      </c>
      <c r="P1363" s="93">
        <f t="shared" si="1022"/>
        <v>0</v>
      </c>
      <c r="Q1363" s="94"/>
      <c r="R1363" s="92">
        <f t="shared" si="1023"/>
        <v>0</v>
      </c>
      <c r="S1363" s="92">
        <f t="shared" si="1024"/>
        <v>0</v>
      </c>
      <c r="T1363" s="93">
        <f t="shared" si="1025"/>
        <v>0</v>
      </c>
      <c r="U1363" s="95">
        <f t="shared" si="1026"/>
        <v>0</v>
      </c>
      <c r="V1363" s="94"/>
      <c r="X1363" s="580" t="str">
        <f t="shared" si="1027"/>
        <v/>
      </c>
      <c r="Y1363" s="580" t="str">
        <f t="shared" si="1028"/>
        <v/>
      </c>
      <c r="Z1363" s="580" t="str">
        <f t="shared" si="1029"/>
        <v/>
      </c>
    </row>
    <row r="1364" spans="1:26" ht="25.5" hidden="1" x14ac:dyDescent="0.2">
      <c r="A1364" s="97">
        <v>91960</v>
      </c>
      <c r="B1364" s="1031">
        <v>91960</v>
      </c>
      <c r="C1364" s="978" t="s">
        <v>883</v>
      </c>
      <c r="D1364" s="595" t="s">
        <v>1587</v>
      </c>
      <c r="E1364" s="596"/>
      <c r="F1364" s="671"/>
      <c r="G1364" s="597"/>
      <c r="H1364" s="682"/>
      <c r="I1364" s="592">
        <v>43.46</v>
      </c>
      <c r="J1364" s="592">
        <f t="shared" si="1020"/>
        <v>43.46</v>
      </c>
      <c r="K1364" s="593">
        <f t="shared" si="1019"/>
        <v>52.9</v>
      </c>
      <c r="L1364" s="594" t="s">
        <v>21</v>
      </c>
      <c r="M1364" s="92"/>
      <c r="N1364" s="92"/>
      <c r="O1364" s="93">
        <f t="shared" si="1021"/>
        <v>0</v>
      </c>
      <c r="P1364" s="93">
        <f t="shared" si="1022"/>
        <v>0</v>
      </c>
      <c r="Q1364" s="94"/>
      <c r="R1364" s="92">
        <f t="shared" si="1023"/>
        <v>0</v>
      </c>
      <c r="S1364" s="92">
        <f t="shared" si="1024"/>
        <v>0</v>
      </c>
      <c r="T1364" s="93">
        <f t="shared" si="1025"/>
        <v>0</v>
      </c>
      <c r="U1364" s="95">
        <f t="shared" si="1026"/>
        <v>0</v>
      </c>
      <c r="V1364" s="94"/>
      <c r="X1364" s="580" t="str">
        <f t="shared" si="1027"/>
        <v/>
      </c>
      <c r="Y1364" s="580" t="str">
        <f t="shared" si="1028"/>
        <v/>
      </c>
      <c r="Z1364" s="580" t="str">
        <f t="shared" si="1029"/>
        <v/>
      </c>
    </row>
    <row r="1365" spans="1:26" ht="25.5" hidden="1" x14ac:dyDescent="0.2">
      <c r="A1365" s="97">
        <v>91961</v>
      </c>
      <c r="B1365" s="1031">
        <v>91961</v>
      </c>
      <c r="C1365" s="978" t="s">
        <v>883</v>
      </c>
      <c r="D1365" s="595" t="s">
        <v>1588</v>
      </c>
      <c r="E1365" s="596"/>
      <c r="F1365" s="671"/>
      <c r="G1365" s="597"/>
      <c r="H1365" s="682"/>
      <c r="I1365" s="592">
        <v>51.18</v>
      </c>
      <c r="J1365" s="592">
        <f t="shared" si="1020"/>
        <v>51.18</v>
      </c>
      <c r="K1365" s="593">
        <f t="shared" si="1019"/>
        <v>62.29</v>
      </c>
      <c r="L1365" s="594" t="s">
        <v>21</v>
      </c>
      <c r="M1365" s="92"/>
      <c r="N1365" s="92"/>
      <c r="O1365" s="93">
        <f t="shared" si="1021"/>
        <v>0</v>
      </c>
      <c r="P1365" s="93">
        <f t="shared" si="1022"/>
        <v>0</v>
      </c>
      <c r="Q1365" s="94"/>
      <c r="R1365" s="92">
        <f t="shared" si="1023"/>
        <v>0</v>
      </c>
      <c r="S1365" s="92">
        <f t="shared" si="1024"/>
        <v>0</v>
      </c>
      <c r="T1365" s="93">
        <f t="shared" si="1025"/>
        <v>0</v>
      </c>
      <c r="U1365" s="95">
        <f t="shared" si="1026"/>
        <v>0</v>
      </c>
      <c r="V1365" s="94"/>
      <c r="X1365" s="580" t="str">
        <f t="shared" si="1027"/>
        <v/>
      </c>
      <c r="Y1365" s="580" t="str">
        <f t="shared" si="1028"/>
        <v/>
      </c>
      <c r="Z1365" s="580" t="str">
        <f t="shared" si="1029"/>
        <v/>
      </c>
    </row>
    <row r="1366" spans="1:26" ht="25.5" hidden="1" x14ac:dyDescent="0.2">
      <c r="A1366" s="97">
        <v>91968</v>
      </c>
      <c r="B1366" s="1031">
        <v>91968</v>
      </c>
      <c r="C1366" s="978" t="s">
        <v>883</v>
      </c>
      <c r="D1366" s="595" t="s">
        <v>1589</v>
      </c>
      <c r="E1366" s="596"/>
      <c r="F1366" s="671"/>
      <c r="G1366" s="597"/>
      <c r="H1366" s="682"/>
      <c r="I1366" s="592">
        <v>63.83</v>
      </c>
      <c r="J1366" s="592">
        <f t="shared" si="1020"/>
        <v>63.83</v>
      </c>
      <c r="K1366" s="593">
        <f t="shared" si="1019"/>
        <v>77.69</v>
      </c>
      <c r="L1366" s="594" t="s">
        <v>21</v>
      </c>
      <c r="M1366" s="92"/>
      <c r="N1366" s="92"/>
      <c r="O1366" s="93">
        <f t="shared" si="1021"/>
        <v>0</v>
      </c>
      <c r="P1366" s="93">
        <f t="shared" si="1022"/>
        <v>0</v>
      </c>
      <c r="Q1366" s="94"/>
      <c r="R1366" s="92">
        <f t="shared" si="1023"/>
        <v>0</v>
      </c>
      <c r="S1366" s="92">
        <f t="shared" si="1024"/>
        <v>0</v>
      </c>
      <c r="T1366" s="93">
        <f t="shared" si="1025"/>
        <v>0</v>
      </c>
      <c r="U1366" s="95">
        <f t="shared" si="1026"/>
        <v>0</v>
      </c>
      <c r="V1366" s="94"/>
      <c r="X1366" s="580" t="str">
        <f t="shared" si="1027"/>
        <v/>
      </c>
      <c r="Y1366" s="580" t="str">
        <f t="shared" si="1028"/>
        <v/>
      </c>
      <c r="Z1366" s="580" t="str">
        <f t="shared" si="1029"/>
        <v/>
      </c>
    </row>
    <row r="1367" spans="1:26" ht="25.5" hidden="1" x14ac:dyDescent="0.2">
      <c r="A1367" s="97">
        <v>91969</v>
      </c>
      <c r="B1367" s="1031">
        <v>91969</v>
      </c>
      <c r="C1367" s="978" t="s">
        <v>883</v>
      </c>
      <c r="D1367" s="595" t="s">
        <v>1590</v>
      </c>
      <c r="E1367" s="596"/>
      <c r="F1367" s="671"/>
      <c r="G1367" s="597"/>
      <c r="H1367" s="682"/>
      <c r="I1367" s="592">
        <v>71.55</v>
      </c>
      <c r="J1367" s="592">
        <f t="shared" si="1020"/>
        <v>71.55</v>
      </c>
      <c r="K1367" s="593">
        <f t="shared" si="1019"/>
        <v>87.08</v>
      </c>
      <c r="L1367" s="594" t="s">
        <v>21</v>
      </c>
      <c r="M1367" s="92"/>
      <c r="N1367" s="92"/>
      <c r="O1367" s="93">
        <f t="shared" si="1021"/>
        <v>0</v>
      </c>
      <c r="P1367" s="93">
        <f t="shared" si="1022"/>
        <v>0</v>
      </c>
      <c r="Q1367" s="94"/>
      <c r="R1367" s="92">
        <f t="shared" si="1023"/>
        <v>0</v>
      </c>
      <c r="S1367" s="92">
        <f t="shared" si="1024"/>
        <v>0</v>
      </c>
      <c r="T1367" s="93">
        <f t="shared" si="1025"/>
        <v>0</v>
      </c>
      <c r="U1367" s="95">
        <f t="shared" si="1026"/>
        <v>0</v>
      </c>
      <c r="V1367" s="94"/>
      <c r="X1367" s="580" t="str">
        <f t="shared" si="1027"/>
        <v/>
      </c>
      <c r="Y1367" s="580" t="str">
        <f t="shared" si="1028"/>
        <v/>
      </c>
      <c r="Z1367" s="580" t="str">
        <f t="shared" si="1029"/>
        <v/>
      </c>
    </row>
    <row r="1368" spans="1:26" ht="25.5" hidden="1" x14ac:dyDescent="0.2">
      <c r="A1368" s="97">
        <v>92028</v>
      </c>
      <c r="B1368" s="1031">
        <v>92028</v>
      </c>
      <c r="C1368" s="978" t="s">
        <v>883</v>
      </c>
      <c r="D1368" s="595" t="s">
        <v>1591</v>
      </c>
      <c r="E1368" s="596"/>
      <c r="F1368" s="671"/>
      <c r="G1368" s="597"/>
      <c r="H1368" s="682"/>
      <c r="I1368" s="592">
        <v>42.29</v>
      </c>
      <c r="J1368" s="592">
        <f t="shared" si="1020"/>
        <v>42.29</v>
      </c>
      <c r="K1368" s="593">
        <f t="shared" si="1019"/>
        <v>51.47</v>
      </c>
      <c r="L1368" s="594" t="s">
        <v>21</v>
      </c>
      <c r="M1368" s="92"/>
      <c r="N1368" s="92"/>
      <c r="O1368" s="93">
        <f t="shared" si="1021"/>
        <v>0</v>
      </c>
      <c r="P1368" s="93">
        <f t="shared" si="1022"/>
        <v>0</v>
      </c>
      <c r="Q1368" s="94"/>
      <c r="R1368" s="92">
        <f t="shared" si="1023"/>
        <v>0</v>
      </c>
      <c r="S1368" s="92">
        <f t="shared" si="1024"/>
        <v>0</v>
      </c>
      <c r="T1368" s="93">
        <f t="shared" si="1025"/>
        <v>0</v>
      </c>
      <c r="U1368" s="95">
        <f t="shared" si="1026"/>
        <v>0</v>
      </c>
      <c r="V1368" s="94"/>
      <c r="X1368" s="580" t="str">
        <f t="shared" si="1027"/>
        <v/>
      </c>
      <c r="Y1368" s="580" t="str">
        <f t="shared" si="1028"/>
        <v/>
      </c>
      <c r="Z1368" s="580" t="str">
        <f t="shared" si="1029"/>
        <v/>
      </c>
    </row>
    <row r="1369" spans="1:26" ht="25.5" hidden="1" x14ac:dyDescent="0.2">
      <c r="A1369" s="97">
        <v>92029</v>
      </c>
      <c r="B1369" s="1031">
        <v>92029</v>
      </c>
      <c r="C1369" s="978" t="s">
        <v>883</v>
      </c>
      <c r="D1369" s="595" t="s">
        <v>1592</v>
      </c>
      <c r="E1369" s="596"/>
      <c r="F1369" s="671"/>
      <c r="G1369" s="597"/>
      <c r="H1369" s="682"/>
      <c r="I1369" s="592">
        <v>50.01</v>
      </c>
      <c r="J1369" s="592">
        <f t="shared" si="1020"/>
        <v>50.01</v>
      </c>
      <c r="K1369" s="593">
        <f t="shared" si="1019"/>
        <v>60.87</v>
      </c>
      <c r="L1369" s="594" t="s">
        <v>21</v>
      </c>
      <c r="M1369" s="92"/>
      <c r="N1369" s="92"/>
      <c r="O1369" s="93">
        <f t="shared" si="1021"/>
        <v>0</v>
      </c>
      <c r="P1369" s="93">
        <f t="shared" si="1022"/>
        <v>0</v>
      </c>
      <c r="Q1369" s="94"/>
      <c r="R1369" s="92">
        <f t="shared" si="1023"/>
        <v>0</v>
      </c>
      <c r="S1369" s="92">
        <f t="shared" si="1024"/>
        <v>0</v>
      </c>
      <c r="T1369" s="93">
        <f t="shared" si="1025"/>
        <v>0</v>
      </c>
      <c r="U1369" s="95">
        <f t="shared" si="1026"/>
        <v>0</v>
      </c>
      <c r="V1369" s="94"/>
      <c r="X1369" s="580" t="str">
        <f t="shared" si="1027"/>
        <v/>
      </c>
      <c r="Y1369" s="580" t="str">
        <f t="shared" si="1028"/>
        <v/>
      </c>
      <c r="Z1369" s="580" t="str">
        <f t="shared" si="1029"/>
        <v/>
      </c>
    </row>
    <row r="1370" spans="1:26" ht="25.5" hidden="1" x14ac:dyDescent="0.2">
      <c r="A1370" s="97">
        <v>92030</v>
      </c>
      <c r="B1370" s="1031">
        <v>92030</v>
      </c>
      <c r="C1370" s="978" t="s">
        <v>883</v>
      </c>
      <c r="D1370" s="595" t="s">
        <v>1593</v>
      </c>
      <c r="E1370" s="596"/>
      <c r="F1370" s="671"/>
      <c r="G1370" s="597"/>
      <c r="H1370" s="682"/>
      <c r="I1370" s="592">
        <v>61.49</v>
      </c>
      <c r="J1370" s="592">
        <f t="shared" si="1020"/>
        <v>61.49</v>
      </c>
      <c r="K1370" s="593">
        <f t="shared" si="1019"/>
        <v>74.84</v>
      </c>
      <c r="L1370" s="594" t="s">
        <v>21</v>
      </c>
      <c r="M1370" s="92"/>
      <c r="N1370" s="92"/>
      <c r="O1370" s="93">
        <f t="shared" si="1021"/>
        <v>0</v>
      </c>
      <c r="P1370" s="93">
        <f t="shared" si="1022"/>
        <v>0</v>
      </c>
      <c r="Q1370" s="94"/>
      <c r="R1370" s="92">
        <f t="shared" si="1023"/>
        <v>0</v>
      </c>
      <c r="S1370" s="92">
        <f t="shared" si="1024"/>
        <v>0</v>
      </c>
      <c r="T1370" s="93">
        <f t="shared" si="1025"/>
        <v>0</v>
      </c>
      <c r="U1370" s="95">
        <f t="shared" si="1026"/>
        <v>0</v>
      </c>
      <c r="V1370" s="94"/>
      <c r="X1370" s="580" t="str">
        <f t="shared" si="1027"/>
        <v/>
      </c>
      <c r="Y1370" s="580" t="str">
        <f t="shared" si="1028"/>
        <v/>
      </c>
      <c r="Z1370" s="580" t="str">
        <f t="shared" si="1029"/>
        <v/>
      </c>
    </row>
    <row r="1371" spans="1:26" ht="25.5" hidden="1" x14ac:dyDescent="0.2">
      <c r="A1371" s="97">
        <v>92031</v>
      </c>
      <c r="B1371" s="1031">
        <v>92031</v>
      </c>
      <c r="C1371" s="978" t="s">
        <v>883</v>
      </c>
      <c r="D1371" s="595" t="s">
        <v>1594</v>
      </c>
      <c r="E1371" s="596"/>
      <c r="F1371" s="671"/>
      <c r="G1371" s="597"/>
      <c r="H1371" s="682"/>
      <c r="I1371" s="592">
        <v>69.209999999999994</v>
      </c>
      <c r="J1371" s="592">
        <f t="shared" si="1020"/>
        <v>69.209999999999994</v>
      </c>
      <c r="K1371" s="593">
        <f t="shared" si="1019"/>
        <v>84.24</v>
      </c>
      <c r="L1371" s="594" t="s">
        <v>21</v>
      </c>
      <c r="M1371" s="92"/>
      <c r="N1371" s="92"/>
      <c r="O1371" s="93">
        <f t="shared" si="1021"/>
        <v>0</v>
      </c>
      <c r="P1371" s="93">
        <f t="shared" si="1022"/>
        <v>0</v>
      </c>
      <c r="Q1371" s="94"/>
      <c r="R1371" s="92">
        <f t="shared" si="1023"/>
        <v>0</v>
      </c>
      <c r="S1371" s="92">
        <f t="shared" si="1024"/>
        <v>0</v>
      </c>
      <c r="T1371" s="93">
        <f t="shared" si="1025"/>
        <v>0</v>
      </c>
      <c r="U1371" s="95">
        <f t="shared" si="1026"/>
        <v>0</v>
      </c>
      <c r="V1371" s="94"/>
      <c r="X1371" s="580" t="str">
        <f t="shared" si="1027"/>
        <v/>
      </c>
      <c r="Y1371" s="580" t="str">
        <f t="shared" si="1028"/>
        <v/>
      </c>
      <c r="Z1371" s="580" t="str">
        <f t="shared" si="1029"/>
        <v/>
      </c>
    </row>
    <row r="1372" spans="1:26" ht="25.5" hidden="1" x14ac:dyDescent="0.2">
      <c r="A1372" s="97">
        <v>92032</v>
      </c>
      <c r="B1372" s="1031">
        <v>92032</v>
      </c>
      <c r="C1372" s="978" t="s">
        <v>883</v>
      </c>
      <c r="D1372" s="595" t="s">
        <v>1595</v>
      </c>
      <c r="E1372" s="596"/>
      <c r="F1372" s="671"/>
      <c r="G1372" s="597"/>
      <c r="H1372" s="682"/>
      <c r="I1372" s="592">
        <v>62.66</v>
      </c>
      <c r="J1372" s="592">
        <f t="shared" si="1020"/>
        <v>62.66</v>
      </c>
      <c r="K1372" s="593">
        <f t="shared" si="1019"/>
        <v>76.260000000000005</v>
      </c>
      <c r="L1372" s="594" t="s">
        <v>21</v>
      </c>
      <c r="M1372" s="92"/>
      <c r="N1372" s="92"/>
      <c r="O1372" s="93">
        <f t="shared" si="1021"/>
        <v>0</v>
      </c>
      <c r="P1372" s="93">
        <f t="shared" si="1022"/>
        <v>0</v>
      </c>
      <c r="Q1372" s="94"/>
      <c r="R1372" s="92">
        <f t="shared" si="1023"/>
        <v>0</v>
      </c>
      <c r="S1372" s="92">
        <f t="shared" si="1024"/>
        <v>0</v>
      </c>
      <c r="T1372" s="93">
        <f t="shared" si="1025"/>
        <v>0</v>
      </c>
      <c r="U1372" s="95">
        <f t="shared" si="1026"/>
        <v>0</v>
      </c>
      <c r="V1372" s="94"/>
      <c r="X1372" s="580" t="str">
        <f t="shared" si="1027"/>
        <v/>
      </c>
      <c r="Y1372" s="580" t="str">
        <f t="shared" si="1028"/>
        <v/>
      </c>
      <c r="Z1372" s="580" t="str">
        <f t="shared" si="1029"/>
        <v/>
      </c>
    </row>
    <row r="1373" spans="1:26" ht="25.5" hidden="1" x14ac:dyDescent="0.2">
      <c r="A1373" s="97">
        <v>92033</v>
      </c>
      <c r="B1373" s="1031">
        <v>92033</v>
      </c>
      <c r="C1373" s="978" t="s">
        <v>883</v>
      </c>
      <c r="D1373" s="595" t="s">
        <v>1596</v>
      </c>
      <c r="E1373" s="596"/>
      <c r="F1373" s="671"/>
      <c r="G1373" s="597"/>
      <c r="H1373" s="682"/>
      <c r="I1373" s="592">
        <v>70.38</v>
      </c>
      <c r="J1373" s="592">
        <f t="shared" si="1020"/>
        <v>70.38</v>
      </c>
      <c r="K1373" s="593">
        <f t="shared" si="1019"/>
        <v>85.66</v>
      </c>
      <c r="L1373" s="594" t="s">
        <v>21</v>
      </c>
      <c r="M1373" s="92"/>
      <c r="N1373" s="92"/>
      <c r="O1373" s="93">
        <f t="shared" si="1021"/>
        <v>0</v>
      </c>
      <c r="P1373" s="93">
        <f t="shared" si="1022"/>
        <v>0</v>
      </c>
      <c r="Q1373" s="94"/>
      <c r="R1373" s="92">
        <f t="shared" si="1023"/>
        <v>0</v>
      </c>
      <c r="S1373" s="92">
        <f t="shared" si="1024"/>
        <v>0</v>
      </c>
      <c r="T1373" s="93">
        <f t="shared" si="1025"/>
        <v>0</v>
      </c>
      <c r="U1373" s="95">
        <f t="shared" si="1026"/>
        <v>0</v>
      </c>
      <c r="V1373" s="94"/>
      <c r="X1373" s="580" t="str">
        <f t="shared" si="1027"/>
        <v/>
      </c>
      <c r="Y1373" s="580" t="str">
        <f t="shared" si="1028"/>
        <v/>
      </c>
      <c r="Z1373" s="580" t="str">
        <f t="shared" si="1029"/>
        <v/>
      </c>
    </row>
    <row r="1374" spans="1:26" ht="25.5" hidden="1" x14ac:dyDescent="0.2">
      <c r="A1374" s="97">
        <v>91978</v>
      </c>
      <c r="B1374" s="1031">
        <v>91978</v>
      </c>
      <c r="C1374" s="978" t="s">
        <v>883</v>
      </c>
      <c r="D1374" s="595" t="s">
        <v>1597</v>
      </c>
      <c r="E1374" s="596"/>
      <c r="F1374" s="671"/>
      <c r="G1374" s="597"/>
      <c r="H1374" s="682"/>
      <c r="I1374" s="592">
        <v>37.19</v>
      </c>
      <c r="J1374" s="592">
        <f t="shared" si="1020"/>
        <v>37.19</v>
      </c>
      <c r="K1374" s="593">
        <f t="shared" si="1019"/>
        <v>45.26</v>
      </c>
      <c r="L1374" s="594" t="s">
        <v>21</v>
      </c>
      <c r="M1374" s="92"/>
      <c r="N1374" s="92"/>
      <c r="O1374" s="93">
        <f t="shared" si="1021"/>
        <v>0</v>
      </c>
      <c r="P1374" s="93">
        <f t="shared" si="1022"/>
        <v>0</v>
      </c>
      <c r="Q1374" s="94"/>
      <c r="R1374" s="92">
        <f t="shared" si="1023"/>
        <v>0</v>
      </c>
      <c r="S1374" s="92">
        <f t="shared" si="1024"/>
        <v>0</v>
      </c>
      <c r="T1374" s="93">
        <f t="shared" si="1025"/>
        <v>0</v>
      </c>
      <c r="U1374" s="95">
        <f t="shared" si="1026"/>
        <v>0</v>
      </c>
      <c r="V1374" s="94"/>
      <c r="X1374" s="580" t="str">
        <f t="shared" si="1027"/>
        <v/>
      </c>
      <c r="Y1374" s="580" t="str">
        <f t="shared" si="1028"/>
        <v/>
      </c>
      <c r="Z1374" s="580" t="str">
        <f t="shared" si="1029"/>
        <v/>
      </c>
    </row>
    <row r="1375" spans="1:26" ht="25.5" hidden="1" x14ac:dyDescent="0.2">
      <c r="A1375" s="97">
        <v>91979</v>
      </c>
      <c r="B1375" s="1031">
        <v>91979</v>
      </c>
      <c r="C1375" s="978" t="s">
        <v>883</v>
      </c>
      <c r="D1375" s="595" t="s">
        <v>1598</v>
      </c>
      <c r="E1375" s="596"/>
      <c r="F1375" s="671"/>
      <c r="G1375" s="597"/>
      <c r="H1375" s="682"/>
      <c r="I1375" s="592">
        <v>44.91</v>
      </c>
      <c r="J1375" s="592">
        <f t="shared" si="1020"/>
        <v>44.91</v>
      </c>
      <c r="K1375" s="593">
        <f t="shared" si="1019"/>
        <v>54.66</v>
      </c>
      <c r="L1375" s="594" t="s">
        <v>21</v>
      </c>
      <c r="M1375" s="92"/>
      <c r="N1375" s="92"/>
      <c r="O1375" s="93">
        <f t="shared" si="1021"/>
        <v>0</v>
      </c>
      <c r="P1375" s="93">
        <f t="shared" si="1022"/>
        <v>0</v>
      </c>
      <c r="Q1375" s="94"/>
      <c r="R1375" s="92">
        <f t="shared" si="1023"/>
        <v>0</v>
      </c>
      <c r="S1375" s="92">
        <f t="shared" si="1024"/>
        <v>0</v>
      </c>
      <c r="T1375" s="93">
        <f t="shared" si="1025"/>
        <v>0</v>
      </c>
      <c r="U1375" s="95">
        <f t="shared" si="1026"/>
        <v>0</v>
      </c>
      <c r="V1375" s="94"/>
      <c r="X1375" s="580" t="str">
        <f t="shared" si="1027"/>
        <v/>
      </c>
      <c r="Y1375" s="580" t="str">
        <f t="shared" si="1028"/>
        <v/>
      </c>
      <c r="Z1375" s="580" t="str">
        <f t="shared" si="1029"/>
        <v/>
      </c>
    </row>
    <row r="1376" spans="1:26" ht="25.5" hidden="1" x14ac:dyDescent="0.2">
      <c r="A1376" s="97">
        <v>91980</v>
      </c>
      <c r="B1376" s="1031">
        <v>91980</v>
      </c>
      <c r="C1376" s="978" t="s">
        <v>883</v>
      </c>
      <c r="D1376" s="595" t="s">
        <v>1599</v>
      </c>
      <c r="E1376" s="596"/>
      <c r="F1376" s="671"/>
      <c r="G1376" s="597"/>
      <c r="H1376" s="682"/>
      <c r="I1376" s="592">
        <v>35.950000000000003</v>
      </c>
      <c r="J1376" s="592">
        <f t="shared" si="1020"/>
        <v>35.950000000000003</v>
      </c>
      <c r="K1376" s="593">
        <f t="shared" si="1019"/>
        <v>43.75</v>
      </c>
      <c r="L1376" s="594" t="s">
        <v>21</v>
      </c>
      <c r="M1376" s="92"/>
      <c r="N1376" s="92"/>
      <c r="O1376" s="93">
        <f t="shared" si="1021"/>
        <v>0</v>
      </c>
      <c r="P1376" s="93">
        <f t="shared" si="1022"/>
        <v>0</v>
      </c>
      <c r="Q1376" s="94"/>
      <c r="R1376" s="92">
        <f t="shared" si="1023"/>
        <v>0</v>
      </c>
      <c r="S1376" s="92">
        <f t="shared" si="1024"/>
        <v>0</v>
      </c>
      <c r="T1376" s="93">
        <f t="shared" si="1025"/>
        <v>0</v>
      </c>
      <c r="U1376" s="95">
        <f t="shared" si="1026"/>
        <v>0</v>
      </c>
      <c r="V1376" s="94"/>
      <c r="X1376" s="580" t="str">
        <f t="shared" si="1027"/>
        <v/>
      </c>
      <c r="Y1376" s="580" t="str">
        <f t="shared" si="1028"/>
        <v/>
      </c>
      <c r="Z1376" s="580" t="str">
        <f t="shared" si="1029"/>
        <v/>
      </c>
    </row>
    <row r="1377" spans="1:26" ht="25.5" hidden="1" x14ac:dyDescent="0.2">
      <c r="A1377" s="97">
        <v>91981</v>
      </c>
      <c r="B1377" s="1031">
        <v>91981</v>
      </c>
      <c r="C1377" s="978" t="s">
        <v>883</v>
      </c>
      <c r="D1377" s="595" t="s">
        <v>1600</v>
      </c>
      <c r="E1377" s="596"/>
      <c r="F1377" s="671"/>
      <c r="G1377" s="597"/>
      <c r="H1377" s="682"/>
      <c r="I1377" s="592">
        <v>43.67</v>
      </c>
      <c r="J1377" s="592">
        <f t="shared" si="1020"/>
        <v>43.67</v>
      </c>
      <c r="K1377" s="593">
        <f t="shared" si="1019"/>
        <v>53.15</v>
      </c>
      <c r="L1377" s="594" t="s">
        <v>21</v>
      </c>
      <c r="M1377" s="92"/>
      <c r="N1377" s="92"/>
      <c r="O1377" s="93">
        <f t="shared" si="1021"/>
        <v>0</v>
      </c>
      <c r="P1377" s="93">
        <f t="shared" si="1022"/>
        <v>0</v>
      </c>
      <c r="Q1377" s="94"/>
      <c r="R1377" s="92">
        <f t="shared" si="1023"/>
        <v>0</v>
      </c>
      <c r="S1377" s="92">
        <f t="shared" si="1024"/>
        <v>0</v>
      </c>
      <c r="T1377" s="93">
        <f t="shared" si="1025"/>
        <v>0</v>
      </c>
      <c r="U1377" s="95">
        <f t="shared" si="1026"/>
        <v>0</v>
      </c>
      <c r="V1377" s="94"/>
      <c r="X1377" s="580" t="str">
        <f t="shared" si="1027"/>
        <v/>
      </c>
      <c r="Y1377" s="580" t="str">
        <f t="shared" si="1028"/>
        <v/>
      </c>
      <c r="Z1377" s="580" t="str">
        <f t="shared" si="1029"/>
        <v/>
      </c>
    </row>
    <row r="1378" spans="1:26" ht="25.5" hidden="1" x14ac:dyDescent="0.2">
      <c r="A1378" s="97">
        <v>91978</v>
      </c>
      <c r="B1378" s="1031">
        <v>91978</v>
      </c>
      <c r="C1378" s="978" t="s">
        <v>883</v>
      </c>
      <c r="D1378" s="595" t="s">
        <v>1597</v>
      </c>
      <c r="E1378" s="596"/>
      <c r="F1378" s="671"/>
      <c r="G1378" s="597"/>
      <c r="H1378" s="682"/>
      <c r="I1378" s="592">
        <v>37.19</v>
      </c>
      <c r="J1378" s="592">
        <f t="shared" si="1020"/>
        <v>37.19</v>
      </c>
      <c r="K1378" s="593">
        <f t="shared" si="1019"/>
        <v>45.26</v>
      </c>
      <c r="L1378" s="594" t="s">
        <v>21</v>
      </c>
      <c r="M1378" s="92"/>
      <c r="N1378" s="92"/>
      <c r="O1378" s="93">
        <f t="shared" si="1021"/>
        <v>0</v>
      </c>
      <c r="P1378" s="93">
        <f t="shared" si="1022"/>
        <v>0</v>
      </c>
      <c r="Q1378" s="94"/>
      <c r="R1378" s="92">
        <f t="shared" si="1023"/>
        <v>0</v>
      </c>
      <c r="S1378" s="92">
        <f t="shared" si="1024"/>
        <v>0</v>
      </c>
      <c r="T1378" s="93">
        <f t="shared" si="1025"/>
        <v>0</v>
      </c>
      <c r="U1378" s="95">
        <f t="shared" si="1026"/>
        <v>0</v>
      </c>
      <c r="V1378" s="94"/>
      <c r="X1378" s="580" t="str">
        <f t="shared" si="1027"/>
        <v/>
      </c>
      <c r="Y1378" s="580" t="str">
        <f t="shared" si="1028"/>
        <v/>
      </c>
      <c r="Z1378" s="580" t="str">
        <f t="shared" si="1029"/>
        <v/>
      </c>
    </row>
    <row r="1379" spans="1:26" ht="25.5" hidden="1" x14ac:dyDescent="0.2">
      <c r="A1379" s="97">
        <v>91979</v>
      </c>
      <c r="B1379" s="1031">
        <v>91979</v>
      </c>
      <c r="C1379" s="978" t="s">
        <v>883</v>
      </c>
      <c r="D1379" s="595" t="s">
        <v>1598</v>
      </c>
      <c r="E1379" s="596"/>
      <c r="F1379" s="671"/>
      <c r="G1379" s="597"/>
      <c r="H1379" s="682"/>
      <c r="I1379" s="592">
        <v>44.91</v>
      </c>
      <c r="J1379" s="592">
        <f t="shared" si="1020"/>
        <v>44.91</v>
      </c>
      <c r="K1379" s="593">
        <f t="shared" si="1019"/>
        <v>54.66</v>
      </c>
      <c r="L1379" s="594" t="s">
        <v>21</v>
      </c>
      <c r="M1379" s="92"/>
      <c r="N1379" s="92"/>
      <c r="O1379" s="93">
        <f t="shared" si="1021"/>
        <v>0</v>
      </c>
      <c r="P1379" s="93">
        <f t="shared" si="1022"/>
        <v>0</v>
      </c>
      <c r="Q1379" s="94"/>
      <c r="R1379" s="92">
        <f t="shared" si="1023"/>
        <v>0</v>
      </c>
      <c r="S1379" s="92">
        <f t="shared" si="1024"/>
        <v>0</v>
      </c>
      <c r="T1379" s="93">
        <f t="shared" si="1025"/>
        <v>0</v>
      </c>
      <c r="U1379" s="95">
        <f t="shared" si="1026"/>
        <v>0</v>
      </c>
      <c r="V1379" s="94"/>
      <c r="X1379" s="580" t="str">
        <f t="shared" si="1027"/>
        <v/>
      </c>
      <c r="Y1379" s="580" t="str">
        <f t="shared" si="1028"/>
        <v/>
      </c>
      <c r="Z1379" s="580" t="str">
        <f t="shared" si="1029"/>
        <v/>
      </c>
    </row>
    <row r="1380" spans="1:26" ht="25.5" hidden="1" x14ac:dyDescent="0.2">
      <c r="A1380" s="97">
        <v>91980</v>
      </c>
      <c r="B1380" s="1031">
        <v>91980</v>
      </c>
      <c r="C1380" s="978" t="s">
        <v>883</v>
      </c>
      <c r="D1380" s="595" t="s">
        <v>1599</v>
      </c>
      <c r="E1380" s="596"/>
      <c r="F1380" s="671"/>
      <c r="G1380" s="597"/>
      <c r="H1380" s="682"/>
      <c r="I1380" s="592">
        <v>35.950000000000003</v>
      </c>
      <c r="J1380" s="592">
        <f t="shared" si="1020"/>
        <v>35.950000000000003</v>
      </c>
      <c r="K1380" s="593">
        <f t="shared" si="1019"/>
        <v>43.75</v>
      </c>
      <c r="L1380" s="594" t="s">
        <v>21</v>
      </c>
      <c r="M1380" s="92"/>
      <c r="N1380" s="92"/>
      <c r="O1380" s="93">
        <f t="shared" si="1021"/>
        <v>0</v>
      </c>
      <c r="P1380" s="93">
        <f t="shared" si="1022"/>
        <v>0</v>
      </c>
      <c r="Q1380" s="94"/>
      <c r="R1380" s="92">
        <f t="shared" si="1023"/>
        <v>0</v>
      </c>
      <c r="S1380" s="92">
        <f t="shared" si="1024"/>
        <v>0</v>
      </c>
      <c r="T1380" s="93">
        <f t="shared" si="1025"/>
        <v>0</v>
      </c>
      <c r="U1380" s="95">
        <f t="shared" si="1026"/>
        <v>0</v>
      </c>
      <c r="V1380" s="94"/>
      <c r="X1380" s="580" t="str">
        <f t="shared" si="1027"/>
        <v/>
      </c>
      <c r="Y1380" s="580" t="str">
        <f t="shared" si="1028"/>
        <v/>
      </c>
      <c r="Z1380" s="580" t="str">
        <f t="shared" si="1029"/>
        <v/>
      </c>
    </row>
    <row r="1381" spans="1:26" ht="25.5" hidden="1" x14ac:dyDescent="0.2">
      <c r="A1381" s="97">
        <v>91981</v>
      </c>
      <c r="B1381" s="1031">
        <v>91981</v>
      </c>
      <c r="C1381" s="978" t="s">
        <v>883</v>
      </c>
      <c r="D1381" s="595" t="s">
        <v>1600</v>
      </c>
      <c r="E1381" s="596"/>
      <c r="F1381" s="671"/>
      <c r="G1381" s="597"/>
      <c r="H1381" s="682"/>
      <c r="I1381" s="592">
        <v>43.67</v>
      </c>
      <c r="J1381" s="592">
        <f t="shared" si="1020"/>
        <v>43.67</v>
      </c>
      <c r="K1381" s="593">
        <f t="shared" si="1019"/>
        <v>53.15</v>
      </c>
      <c r="L1381" s="594" t="s">
        <v>21</v>
      </c>
      <c r="M1381" s="92"/>
      <c r="N1381" s="92"/>
      <c r="O1381" s="93">
        <f t="shared" si="1021"/>
        <v>0</v>
      </c>
      <c r="P1381" s="93">
        <f t="shared" si="1022"/>
        <v>0</v>
      </c>
      <c r="Q1381" s="94"/>
      <c r="R1381" s="92">
        <f t="shared" si="1023"/>
        <v>0</v>
      </c>
      <c r="S1381" s="92">
        <f t="shared" si="1024"/>
        <v>0</v>
      </c>
      <c r="T1381" s="93">
        <f t="shared" si="1025"/>
        <v>0</v>
      </c>
      <c r="U1381" s="95">
        <f t="shared" si="1026"/>
        <v>0</v>
      </c>
      <c r="V1381" s="94"/>
      <c r="X1381" s="580" t="str">
        <f t="shared" si="1027"/>
        <v/>
      </c>
      <c r="Y1381" s="580" t="str">
        <f t="shared" si="1028"/>
        <v/>
      </c>
      <c r="Z1381" s="580" t="str">
        <f t="shared" si="1029"/>
        <v/>
      </c>
    </row>
    <row r="1382" spans="1:26" ht="25.5" hidden="1" x14ac:dyDescent="0.2">
      <c r="A1382" s="97">
        <v>91982</v>
      </c>
      <c r="B1382" s="1031">
        <v>91982</v>
      </c>
      <c r="C1382" s="978" t="s">
        <v>883</v>
      </c>
      <c r="D1382" s="595" t="s">
        <v>1601</v>
      </c>
      <c r="E1382" s="596"/>
      <c r="F1382" s="671"/>
      <c r="G1382" s="597"/>
      <c r="H1382" s="682"/>
      <c r="I1382" s="592">
        <v>89.18</v>
      </c>
      <c r="J1382" s="592">
        <f t="shared" si="1020"/>
        <v>89.18</v>
      </c>
      <c r="K1382" s="593">
        <f t="shared" si="1019"/>
        <v>108.54</v>
      </c>
      <c r="L1382" s="594" t="s">
        <v>21</v>
      </c>
      <c r="M1382" s="92"/>
      <c r="N1382" s="92"/>
      <c r="O1382" s="93">
        <f t="shared" si="1021"/>
        <v>0</v>
      </c>
      <c r="P1382" s="93">
        <f t="shared" si="1022"/>
        <v>0</v>
      </c>
      <c r="Q1382" s="94"/>
      <c r="R1382" s="92">
        <f t="shared" si="1023"/>
        <v>0</v>
      </c>
      <c r="S1382" s="92">
        <f t="shared" si="1024"/>
        <v>0</v>
      </c>
      <c r="T1382" s="93">
        <f t="shared" si="1025"/>
        <v>0</v>
      </c>
      <c r="U1382" s="95">
        <f t="shared" si="1026"/>
        <v>0</v>
      </c>
      <c r="V1382" s="94"/>
      <c r="X1382" s="580" t="str">
        <f t="shared" si="1027"/>
        <v/>
      </c>
      <c r="Y1382" s="580" t="str">
        <f t="shared" si="1028"/>
        <v/>
      </c>
      <c r="Z1382" s="580" t="str">
        <f t="shared" si="1029"/>
        <v/>
      </c>
    </row>
    <row r="1383" spans="1:26" ht="25.5" hidden="1" x14ac:dyDescent="0.2">
      <c r="A1383" s="97">
        <v>91983</v>
      </c>
      <c r="B1383" s="1031">
        <v>91983</v>
      </c>
      <c r="C1383" s="978" t="s">
        <v>883</v>
      </c>
      <c r="D1383" s="595" t="s">
        <v>1602</v>
      </c>
      <c r="E1383" s="596"/>
      <c r="F1383" s="671"/>
      <c r="G1383" s="597"/>
      <c r="H1383" s="682"/>
      <c r="I1383" s="592">
        <v>96.9</v>
      </c>
      <c r="J1383" s="592">
        <f t="shared" si="1020"/>
        <v>96.9</v>
      </c>
      <c r="K1383" s="593">
        <f t="shared" si="1019"/>
        <v>117.94</v>
      </c>
      <c r="L1383" s="594" t="s">
        <v>21</v>
      </c>
      <c r="M1383" s="92"/>
      <c r="N1383" s="92"/>
      <c r="O1383" s="93">
        <f t="shared" si="1021"/>
        <v>0</v>
      </c>
      <c r="P1383" s="93">
        <f t="shared" si="1022"/>
        <v>0</v>
      </c>
      <c r="Q1383" s="94"/>
      <c r="R1383" s="92">
        <f t="shared" si="1023"/>
        <v>0</v>
      </c>
      <c r="S1383" s="92">
        <f t="shared" si="1024"/>
        <v>0</v>
      </c>
      <c r="T1383" s="93">
        <f t="shared" si="1025"/>
        <v>0</v>
      </c>
      <c r="U1383" s="95">
        <f t="shared" si="1026"/>
        <v>0</v>
      </c>
      <c r="V1383" s="94"/>
      <c r="X1383" s="580" t="str">
        <f t="shared" si="1027"/>
        <v/>
      </c>
      <c r="Y1383" s="580" t="str">
        <f t="shared" si="1028"/>
        <v/>
      </c>
      <c r="Z1383" s="580" t="str">
        <f t="shared" si="1029"/>
        <v/>
      </c>
    </row>
    <row r="1384" spans="1:26" ht="25.5" hidden="1" x14ac:dyDescent="0.2">
      <c r="A1384" s="97">
        <v>91984</v>
      </c>
      <c r="B1384" s="1031">
        <v>91984</v>
      </c>
      <c r="C1384" s="978" t="s">
        <v>883</v>
      </c>
      <c r="D1384" s="595" t="s">
        <v>1603</v>
      </c>
      <c r="E1384" s="596"/>
      <c r="F1384" s="671"/>
      <c r="G1384" s="597"/>
      <c r="H1384" s="682"/>
      <c r="I1384" s="592">
        <v>16.059999999999999</v>
      </c>
      <c r="J1384" s="592">
        <f t="shared" si="1020"/>
        <v>16.059999999999999</v>
      </c>
      <c r="K1384" s="593">
        <f t="shared" si="1019"/>
        <v>19.55</v>
      </c>
      <c r="L1384" s="594" t="s">
        <v>21</v>
      </c>
      <c r="M1384" s="92"/>
      <c r="N1384" s="92"/>
      <c r="O1384" s="93">
        <f t="shared" si="1021"/>
        <v>0</v>
      </c>
      <c r="P1384" s="93">
        <f t="shared" si="1022"/>
        <v>0</v>
      </c>
      <c r="Q1384" s="94"/>
      <c r="R1384" s="92">
        <f t="shared" si="1023"/>
        <v>0</v>
      </c>
      <c r="S1384" s="92">
        <f t="shared" si="1024"/>
        <v>0</v>
      </c>
      <c r="T1384" s="93">
        <f t="shared" si="1025"/>
        <v>0</v>
      </c>
      <c r="U1384" s="95">
        <f t="shared" si="1026"/>
        <v>0</v>
      </c>
      <c r="V1384" s="94"/>
      <c r="X1384" s="580" t="str">
        <f t="shared" si="1027"/>
        <v/>
      </c>
      <c r="Y1384" s="580" t="str">
        <f t="shared" si="1028"/>
        <v/>
      </c>
      <c r="Z1384" s="580" t="str">
        <f t="shared" si="1029"/>
        <v/>
      </c>
    </row>
    <row r="1385" spans="1:26" ht="25.5" hidden="1" x14ac:dyDescent="0.2">
      <c r="A1385" s="97">
        <v>91985</v>
      </c>
      <c r="B1385" s="1031">
        <v>91985</v>
      </c>
      <c r="C1385" s="978" t="s">
        <v>883</v>
      </c>
      <c r="D1385" s="595" t="s">
        <v>1604</v>
      </c>
      <c r="E1385" s="596"/>
      <c r="F1385" s="671"/>
      <c r="G1385" s="597"/>
      <c r="H1385" s="682"/>
      <c r="I1385" s="592">
        <v>23.78</v>
      </c>
      <c r="J1385" s="592">
        <f t="shared" si="1020"/>
        <v>23.78</v>
      </c>
      <c r="K1385" s="593">
        <f t="shared" si="1019"/>
        <v>28.94</v>
      </c>
      <c r="L1385" s="594" t="s">
        <v>21</v>
      </c>
      <c r="M1385" s="92"/>
      <c r="N1385" s="92"/>
      <c r="O1385" s="93">
        <f t="shared" si="1021"/>
        <v>0</v>
      </c>
      <c r="P1385" s="93">
        <f t="shared" si="1022"/>
        <v>0</v>
      </c>
      <c r="Q1385" s="94"/>
      <c r="R1385" s="92">
        <f t="shared" si="1023"/>
        <v>0</v>
      </c>
      <c r="S1385" s="92">
        <f t="shared" si="1024"/>
        <v>0</v>
      </c>
      <c r="T1385" s="93">
        <f t="shared" si="1025"/>
        <v>0</v>
      </c>
      <c r="U1385" s="95">
        <f t="shared" si="1026"/>
        <v>0</v>
      </c>
      <c r="V1385" s="94"/>
      <c r="X1385" s="580" t="str">
        <f t="shared" si="1027"/>
        <v/>
      </c>
      <c r="Y1385" s="580" t="str">
        <f t="shared" si="1028"/>
        <v/>
      </c>
      <c r="Z1385" s="580" t="str">
        <f t="shared" si="1029"/>
        <v/>
      </c>
    </row>
    <row r="1386" spans="1:26" ht="25.5" hidden="1" x14ac:dyDescent="0.2">
      <c r="A1386" s="97">
        <v>91986</v>
      </c>
      <c r="B1386" s="1031">
        <v>91986</v>
      </c>
      <c r="C1386" s="978" t="s">
        <v>883</v>
      </c>
      <c r="D1386" s="595" t="s">
        <v>1605</v>
      </c>
      <c r="E1386" s="596"/>
      <c r="F1386" s="671"/>
      <c r="G1386" s="597"/>
      <c r="H1386" s="682"/>
      <c r="I1386" s="592">
        <v>34.83</v>
      </c>
      <c r="J1386" s="592">
        <f t="shared" si="1020"/>
        <v>34.83</v>
      </c>
      <c r="K1386" s="593">
        <f t="shared" si="1019"/>
        <v>42.39</v>
      </c>
      <c r="L1386" s="594" t="s">
        <v>21</v>
      </c>
      <c r="M1386" s="92"/>
      <c r="N1386" s="92"/>
      <c r="O1386" s="93">
        <f t="shared" si="1021"/>
        <v>0</v>
      </c>
      <c r="P1386" s="93">
        <f t="shared" si="1022"/>
        <v>0</v>
      </c>
      <c r="Q1386" s="94"/>
      <c r="R1386" s="92">
        <f t="shared" si="1023"/>
        <v>0</v>
      </c>
      <c r="S1386" s="92">
        <f t="shared" si="1024"/>
        <v>0</v>
      </c>
      <c r="T1386" s="93">
        <f t="shared" si="1025"/>
        <v>0</v>
      </c>
      <c r="U1386" s="95">
        <f t="shared" si="1026"/>
        <v>0</v>
      </c>
      <c r="V1386" s="94"/>
      <c r="X1386" s="580" t="str">
        <f t="shared" si="1027"/>
        <v/>
      </c>
      <c r="Y1386" s="580" t="str">
        <f t="shared" si="1028"/>
        <v/>
      </c>
      <c r="Z1386" s="580" t="str">
        <f t="shared" si="1029"/>
        <v/>
      </c>
    </row>
    <row r="1387" spans="1:26" ht="25.5" hidden="1" x14ac:dyDescent="0.2">
      <c r="A1387" s="97">
        <v>91987</v>
      </c>
      <c r="B1387" s="1031">
        <v>91987</v>
      </c>
      <c r="C1387" s="978" t="s">
        <v>883</v>
      </c>
      <c r="D1387" s="595" t="s">
        <v>1606</v>
      </c>
      <c r="E1387" s="596"/>
      <c r="F1387" s="671"/>
      <c r="G1387" s="597"/>
      <c r="H1387" s="682"/>
      <c r="I1387" s="592">
        <v>42.55</v>
      </c>
      <c r="J1387" s="592">
        <f t="shared" si="1020"/>
        <v>42.55</v>
      </c>
      <c r="K1387" s="593">
        <f t="shared" si="1019"/>
        <v>51.79</v>
      </c>
      <c r="L1387" s="594" t="s">
        <v>21</v>
      </c>
      <c r="M1387" s="92"/>
      <c r="N1387" s="92"/>
      <c r="O1387" s="93">
        <f t="shared" si="1021"/>
        <v>0</v>
      </c>
      <c r="P1387" s="93">
        <f t="shared" si="1022"/>
        <v>0</v>
      </c>
      <c r="Q1387" s="94"/>
      <c r="R1387" s="92">
        <f t="shared" si="1023"/>
        <v>0</v>
      </c>
      <c r="S1387" s="92">
        <f t="shared" si="1024"/>
        <v>0</v>
      </c>
      <c r="T1387" s="93">
        <f t="shared" si="1025"/>
        <v>0</v>
      </c>
      <c r="U1387" s="95">
        <f t="shared" si="1026"/>
        <v>0</v>
      </c>
      <c r="V1387" s="94"/>
      <c r="X1387" s="580" t="str">
        <f t="shared" si="1027"/>
        <v/>
      </c>
      <c r="Y1387" s="580" t="str">
        <f t="shared" si="1028"/>
        <v/>
      </c>
      <c r="Z1387" s="580" t="str">
        <f t="shared" si="1029"/>
        <v/>
      </c>
    </row>
    <row r="1388" spans="1:26" ht="25.5" hidden="1" x14ac:dyDescent="0.2">
      <c r="A1388" s="97">
        <v>91988</v>
      </c>
      <c r="B1388" s="1031">
        <v>91988</v>
      </c>
      <c r="C1388" s="978" t="s">
        <v>883</v>
      </c>
      <c r="D1388" s="595" t="s">
        <v>1607</v>
      </c>
      <c r="E1388" s="596"/>
      <c r="F1388" s="671"/>
      <c r="G1388" s="597"/>
      <c r="H1388" s="682"/>
      <c r="I1388" s="592">
        <v>20.239999999999998</v>
      </c>
      <c r="J1388" s="592">
        <f t="shared" si="1020"/>
        <v>20.239999999999998</v>
      </c>
      <c r="K1388" s="593">
        <f t="shared" si="1019"/>
        <v>24.63</v>
      </c>
      <c r="L1388" s="594" t="s">
        <v>21</v>
      </c>
      <c r="M1388" s="92"/>
      <c r="N1388" s="92"/>
      <c r="O1388" s="93">
        <f t="shared" si="1021"/>
        <v>0</v>
      </c>
      <c r="P1388" s="93">
        <f t="shared" si="1022"/>
        <v>0</v>
      </c>
      <c r="Q1388" s="94"/>
      <c r="R1388" s="92">
        <f t="shared" si="1023"/>
        <v>0</v>
      </c>
      <c r="S1388" s="92">
        <f t="shared" si="1024"/>
        <v>0</v>
      </c>
      <c r="T1388" s="93">
        <f t="shared" si="1025"/>
        <v>0</v>
      </c>
      <c r="U1388" s="95">
        <f t="shared" si="1026"/>
        <v>0</v>
      </c>
      <c r="V1388" s="94"/>
      <c r="X1388" s="580" t="str">
        <f t="shared" si="1027"/>
        <v/>
      </c>
      <c r="Y1388" s="580" t="str">
        <f t="shared" si="1028"/>
        <v/>
      </c>
      <c r="Z1388" s="580" t="str">
        <f t="shared" si="1029"/>
        <v/>
      </c>
    </row>
    <row r="1389" spans="1:26" ht="25.5" hidden="1" x14ac:dyDescent="0.2">
      <c r="A1389" s="97">
        <v>91989</v>
      </c>
      <c r="B1389" s="1031">
        <v>91989</v>
      </c>
      <c r="C1389" s="978" t="s">
        <v>883</v>
      </c>
      <c r="D1389" s="595" t="s">
        <v>1608</v>
      </c>
      <c r="E1389" s="596"/>
      <c r="F1389" s="671"/>
      <c r="G1389" s="597"/>
      <c r="H1389" s="682"/>
      <c r="I1389" s="592">
        <v>27.96</v>
      </c>
      <c r="J1389" s="592">
        <f t="shared" si="1020"/>
        <v>27.96</v>
      </c>
      <c r="K1389" s="593">
        <f t="shared" si="1019"/>
        <v>34.03</v>
      </c>
      <c r="L1389" s="594" t="s">
        <v>21</v>
      </c>
      <c r="M1389" s="92"/>
      <c r="N1389" s="92"/>
      <c r="O1389" s="93">
        <f t="shared" si="1021"/>
        <v>0</v>
      </c>
      <c r="P1389" s="93">
        <f t="shared" si="1022"/>
        <v>0</v>
      </c>
      <c r="Q1389" s="94"/>
      <c r="R1389" s="92">
        <f t="shared" si="1023"/>
        <v>0</v>
      </c>
      <c r="S1389" s="92">
        <f t="shared" si="1024"/>
        <v>0</v>
      </c>
      <c r="T1389" s="93">
        <f t="shared" si="1025"/>
        <v>0</v>
      </c>
      <c r="U1389" s="95">
        <f t="shared" si="1026"/>
        <v>0</v>
      </c>
      <c r="V1389" s="94"/>
      <c r="X1389" s="580" t="str">
        <f t="shared" si="1027"/>
        <v/>
      </c>
      <c r="Y1389" s="580" t="str">
        <f t="shared" si="1028"/>
        <v/>
      </c>
      <c r="Z1389" s="580" t="str">
        <f t="shared" si="1029"/>
        <v/>
      </c>
    </row>
    <row r="1390" spans="1:26" ht="25.5" hidden="1" x14ac:dyDescent="0.2">
      <c r="A1390" s="97">
        <v>91990</v>
      </c>
      <c r="B1390" s="1031">
        <v>91990</v>
      </c>
      <c r="C1390" s="978" t="s">
        <v>883</v>
      </c>
      <c r="D1390" s="595" t="s">
        <v>1609</v>
      </c>
      <c r="E1390" s="596"/>
      <c r="F1390" s="671"/>
      <c r="G1390" s="597"/>
      <c r="H1390" s="682"/>
      <c r="I1390" s="592">
        <v>30.39</v>
      </c>
      <c r="J1390" s="592">
        <f t="shared" si="1020"/>
        <v>30.39</v>
      </c>
      <c r="K1390" s="593">
        <f t="shared" si="1019"/>
        <v>36.99</v>
      </c>
      <c r="L1390" s="594" t="s">
        <v>21</v>
      </c>
      <c r="M1390" s="92"/>
      <c r="N1390" s="92"/>
      <c r="O1390" s="93">
        <f t="shared" si="1021"/>
        <v>0</v>
      </c>
      <c r="P1390" s="93">
        <f t="shared" si="1022"/>
        <v>0</v>
      </c>
      <c r="Q1390" s="94"/>
      <c r="R1390" s="92">
        <f t="shared" si="1023"/>
        <v>0</v>
      </c>
      <c r="S1390" s="92">
        <f t="shared" si="1024"/>
        <v>0</v>
      </c>
      <c r="T1390" s="93">
        <f t="shared" si="1025"/>
        <v>0</v>
      </c>
      <c r="U1390" s="95">
        <f t="shared" si="1026"/>
        <v>0</v>
      </c>
      <c r="V1390" s="94"/>
      <c r="X1390" s="580" t="str">
        <f t="shared" si="1027"/>
        <v/>
      </c>
      <c r="Y1390" s="580" t="str">
        <f t="shared" si="1028"/>
        <v/>
      </c>
      <c r="Z1390" s="580" t="str">
        <f t="shared" si="1029"/>
        <v/>
      </c>
    </row>
    <row r="1391" spans="1:26" ht="25.5" hidden="1" x14ac:dyDescent="0.2">
      <c r="A1391" s="97">
        <v>91991</v>
      </c>
      <c r="B1391" s="1031">
        <v>91991</v>
      </c>
      <c r="C1391" s="978" t="s">
        <v>883</v>
      </c>
      <c r="D1391" s="595" t="s">
        <v>1610</v>
      </c>
      <c r="E1391" s="596"/>
      <c r="F1391" s="671"/>
      <c r="G1391" s="597"/>
      <c r="H1391" s="682"/>
      <c r="I1391" s="592">
        <v>32.65</v>
      </c>
      <c r="J1391" s="592">
        <f t="shared" si="1020"/>
        <v>32.65</v>
      </c>
      <c r="K1391" s="593">
        <f t="shared" si="1019"/>
        <v>39.74</v>
      </c>
      <c r="L1391" s="594" t="s">
        <v>21</v>
      </c>
      <c r="M1391" s="92"/>
      <c r="N1391" s="92"/>
      <c r="O1391" s="93">
        <f t="shared" si="1021"/>
        <v>0</v>
      </c>
      <c r="P1391" s="93">
        <f t="shared" si="1022"/>
        <v>0</v>
      </c>
      <c r="Q1391" s="94"/>
      <c r="R1391" s="92">
        <f t="shared" si="1023"/>
        <v>0</v>
      </c>
      <c r="S1391" s="92">
        <f t="shared" si="1024"/>
        <v>0</v>
      </c>
      <c r="T1391" s="93">
        <f t="shared" si="1025"/>
        <v>0</v>
      </c>
      <c r="U1391" s="95">
        <f t="shared" si="1026"/>
        <v>0</v>
      </c>
      <c r="V1391" s="94"/>
      <c r="X1391" s="580" t="str">
        <f t="shared" si="1027"/>
        <v/>
      </c>
      <c r="Y1391" s="580" t="str">
        <f t="shared" si="1028"/>
        <v/>
      </c>
      <c r="Z1391" s="580" t="str">
        <f t="shared" si="1029"/>
        <v/>
      </c>
    </row>
    <row r="1392" spans="1:26" ht="25.5" hidden="1" x14ac:dyDescent="0.2">
      <c r="A1392" s="97">
        <v>91992</v>
      </c>
      <c r="B1392" s="1031">
        <v>91992</v>
      </c>
      <c r="C1392" s="978" t="s">
        <v>883</v>
      </c>
      <c r="D1392" s="595" t="s">
        <v>1611</v>
      </c>
      <c r="E1392" s="596"/>
      <c r="F1392" s="671"/>
      <c r="G1392" s="597"/>
      <c r="H1392" s="682"/>
      <c r="I1392" s="592">
        <v>38.11</v>
      </c>
      <c r="J1392" s="592">
        <f t="shared" si="1020"/>
        <v>38.11</v>
      </c>
      <c r="K1392" s="593">
        <f t="shared" si="1019"/>
        <v>46.38</v>
      </c>
      <c r="L1392" s="594" t="s">
        <v>21</v>
      </c>
      <c r="M1392" s="92"/>
      <c r="N1392" s="92"/>
      <c r="O1392" s="93">
        <f t="shared" si="1021"/>
        <v>0</v>
      </c>
      <c r="P1392" s="93">
        <f t="shared" si="1022"/>
        <v>0</v>
      </c>
      <c r="Q1392" s="94"/>
      <c r="R1392" s="92">
        <f t="shared" si="1023"/>
        <v>0</v>
      </c>
      <c r="S1392" s="92">
        <f t="shared" si="1024"/>
        <v>0</v>
      </c>
      <c r="T1392" s="93">
        <f t="shared" si="1025"/>
        <v>0</v>
      </c>
      <c r="U1392" s="95">
        <f t="shared" si="1026"/>
        <v>0</v>
      </c>
      <c r="V1392" s="94"/>
      <c r="X1392" s="580" t="str">
        <f t="shared" si="1027"/>
        <v/>
      </c>
      <c r="Y1392" s="580" t="str">
        <f t="shared" si="1028"/>
        <v/>
      </c>
      <c r="Z1392" s="580" t="str">
        <f t="shared" si="1029"/>
        <v/>
      </c>
    </row>
    <row r="1393" spans="1:26" ht="25.5" hidden="1" x14ac:dyDescent="0.2">
      <c r="A1393" s="97">
        <v>91993</v>
      </c>
      <c r="B1393" s="1031">
        <v>91993</v>
      </c>
      <c r="C1393" s="978" t="s">
        <v>883</v>
      </c>
      <c r="D1393" s="595" t="s">
        <v>1612</v>
      </c>
      <c r="E1393" s="596"/>
      <c r="F1393" s="671"/>
      <c r="G1393" s="597"/>
      <c r="H1393" s="682"/>
      <c r="I1393" s="592">
        <v>40.369999999999997</v>
      </c>
      <c r="J1393" s="592">
        <f t="shared" si="1020"/>
        <v>40.369999999999997</v>
      </c>
      <c r="K1393" s="593">
        <f t="shared" si="1019"/>
        <v>49.13</v>
      </c>
      <c r="L1393" s="594" t="s">
        <v>21</v>
      </c>
      <c r="M1393" s="92"/>
      <c r="N1393" s="92"/>
      <c r="O1393" s="93">
        <f t="shared" si="1021"/>
        <v>0</v>
      </c>
      <c r="P1393" s="93">
        <f t="shared" si="1022"/>
        <v>0</v>
      </c>
      <c r="Q1393" s="94"/>
      <c r="R1393" s="92">
        <f t="shared" si="1023"/>
        <v>0</v>
      </c>
      <c r="S1393" s="92">
        <f t="shared" si="1024"/>
        <v>0</v>
      </c>
      <c r="T1393" s="93">
        <f t="shared" si="1025"/>
        <v>0</v>
      </c>
      <c r="U1393" s="95">
        <f t="shared" si="1026"/>
        <v>0</v>
      </c>
      <c r="V1393" s="94"/>
      <c r="X1393" s="580" t="str">
        <f t="shared" si="1027"/>
        <v/>
      </c>
      <c r="Y1393" s="580" t="str">
        <f t="shared" si="1028"/>
        <v/>
      </c>
      <c r="Z1393" s="580" t="str">
        <f t="shared" si="1029"/>
        <v/>
      </c>
    </row>
    <row r="1394" spans="1:26" ht="25.5" hidden="1" x14ac:dyDescent="0.2">
      <c r="A1394" s="97">
        <v>91994</v>
      </c>
      <c r="B1394" s="1031">
        <v>91994</v>
      </c>
      <c r="C1394" s="978" t="s">
        <v>883</v>
      </c>
      <c r="D1394" s="595" t="s">
        <v>1613</v>
      </c>
      <c r="E1394" s="596"/>
      <c r="F1394" s="671"/>
      <c r="G1394" s="597"/>
      <c r="H1394" s="682"/>
      <c r="I1394" s="592">
        <v>21.93</v>
      </c>
      <c r="J1394" s="592">
        <f t="shared" si="1020"/>
        <v>21.93</v>
      </c>
      <c r="K1394" s="593">
        <f t="shared" si="1019"/>
        <v>26.69</v>
      </c>
      <c r="L1394" s="594" t="s">
        <v>21</v>
      </c>
      <c r="M1394" s="92"/>
      <c r="N1394" s="92"/>
      <c r="O1394" s="93">
        <f t="shared" si="1021"/>
        <v>0</v>
      </c>
      <c r="P1394" s="93">
        <f t="shared" si="1022"/>
        <v>0</v>
      </c>
      <c r="Q1394" s="94"/>
      <c r="R1394" s="92">
        <f t="shared" si="1023"/>
        <v>0</v>
      </c>
      <c r="S1394" s="92">
        <f t="shared" si="1024"/>
        <v>0</v>
      </c>
      <c r="T1394" s="93">
        <f t="shared" si="1025"/>
        <v>0</v>
      </c>
      <c r="U1394" s="95">
        <f t="shared" si="1026"/>
        <v>0</v>
      </c>
      <c r="V1394" s="94"/>
      <c r="X1394" s="580" t="str">
        <f t="shared" si="1027"/>
        <v/>
      </c>
      <c r="Y1394" s="580" t="str">
        <f t="shared" si="1028"/>
        <v/>
      </c>
      <c r="Z1394" s="580" t="str">
        <f t="shared" si="1029"/>
        <v/>
      </c>
    </row>
    <row r="1395" spans="1:26" ht="25.5" hidden="1" x14ac:dyDescent="0.2">
      <c r="A1395" s="97">
        <v>91995</v>
      </c>
      <c r="B1395" s="1031">
        <v>91995</v>
      </c>
      <c r="C1395" s="978" t="s">
        <v>883</v>
      </c>
      <c r="D1395" s="595" t="s">
        <v>1614</v>
      </c>
      <c r="E1395" s="596"/>
      <c r="F1395" s="671"/>
      <c r="G1395" s="597"/>
      <c r="H1395" s="682"/>
      <c r="I1395" s="592">
        <v>24.19</v>
      </c>
      <c r="J1395" s="592">
        <f t="shared" si="1020"/>
        <v>24.19</v>
      </c>
      <c r="K1395" s="593">
        <f t="shared" si="1019"/>
        <v>29.44</v>
      </c>
      <c r="L1395" s="594" t="s">
        <v>21</v>
      </c>
      <c r="M1395" s="92"/>
      <c r="N1395" s="92"/>
      <c r="O1395" s="93">
        <f t="shared" si="1021"/>
        <v>0</v>
      </c>
      <c r="P1395" s="93">
        <f t="shared" si="1022"/>
        <v>0</v>
      </c>
      <c r="Q1395" s="94"/>
      <c r="R1395" s="92">
        <f t="shared" si="1023"/>
        <v>0</v>
      </c>
      <c r="S1395" s="92">
        <f t="shared" si="1024"/>
        <v>0</v>
      </c>
      <c r="T1395" s="93">
        <f t="shared" si="1025"/>
        <v>0</v>
      </c>
      <c r="U1395" s="95">
        <f t="shared" si="1026"/>
        <v>0</v>
      </c>
      <c r="V1395" s="94"/>
      <c r="X1395" s="580" t="str">
        <f t="shared" si="1027"/>
        <v/>
      </c>
      <c r="Y1395" s="580" t="str">
        <f t="shared" si="1028"/>
        <v/>
      </c>
      <c r="Z1395" s="580" t="str">
        <f t="shared" si="1029"/>
        <v/>
      </c>
    </row>
    <row r="1396" spans="1:26" ht="25.5" hidden="1" x14ac:dyDescent="0.2">
      <c r="A1396" s="97">
        <v>91996</v>
      </c>
      <c r="B1396" s="1031">
        <v>91996</v>
      </c>
      <c r="C1396" s="978" t="s">
        <v>883</v>
      </c>
      <c r="D1396" s="595" t="s">
        <v>1615</v>
      </c>
      <c r="E1396" s="596"/>
      <c r="F1396" s="671"/>
      <c r="G1396" s="597"/>
      <c r="H1396" s="682"/>
      <c r="I1396" s="592">
        <v>29.65</v>
      </c>
      <c r="J1396" s="592">
        <f t="shared" si="1020"/>
        <v>29.65</v>
      </c>
      <c r="K1396" s="593">
        <f t="shared" si="1019"/>
        <v>36.090000000000003</v>
      </c>
      <c r="L1396" s="594" t="s">
        <v>21</v>
      </c>
      <c r="M1396" s="92"/>
      <c r="N1396" s="92"/>
      <c r="O1396" s="93">
        <f t="shared" si="1021"/>
        <v>0</v>
      </c>
      <c r="P1396" s="93">
        <f t="shared" si="1022"/>
        <v>0</v>
      </c>
      <c r="Q1396" s="94"/>
      <c r="R1396" s="92">
        <f t="shared" si="1023"/>
        <v>0</v>
      </c>
      <c r="S1396" s="92">
        <f t="shared" si="1024"/>
        <v>0</v>
      </c>
      <c r="T1396" s="93">
        <f t="shared" si="1025"/>
        <v>0</v>
      </c>
      <c r="U1396" s="95">
        <f t="shared" si="1026"/>
        <v>0</v>
      </c>
      <c r="V1396" s="94"/>
      <c r="X1396" s="580" t="str">
        <f t="shared" si="1027"/>
        <v/>
      </c>
      <c r="Y1396" s="580" t="str">
        <f t="shared" si="1028"/>
        <v/>
      </c>
      <c r="Z1396" s="580" t="str">
        <f t="shared" si="1029"/>
        <v/>
      </c>
    </row>
    <row r="1397" spans="1:26" ht="25.5" hidden="1" x14ac:dyDescent="0.2">
      <c r="A1397" s="97">
        <v>91997</v>
      </c>
      <c r="B1397" s="1031">
        <v>91997</v>
      </c>
      <c r="C1397" s="978" t="s">
        <v>883</v>
      </c>
      <c r="D1397" s="595" t="s">
        <v>1616</v>
      </c>
      <c r="E1397" s="596"/>
      <c r="F1397" s="671"/>
      <c r="G1397" s="597"/>
      <c r="H1397" s="682"/>
      <c r="I1397" s="592">
        <v>31.91</v>
      </c>
      <c r="J1397" s="592">
        <f t="shared" si="1020"/>
        <v>31.91</v>
      </c>
      <c r="K1397" s="593">
        <f t="shared" si="1019"/>
        <v>38.840000000000003</v>
      </c>
      <c r="L1397" s="594" t="s">
        <v>21</v>
      </c>
      <c r="M1397" s="92"/>
      <c r="N1397" s="92"/>
      <c r="O1397" s="93">
        <f t="shared" si="1021"/>
        <v>0</v>
      </c>
      <c r="P1397" s="93">
        <f t="shared" si="1022"/>
        <v>0</v>
      </c>
      <c r="Q1397" s="94"/>
      <c r="R1397" s="92">
        <f t="shared" si="1023"/>
        <v>0</v>
      </c>
      <c r="S1397" s="92">
        <f t="shared" si="1024"/>
        <v>0</v>
      </c>
      <c r="T1397" s="93">
        <f t="shared" si="1025"/>
        <v>0</v>
      </c>
      <c r="U1397" s="95">
        <f t="shared" si="1026"/>
        <v>0</v>
      </c>
      <c r="V1397" s="94"/>
      <c r="X1397" s="580" t="str">
        <f t="shared" si="1027"/>
        <v/>
      </c>
      <c r="Y1397" s="580" t="str">
        <f t="shared" si="1028"/>
        <v/>
      </c>
      <c r="Z1397" s="580" t="str">
        <f t="shared" si="1029"/>
        <v/>
      </c>
    </row>
    <row r="1398" spans="1:26" ht="25.5" hidden="1" x14ac:dyDescent="0.2">
      <c r="A1398" s="97">
        <v>91998</v>
      </c>
      <c r="B1398" s="1031">
        <v>91998</v>
      </c>
      <c r="C1398" s="978" t="s">
        <v>883</v>
      </c>
      <c r="D1398" s="595" t="s">
        <v>1617</v>
      </c>
      <c r="E1398" s="596"/>
      <c r="F1398" s="671"/>
      <c r="G1398" s="597"/>
      <c r="H1398" s="682"/>
      <c r="I1398" s="592">
        <v>18.649999999999999</v>
      </c>
      <c r="J1398" s="592">
        <f t="shared" si="1020"/>
        <v>18.649999999999999</v>
      </c>
      <c r="K1398" s="593">
        <f t="shared" si="1019"/>
        <v>22.7</v>
      </c>
      <c r="L1398" s="594" t="s">
        <v>21</v>
      </c>
      <c r="M1398" s="92"/>
      <c r="N1398" s="92"/>
      <c r="O1398" s="93">
        <f t="shared" si="1021"/>
        <v>0</v>
      </c>
      <c r="P1398" s="93">
        <f t="shared" si="1022"/>
        <v>0</v>
      </c>
      <c r="Q1398" s="94"/>
      <c r="R1398" s="92">
        <f t="shared" si="1023"/>
        <v>0</v>
      </c>
      <c r="S1398" s="92">
        <f t="shared" si="1024"/>
        <v>0</v>
      </c>
      <c r="T1398" s="93">
        <f t="shared" si="1025"/>
        <v>0</v>
      </c>
      <c r="U1398" s="95">
        <f t="shared" si="1026"/>
        <v>0</v>
      </c>
      <c r="V1398" s="94"/>
      <c r="X1398" s="580" t="str">
        <f t="shared" si="1027"/>
        <v/>
      </c>
      <c r="Y1398" s="580" t="str">
        <f t="shared" si="1028"/>
        <v/>
      </c>
      <c r="Z1398" s="580" t="str">
        <f t="shared" si="1029"/>
        <v/>
      </c>
    </row>
    <row r="1399" spans="1:26" ht="25.5" hidden="1" x14ac:dyDescent="0.2">
      <c r="A1399" s="97">
        <v>91999</v>
      </c>
      <c r="B1399" s="1031">
        <v>91999</v>
      </c>
      <c r="C1399" s="978" t="s">
        <v>883</v>
      </c>
      <c r="D1399" s="595" t="s">
        <v>1618</v>
      </c>
      <c r="E1399" s="596"/>
      <c r="F1399" s="671"/>
      <c r="G1399" s="597"/>
      <c r="H1399" s="682"/>
      <c r="I1399" s="592">
        <v>20.91</v>
      </c>
      <c r="J1399" s="592">
        <f t="shared" si="1020"/>
        <v>20.91</v>
      </c>
      <c r="K1399" s="593">
        <f t="shared" si="1019"/>
        <v>25.45</v>
      </c>
      <c r="L1399" s="594" t="s">
        <v>21</v>
      </c>
      <c r="M1399" s="92"/>
      <c r="N1399" s="92"/>
      <c r="O1399" s="93">
        <f t="shared" si="1021"/>
        <v>0</v>
      </c>
      <c r="P1399" s="93">
        <f t="shared" si="1022"/>
        <v>0</v>
      </c>
      <c r="Q1399" s="94"/>
      <c r="R1399" s="92">
        <f t="shared" si="1023"/>
        <v>0</v>
      </c>
      <c r="S1399" s="92">
        <f t="shared" si="1024"/>
        <v>0</v>
      </c>
      <c r="T1399" s="93">
        <f t="shared" si="1025"/>
        <v>0</v>
      </c>
      <c r="U1399" s="95">
        <f t="shared" si="1026"/>
        <v>0</v>
      </c>
      <c r="V1399" s="94"/>
      <c r="X1399" s="580" t="str">
        <f t="shared" si="1027"/>
        <v/>
      </c>
      <c r="Y1399" s="580" t="str">
        <f t="shared" si="1028"/>
        <v/>
      </c>
      <c r="Z1399" s="580" t="str">
        <f t="shared" si="1029"/>
        <v/>
      </c>
    </row>
    <row r="1400" spans="1:26" ht="25.5" hidden="1" x14ac:dyDescent="0.2">
      <c r="A1400" s="97">
        <v>92000</v>
      </c>
      <c r="B1400" s="1031">
        <v>92000</v>
      </c>
      <c r="C1400" s="978" t="s">
        <v>883</v>
      </c>
      <c r="D1400" s="595" t="s">
        <v>1619</v>
      </c>
      <c r="E1400" s="596"/>
      <c r="F1400" s="671"/>
      <c r="G1400" s="597"/>
      <c r="H1400" s="682"/>
      <c r="I1400" s="592">
        <v>26.37</v>
      </c>
      <c r="J1400" s="592">
        <f t="shared" si="1020"/>
        <v>26.37</v>
      </c>
      <c r="K1400" s="593">
        <f t="shared" si="1019"/>
        <v>32.090000000000003</v>
      </c>
      <c r="L1400" s="594" t="s">
        <v>21</v>
      </c>
      <c r="M1400" s="92"/>
      <c r="N1400" s="92"/>
      <c r="O1400" s="93">
        <f t="shared" si="1021"/>
        <v>0</v>
      </c>
      <c r="P1400" s="93">
        <f t="shared" si="1022"/>
        <v>0</v>
      </c>
      <c r="Q1400" s="94"/>
      <c r="R1400" s="92">
        <f t="shared" si="1023"/>
        <v>0</v>
      </c>
      <c r="S1400" s="92">
        <f t="shared" si="1024"/>
        <v>0</v>
      </c>
      <c r="T1400" s="93">
        <f t="shared" si="1025"/>
        <v>0</v>
      </c>
      <c r="U1400" s="95">
        <f t="shared" si="1026"/>
        <v>0</v>
      </c>
      <c r="V1400" s="94"/>
      <c r="X1400" s="580" t="str">
        <f t="shared" si="1027"/>
        <v/>
      </c>
      <c r="Y1400" s="580" t="str">
        <f t="shared" si="1028"/>
        <v/>
      </c>
      <c r="Z1400" s="580" t="str">
        <f t="shared" si="1029"/>
        <v/>
      </c>
    </row>
    <row r="1401" spans="1:26" ht="25.5" hidden="1" x14ac:dyDescent="0.2">
      <c r="A1401" s="97">
        <v>92001</v>
      </c>
      <c r="B1401" s="1031">
        <v>92001</v>
      </c>
      <c r="C1401" s="978" t="s">
        <v>883</v>
      </c>
      <c r="D1401" s="595" t="s">
        <v>1620</v>
      </c>
      <c r="E1401" s="596"/>
      <c r="F1401" s="671"/>
      <c r="G1401" s="597"/>
      <c r="H1401" s="682"/>
      <c r="I1401" s="592">
        <v>28.63</v>
      </c>
      <c r="J1401" s="592">
        <f t="shared" si="1020"/>
        <v>28.63</v>
      </c>
      <c r="K1401" s="593">
        <f t="shared" si="1019"/>
        <v>34.85</v>
      </c>
      <c r="L1401" s="594" t="s">
        <v>21</v>
      </c>
      <c r="M1401" s="92"/>
      <c r="N1401" s="92"/>
      <c r="O1401" s="93">
        <f t="shared" si="1021"/>
        <v>0</v>
      </c>
      <c r="P1401" s="93">
        <f t="shared" si="1022"/>
        <v>0</v>
      </c>
      <c r="Q1401" s="94"/>
      <c r="R1401" s="92">
        <f t="shared" si="1023"/>
        <v>0</v>
      </c>
      <c r="S1401" s="92">
        <f t="shared" si="1024"/>
        <v>0</v>
      </c>
      <c r="T1401" s="93">
        <f t="shared" si="1025"/>
        <v>0</v>
      </c>
      <c r="U1401" s="95">
        <f t="shared" si="1026"/>
        <v>0</v>
      </c>
      <c r="V1401" s="94"/>
      <c r="X1401" s="580" t="str">
        <f t="shared" si="1027"/>
        <v/>
      </c>
      <c r="Y1401" s="580" t="str">
        <f t="shared" si="1028"/>
        <v/>
      </c>
      <c r="Z1401" s="580" t="str">
        <f t="shared" si="1029"/>
        <v/>
      </c>
    </row>
    <row r="1402" spans="1:26" ht="25.5" hidden="1" x14ac:dyDescent="0.2">
      <c r="A1402" s="97">
        <v>92002</v>
      </c>
      <c r="B1402" s="1031">
        <v>92002</v>
      </c>
      <c r="C1402" s="978" t="s">
        <v>883</v>
      </c>
      <c r="D1402" s="595" t="s">
        <v>1621</v>
      </c>
      <c r="E1402" s="596"/>
      <c r="F1402" s="671"/>
      <c r="G1402" s="597"/>
      <c r="H1402" s="682"/>
      <c r="I1402" s="592">
        <v>41.12</v>
      </c>
      <c r="J1402" s="592">
        <f t="shared" si="1020"/>
        <v>41.12</v>
      </c>
      <c r="K1402" s="593">
        <f t="shared" si="1019"/>
        <v>50.05</v>
      </c>
      <c r="L1402" s="594" t="s">
        <v>21</v>
      </c>
      <c r="M1402" s="92"/>
      <c r="N1402" s="92"/>
      <c r="O1402" s="93">
        <f t="shared" si="1021"/>
        <v>0</v>
      </c>
      <c r="P1402" s="93">
        <f t="shared" si="1022"/>
        <v>0</v>
      </c>
      <c r="Q1402" s="94"/>
      <c r="R1402" s="92">
        <f t="shared" si="1023"/>
        <v>0</v>
      </c>
      <c r="S1402" s="92">
        <f t="shared" si="1024"/>
        <v>0</v>
      </c>
      <c r="T1402" s="93">
        <f t="shared" si="1025"/>
        <v>0</v>
      </c>
      <c r="U1402" s="95">
        <f t="shared" si="1026"/>
        <v>0</v>
      </c>
      <c r="V1402" s="94"/>
      <c r="X1402" s="580" t="str">
        <f t="shared" si="1027"/>
        <v/>
      </c>
      <c r="Y1402" s="580" t="str">
        <f t="shared" si="1028"/>
        <v/>
      </c>
      <c r="Z1402" s="580" t="str">
        <f t="shared" si="1029"/>
        <v/>
      </c>
    </row>
    <row r="1403" spans="1:26" ht="25.5" hidden="1" x14ac:dyDescent="0.2">
      <c r="A1403" s="97">
        <v>92003</v>
      </c>
      <c r="B1403" s="1031">
        <v>92003</v>
      </c>
      <c r="C1403" s="978" t="s">
        <v>883</v>
      </c>
      <c r="D1403" s="595" t="s">
        <v>1622</v>
      </c>
      <c r="E1403" s="596"/>
      <c r="F1403" s="671"/>
      <c r="G1403" s="597"/>
      <c r="H1403" s="682"/>
      <c r="I1403" s="592">
        <v>45.64</v>
      </c>
      <c r="J1403" s="592">
        <f t="shared" si="1020"/>
        <v>45.64</v>
      </c>
      <c r="K1403" s="593">
        <f t="shared" si="1019"/>
        <v>55.55</v>
      </c>
      <c r="L1403" s="594" t="s">
        <v>21</v>
      </c>
      <c r="M1403" s="92"/>
      <c r="N1403" s="92"/>
      <c r="O1403" s="93">
        <f t="shared" si="1021"/>
        <v>0</v>
      </c>
      <c r="P1403" s="93">
        <f t="shared" si="1022"/>
        <v>0</v>
      </c>
      <c r="Q1403" s="94"/>
      <c r="R1403" s="92">
        <f t="shared" si="1023"/>
        <v>0</v>
      </c>
      <c r="S1403" s="92">
        <f t="shared" si="1024"/>
        <v>0</v>
      </c>
      <c r="T1403" s="93">
        <f t="shared" si="1025"/>
        <v>0</v>
      </c>
      <c r="U1403" s="95">
        <f t="shared" si="1026"/>
        <v>0</v>
      </c>
      <c r="V1403" s="94"/>
      <c r="X1403" s="580" t="str">
        <f t="shared" si="1027"/>
        <v/>
      </c>
      <c r="Y1403" s="580" t="str">
        <f t="shared" si="1028"/>
        <v/>
      </c>
      <c r="Z1403" s="580" t="str">
        <f t="shared" si="1029"/>
        <v/>
      </c>
    </row>
    <row r="1404" spans="1:26" ht="25.5" hidden="1" x14ac:dyDescent="0.2">
      <c r="A1404" s="97">
        <v>92004</v>
      </c>
      <c r="B1404" s="1031">
        <v>92004</v>
      </c>
      <c r="C1404" s="978" t="s">
        <v>883</v>
      </c>
      <c r="D1404" s="595" t="s">
        <v>1623</v>
      </c>
      <c r="E1404" s="596"/>
      <c r="F1404" s="671"/>
      <c r="G1404" s="597"/>
      <c r="H1404" s="682"/>
      <c r="I1404" s="592">
        <v>48.84</v>
      </c>
      <c r="J1404" s="592">
        <f t="shared" si="1020"/>
        <v>48.84</v>
      </c>
      <c r="K1404" s="593">
        <f t="shared" si="1019"/>
        <v>59.44</v>
      </c>
      <c r="L1404" s="594" t="s">
        <v>21</v>
      </c>
      <c r="M1404" s="92"/>
      <c r="N1404" s="92"/>
      <c r="O1404" s="93">
        <f t="shared" si="1021"/>
        <v>0</v>
      </c>
      <c r="P1404" s="93">
        <f t="shared" si="1022"/>
        <v>0</v>
      </c>
      <c r="Q1404" s="94"/>
      <c r="R1404" s="92">
        <f t="shared" si="1023"/>
        <v>0</v>
      </c>
      <c r="S1404" s="92">
        <f t="shared" si="1024"/>
        <v>0</v>
      </c>
      <c r="T1404" s="93">
        <f t="shared" si="1025"/>
        <v>0</v>
      </c>
      <c r="U1404" s="95">
        <f t="shared" si="1026"/>
        <v>0</v>
      </c>
      <c r="V1404" s="94"/>
      <c r="X1404" s="580" t="str">
        <f t="shared" si="1027"/>
        <v/>
      </c>
      <c r="Y1404" s="580" t="str">
        <f t="shared" si="1028"/>
        <v/>
      </c>
      <c r="Z1404" s="580" t="str">
        <f t="shared" si="1029"/>
        <v/>
      </c>
    </row>
    <row r="1405" spans="1:26" ht="25.5" hidden="1" x14ac:dyDescent="0.2">
      <c r="A1405" s="97">
        <v>92005</v>
      </c>
      <c r="B1405" s="1031">
        <v>92005</v>
      </c>
      <c r="C1405" s="978" t="s">
        <v>883</v>
      </c>
      <c r="D1405" s="595" t="s">
        <v>1624</v>
      </c>
      <c r="E1405" s="596"/>
      <c r="F1405" s="671"/>
      <c r="G1405" s="597"/>
      <c r="H1405" s="682"/>
      <c r="I1405" s="592">
        <v>53.36</v>
      </c>
      <c r="J1405" s="592">
        <f t="shared" si="1020"/>
        <v>53.36</v>
      </c>
      <c r="K1405" s="593">
        <f t="shared" si="1019"/>
        <v>64.94</v>
      </c>
      <c r="L1405" s="594" t="s">
        <v>21</v>
      </c>
      <c r="M1405" s="92"/>
      <c r="N1405" s="92"/>
      <c r="O1405" s="93">
        <f t="shared" si="1021"/>
        <v>0</v>
      </c>
      <c r="P1405" s="93">
        <f t="shared" si="1022"/>
        <v>0</v>
      </c>
      <c r="Q1405" s="94"/>
      <c r="R1405" s="92">
        <f t="shared" si="1023"/>
        <v>0</v>
      </c>
      <c r="S1405" s="92">
        <f t="shared" si="1024"/>
        <v>0</v>
      </c>
      <c r="T1405" s="93">
        <f t="shared" si="1025"/>
        <v>0</v>
      </c>
      <c r="U1405" s="95">
        <f t="shared" si="1026"/>
        <v>0</v>
      </c>
      <c r="V1405" s="94"/>
      <c r="X1405" s="580" t="str">
        <f t="shared" si="1027"/>
        <v/>
      </c>
      <c r="Y1405" s="580" t="str">
        <f t="shared" si="1028"/>
        <v/>
      </c>
      <c r="Z1405" s="580" t="str">
        <f t="shared" si="1029"/>
        <v/>
      </c>
    </row>
    <row r="1406" spans="1:26" ht="25.5" hidden="1" x14ac:dyDescent="0.2">
      <c r="A1406" s="97">
        <v>92006</v>
      </c>
      <c r="B1406" s="1031">
        <v>92006</v>
      </c>
      <c r="C1406" s="978" t="s">
        <v>883</v>
      </c>
      <c r="D1406" s="595" t="s">
        <v>1625</v>
      </c>
      <c r="E1406" s="596"/>
      <c r="F1406" s="671"/>
      <c r="G1406" s="597"/>
      <c r="H1406" s="682"/>
      <c r="I1406" s="592">
        <v>34.549999999999997</v>
      </c>
      <c r="J1406" s="592">
        <f t="shared" si="1020"/>
        <v>34.549999999999997</v>
      </c>
      <c r="K1406" s="593">
        <f t="shared" si="1019"/>
        <v>42.05</v>
      </c>
      <c r="L1406" s="594" t="s">
        <v>21</v>
      </c>
      <c r="M1406" s="92"/>
      <c r="N1406" s="92"/>
      <c r="O1406" s="93">
        <f t="shared" si="1021"/>
        <v>0</v>
      </c>
      <c r="P1406" s="93">
        <f t="shared" si="1022"/>
        <v>0</v>
      </c>
      <c r="Q1406" s="94"/>
      <c r="R1406" s="92">
        <f t="shared" si="1023"/>
        <v>0</v>
      </c>
      <c r="S1406" s="92">
        <f t="shared" si="1024"/>
        <v>0</v>
      </c>
      <c r="T1406" s="93">
        <f t="shared" si="1025"/>
        <v>0</v>
      </c>
      <c r="U1406" s="95">
        <f t="shared" si="1026"/>
        <v>0</v>
      </c>
      <c r="V1406" s="94"/>
      <c r="X1406" s="580" t="str">
        <f t="shared" si="1027"/>
        <v/>
      </c>
      <c r="Y1406" s="580" t="str">
        <f t="shared" si="1028"/>
        <v/>
      </c>
      <c r="Z1406" s="580" t="str">
        <f t="shared" si="1029"/>
        <v/>
      </c>
    </row>
    <row r="1407" spans="1:26" ht="25.5" hidden="1" x14ac:dyDescent="0.2">
      <c r="A1407" s="97">
        <v>92007</v>
      </c>
      <c r="B1407" s="1031">
        <v>92007</v>
      </c>
      <c r="C1407" s="978" t="s">
        <v>883</v>
      </c>
      <c r="D1407" s="595" t="s">
        <v>1626</v>
      </c>
      <c r="E1407" s="596"/>
      <c r="F1407" s="671"/>
      <c r="G1407" s="597"/>
      <c r="H1407" s="682"/>
      <c r="I1407" s="592">
        <v>39.07</v>
      </c>
      <c r="J1407" s="592">
        <f t="shared" si="1020"/>
        <v>39.07</v>
      </c>
      <c r="K1407" s="593">
        <f t="shared" si="1019"/>
        <v>47.55</v>
      </c>
      <c r="L1407" s="594" t="s">
        <v>21</v>
      </c>
      <c r="M1407" s="92"/>
      <c r="N1407" s="92"/>
      <c r="O1407" s="93">
        <f t="shared" si="1021"/>
        <v>0</v>
      </c>
      <c r="P1407" s="93">
        <f t="shared" si="1022"/>
        <v>0</v>
      </c>
      <c r="Q1407" s="94"/>
      <c r="R1407" s="92">
        <f t="shared" si="1023"/>
        <v>0</v>
      </c>
      <c r="S1407" s="92">
        <f t="shared" si="1024"/>
        <v>0</v>
      </c>
      <c r="T1407" s="93">
        <f t="shared" si="1025"/>
        <v>0</v>
      </c>
      <c r="U1407" s="95">
        <f t="shared" si="1026"/>
        <v>0</v>
      </c>
      <c r="V1407" s="94"/>
      <c r="X1407" s="580" t="str">
        <f t="shared" si="1027"/>
        <v/>
      </c>
      <c r="Y1407" s="580" t="str">
        <f t="shared" si="1028"/>
        <v/>
      </c>
      <c r="Z1407" s="580" t="str">
        <f t="shared" si="1029"/>
        <v/>
      </c>
    </row>
    <row r="1408" spans="1:26" ht="25.5" hidden="1" x14ac:dyDescent="0.2">
      <c r="A1408" s="97">
        <v>92008</v>
      </c>
      <c r="B1408" s="1031">
        <v>92008</v>
      </c>
      <c r="C1408" s="978" t="s">
        <v>883</v>
      </c>
      <c r="D1408" s="595" t="s">
        <v>1627</v>
      </c>
      <c r="E1408" s="596"/>
      <c r="F1408" s="671"/>
      <c r="G1408" s="597"/>
      <c r="H1408" s="682"/>
      <c r="I1408" s="592">
        <v>42.27</v>
      </c>
      <c r="J1408" s="592">
        <f t="shared" si="1020"/>
        <v>42.27</v>
      </c>
      <c r="K1408" s="593">
        <f t="shared" si="1019"/>
        <v>51.45</v>
      </c>
      <c r="L1408" s="594" t="s">
        <v>21</v>
      </c>
      <c r="M1408" s="92"/>
      <c r="N1408" s="92"/>
      <c r="O1408" s="93">
        <f t="shared" si="1021"/>
        <v>0</v>
      </c>
      <c r="P1408" s="93">
        <f t="shared" si="1022"/>
        <v>0</v>
      </c>
      <c r="Q1408" s="94"/>
      <c r="R1408" s="92">
        <f t="shared" si="1023"/>
        <v>0</v>
      </c>
      <c r="S1408" s="92">
        <f t="shared" si="1024"/>
        <v>0</v>
      </c>
      <c r="T1408" s="93">
        <f t="shared" si="1025"/>
        <v>0</v>
      </c>
      <c r="U1408" s="95">
        <f t="shared" si="1026"/>
        <v>0</v>
      </c>
      <c r="V1408" s="94"/>
      <c r="X1408" s="580" t="str">
        <f t="shared" si="1027"/>
        <v/>
      </c>
      <c r="Y1408" s="580" t="str">
        <f t="shared" si="1028"/>
        <v/>
      </c>
      <c r="Z1408" s="580" t="str">
        <f t="shared" si="1029"/>
        <v/>
      </c>
    </row>
    <row r="1409" spans="1:26" ht="25.5" hidden="1" x14ac:dyDescent="0.2">
      <c r="A1409" s="97">
        <v>92009</v>
      </c>
      <c r="B1409" s="1031">
        <v>92009</v>
      </c>
      <c r="C1409" s="978" t="s">
        <v>883</v>
      </c>
      <c r="D1409" s="595" t="s">
        <v>1628</v>
      </c>
      <c r="E1409" s="596"/>
      <c r="F1409" s="671"/>
      <c r="G1409" s="597"/>
      <c r="H1409" s="682"/>
      <c r="I1409" s="592">
        <v>46.79</v>
      </c>
      <c r="J1409" s="592">
        <f t="shared" si="1020"/>
        <v>46.79</v>
      </c>
      <c r="K1409" s="593">
        <f t="shared" si="1019"/>
        <v>56.95</v>
      </c>
      <c r="L1409" s="594" t="s">
        <v>21</v>
      </c>
      <c r="M1409" s="92"/>
      <c r="N1409" s="92"/>
      <c r="O1409" s="93">
        <f t="shared" si="1021"/>
        <v>0</v>
      </c>
      <c r="P1409" s="93">
        <f t="shared" si="1022"/>
        <v>0</v>
      </c>
      <c r="Q1409" s="94"/>
      <c r="R1409" s="92">
        <f t="shared" si="1023"/>
        <v>0</v>
      </c>
      <c r="S1409" s="92">
        <f t="shared" si="1024"/>
        <v>0</v>
      </c>
      <c r="T1409" s="93">
        <f t="shared" si="1025"/>
        <v>0</v>
      </c>
      <c r="U1409" s="95">
        <f t="shared" si="1026"/>
        <v>0</v>
      </c>
      <c r="V1409" s="94"/>
      <c r="X1409" s="580" t="str">
        <f t="shared" si="1027"/>
        <v/>
      </c>
      <c r="Y1409" s="580" t="str">
        <f t="shared" si="1028"/>
        <v/>
      </c>
      <c r="Z1409" s="580" t="str">
        <f t="shared" si="1029"/>
        <v/>
      </c>
    </row>
    <row r="1410" spans="1:26" ht="25.5" hidden="1" x14ac:dyDescent="0.2">
      <c r="A1410" s="97">
        <v>92010</v>
      </c>
      <c r="B1410" s="1031">
        <v>92010</v>
      </c>
      <c r="C1410" s="978" t="s">
        <v>883</v>
      </c>
      <c r="D1410" s="595" t="s">
        <v>1629</v>
      </c>
      <c r="E1410" s="596"/>
      <c r="F1410" s="671"/>
      <c r="G1410" s="597"/>
      <c r="H1410" s="682"/>
      <c r="I1410" s="592">
        <v>60.32</v>
      </c>
      <c r="J1410" s="592">
        <f t="shared" si="1020"/>
        <v>60.32</v>
      </c>
      <c r="K1410" s="593">
        <f t="shared" si="1019"/>
        <v>73.42</v>
      </c>
      <c r="L1410" s="594" t="s">
        <v>21</v>
      </c>
      <c r="M1410" s="92"/>
      <c r="N1410" s="92"/>
      <c r="O1410" s="93">
        <f t="shared" si="1021"/>
        <v>0</v>
      </c>
      <c r="P1410" s="93">
        <f t="shared" si="1022"/>
        <v>0</v>
      </c>
      <c r="Q1410" s="94"/>
      <c r="R1410" s="92">
        <f t="shared" si="1023"/>
        <v>0</v>
      </c>
      <c r="S1410" s="92">
        <f t="shared" si="1024"/>
        <v>0</v>
      </c>
      <c r="T1410" s="93">
        <f t="shared" si="1025"/>
        <v>0</v>
      </c>
      <c r="U1410" s="95">
        <f t="shared" si="1026"/>
        <v>0</v>
      </c>
      <c r="V1410" s="94"/>
      <c r="X1410" s="580" t="str">
        <f t="shared" si="1027"/>
        <v/>
      </c>
      <c r="Y1410" s="580" t="str">
        <f t="shared" si="1028"/>
        <v/>
      </c>
      <c r="Z1410" s="580" t="str">
        <f t="shared" si="1029"/>
        <v/>
      </c>
    </row>
    <row r="1411" spans="1:26" ht="25.5" hidden="1" x14ac:dyDescent="0.2">
      <c r="A1411" s="97">
        <v>92011</v>
      </c>
      <c r="B1411" s="1031">
        <v>92011</v>
      </c>
      <c r="C1411" s="978" t="s">
        <v>883</v>
      </c>
      <c r="D1411" s="595" t="s">
        <v>1630</v>
      </c>
      <c r="E1411" s="596"/>
      <c r="F1411" s="671"/>
      <c r="G1411" s="597"/>
      <c r="H1411" s="682"/>
      <c r="I1411" s="592">
        <v>67.099999999999994</v>
      </c>
      <c r="J1411" s="592">
        <f t="shared" si="1020"/>
        <v>67.099999999999994</v>
      </c>
      <c r="K1411" s="593">
        <f t="shared" si="1019"/>
        <v>81.67</v>
      </c>
      <c r="L1411" s="594" t="s">
        <v>21</v>
      </c>
      <c r="M1411" s="92"/>
      <c r="N1411" s="92"/>
      <c r="O1411" s="93">
        <f t="shared" si="1021"/>
        <v>0</v>
      </c>
      <c r="P1411" s="93">
        <f t="shared" si="1022"/>
        <v>0</v>
      </c>
      <c r="Q1411" s="94"/>
      <c r="R1411" s="92">
        <f t="shared" si="1023"/>
        <v>0</v>
      </c>
      <c r="S1411" s="92">
        <f t="shared" si="1024"/>
        <v>0</v>
      </c>
      <c r="T1411" s="93">
        <f t="shared" si="1025"/>
        <v>0</v>
      </c>
      <c r="U1411" s="95">
        <f t="shared" si="1026"/>
        <v>0</v>
      </c>
      <c r="V1411" s="94"/>
      <c r="X1411" s="580" t="str">
        <f t="shared" si="1027"/>
        <v/>
      </c>
      <c r="Y1411" s="580" t="str">
        <f t="shared" si="1028"/>
        <v/>
      </c>
      <c r="Z1411" s="580" t="str">
        <f t="shared" si="1029"/>
        <v/>
      </c>
    </row>
    <row r="1412" spans="1:26" ht="25.5" hidden="1" x14ac:dyDescent="0.2">
      <c r="A1412" s="97">
        <v>92012</v>
      </c>
      <c r="B1412" s="1031">
        <v>92012</v>
      </c>
      <c r="C1412" s="978" t="s">
        <v>883</v>
      </c>
      <c r="D1412" s="595" t="s">
        <v>1631</v>
      </c>
      <c r="E1412" s="596"/>
      <c r="F1412" s="671"/>
      <c r="G1412" s="597"/>
      <c r="H1412" s="682"/>
      <c r="I1412" s="592">
        <v>68.040000000000006</v>
      </c>
      <c r="J1412" s="592">
        <f t="shared" si="1020"/>
        <v>68.040000000000006</v>
      </c>
      <c r="K1412" s="593">
        <f t="shared" si="1019"/>
        <v>82.81</v>
      </c>
      <c r="L1412" s="594" t="s">
        <v>21</v>
      </c>
      <c r="M1412" s="92"/>
      <c r="N1412" s="92"/>
      <c r="O1412" s="93">
        <f t="shared" si="1021"/>
        <v>0</v>
      </c>
      <c r="P1412" s="93">
        <f t="shared" si="1022"/>
        <v>0</v>
      </c>
      <c r="Q1412" s="94"/>
      <c r="R1412" s="92">
        <f t="shared" si="1023"/>
        <v>0</v>
      </c>
      <c r="S1412" s="92">
        <f t="shared" si="1024"/>
        <v>0</v>
      </c>
      <c r="T1412" s="93">
        <f t="shared" si="1025"/>
        <v>0</v>
      </c>
      <c r="U1412" s="95">
        <f t="shared" si="1026"/>
        <v>0</v>
      </c>
      <c r="V1412" s="94"/>
      <c r="X1412" s="580" t="str">
        <f t="shared" si="1027"/>
        <v/>
      </c>
      <c r="Y1412" s="580" t="str">
        <f t="shared" si="1028"/>
        <v/>
      </c>
      <c r="Z1412" s="580" t="str">
        <f t="shared" si="1029"/>
        <v/>
      </c>
    </row>
    <row r="1413" spans="1:26" ht="25.5" hidden="1" x14ac:dyDescent="0.2">
      <c r="A1413" s="97">
        <v>92013</v>
      </c>
      <c r="B1413" s="1031">
        <v>92013</v>
      </c>
      <c r="C1413" s="978" t="s">
        <v>883</v>
      </c>
      <c r="D1413" s="595" t="s">
        <v>1632</v>
      </c>
      <c r="E1413" s="596"/>
      <c r="F1413" s="671"/>
      <c r="G1413" s="597"/>
      <c r="H1413" s="682"/>
      <c r="I1413" s="592">
        <v>74.819999999999993</v>
      </c>
      <c r="J1413" s="592">
        <f t="shared" si="1020"/>
        <v>74.819999999999993</v>
      </c>
      <c r="K1413" s="593">
        <f t="shared" si="1019"/>
        <v>91.06</v>
      </c>
      <c r="L1413" s="594" t="s">
        <v>21</v>
      </c>
      <c r="M1413" s="92"/>
      <c r="N1413" s="92"/>
      <c r="O1413" s="93">
        <f t="shared" si="1021"/>
        <v>0</v>
      </c>
      <c r="P1413" s="93">
        <f t="shared" si="1022"/>
        <v>0</v>
      </c>
      <c r="Q1413" s="94"/>
      <c r="R1413" s="92">
        <f t="shared" si="1023"/>
        <v>0</v>
      </c>
      <c r="S1413" s="92">
        <f t="shared" si="1024"/>
        <v>0</v>
      </c>
      <c r="T1413" s="93">
        <f t="shared" si="1025"/>
        <v>0</v>
      </c>
      <c r="U1413" s="95">
        <f t="shared" si="1026"/>
        <v>0</v>
      </c>
      <c r="V1413" s="94"/>
      <c r="X1413" s="580" t="str">
        <f t="shared" si="1027"/>
        <v/>
      </c>
      <c r="Y1413" s="580" t="str">
        <f t="shared" si="1028"/>
        <v/>
      </c>
      <c r="Z1413" s="580" t="str">
        <f t="shared" si="1029"/>
        <v/>
      </c>
    </row>
    <row r="1414" spans="1:26" ht="25.5" hidden="1" x14ac:dyDescent="0.2">
      <c r="A1414" s="97">
        <v>92014</v>
      </c>
      <c r="B1414" s="1031">
        <v>92014</v>
      </c>
      <c r="C1414" s="978" t="s">
        <v>883</v>
      </c>
      <c r="D1414" s="595" t="s">
        <v>1633</v>
      </c>
      <c r="E1414" s="596"/>
      <c r="F1414" s="671"/>
      <c r="G1414" s="597"/>
      <c r="H1414" s="682"/>
      <c r="I1414" s="592">
        <v>50.46</v>
      </c>
      <c r="J1414" s="592">
        <f t="shared" si="1020"/>
        <v>50.46</v>
      </c>
      <c r="K1414" s="593">
        <f t="shared" si="1019"/>
        <v>61.41</v>
      </c>
      <c r="L1414" s="594" t="s">
        <v>21</v>
      </c>
      <c r="M1414" s="92"/>
      <c r="N1414" s="92"/>
      <c r="O1414" s="93">
        <f t="shared" si="1021"/>
        <v>0</v>
      </c>
      <c r="P1414" s="93">
        <f t="shared" si="1022"/>
        <v>0</v>
      </c>
      <c r="Q1414" s="94"/>
      <c r="R1414" s="92">
        <f t="shared" si="1023"/>
        <v>0</v>
      </c>
      <c r="S1414" s="92">
        <f t="shared" si="1024"/>
        <v>0</v>
      </c>
      <c r="T1414" s="93">
        <f t="shared" si="1025"/>
        <v>0</v>
      </c>
      <c r="U1414" s="95">
        <f t="shared" si="1026"/>
        <v>0</v>
      </c>
      <c r="V1414" s="94"/>
      <c r="X1414" s="580" t="str">
        <f t="shared" si="1027"/>
        <v/>
      </c>
      <c r="Y1414" s="580" t="str">
        <f t="shared" si="1028"/>
        <v/>
      </c>
      <c r="Z1414" s="580" t="str">
        <f t="shared" si="1029"/>
        <v/>
      </c>
    </row>
    <row r="1415" spans="1:26" ht="25.5" hidden="1" x14ac:dyDescent="0.2">
      <c r="A1415" s="97">
        <v>92015</v>
      </c>
      <c r="B1415" s="1031">
        <v>92015</v>
      </c>
      <c r="C1415" s="978" t="s">
        <v>883</v>
      </c>
      <c r="D1415" s="595" t="s">
        <v>1634</v>
      </c>
      <c r="E1415" s="596"/>
      <c r="F1415" s="671"/>
      <c r="G1415" s="597"/>
      <c r="H1415" s="682"/>
      <c r="I1415" s="592">
        <v>57.24</v>
      </c>
      <c r="J1415" s="592">
        <f t="shared" si="1020"/>
        <v>57.24</v>
      </c>
      <c r="K1415" s="593">
        <f t="shared" si="1019"/>
        <v>69.67</v>
      </c>
      <c r="L1415" s="594" t="s">
        <v>21</v>
      </c>
      <c r="M1415" s="92"/>
      <c r="N1415" s="92"/>
      <c r="O1415" s="93">
        <f t="shared" si="1021"/>
        <v>0</v>
      </c>
      <c r="P1415" s="93">
        <f t="shared" si="1022"/>
        <v>0</v>
      </c>
      <c r="Q1415" s="94"/>
      <c r="R1415" s="92">
        <f t="shared" si="1023"/>
        <v>0</v>
      </c>
      <c r="S1415" s="92">
        <f t="shared" si="1024"/>
        <v>0</v>
      </c>
      <c r="T1415" s="93">
        <f t="shared" si="1025"/>
        <v>0</v>
      </c>
      <c r="U1415" s="95">
        <f t="shared" si="1026"/>
        <v>0</v>
      </c>
      <c r="V1415" s="94"/>
      <c r="X1415" s="580" t="str">
        <f t="shared" si="1027"/>
        <v/>
      </c>
      <c r="Y1415" s="580" t="str">
        <f t="shared" si="1028"/>
        <v/>
      </c>
      <c r="Z1415" s="580" t="str">
        <f t="shared" si="1029"/>
        <v/>
      </c>
    </row>
    <row r="1416" spans="1:26" ht="25.5" hidden="1" x14ac:dyDescent="0.2">
      <c r="A1416" s="97">
        <v>92016</v>
      </c>
      <c r="B1416" s="1031">
        <v>92016</v>
      </c>
      <c r="C1416" s="978" t="s">
        <v>883</v>
      </c>
      <c r="D1416" s="595" t="s">
        <v>1635</v>
      </c>
      <c r="E1416" s="596"/>
      <c r="F1416" s="671"/>
      <c r="G1416" s="597"/>
      <c r="H1416" s="682"/>
      <c r="I1416" s="592">
        <v>58.18</v>
      </c>
      <c r="J1416" s="592">
        <f t="shared" si="1020"/>
        <v>58.18</v>
      </c>
      <c r="K1416" s="593">
        <f t="shared" si="1019"/>
        <v>70.81</v>
      </c>
      <c r="L1416" s="594" t="s">
        <v>21</v>
      </c>
      <c r="M1416" s="92"/>
      <c r="N1416" s="92"/>
      <c r="O1416" s="93">
        <f t="shared" si="1021"/>
        <v>0</v>
      </c>
      <c r="P1416" s="93">
        <f t="shared" si="1022"/>
        <v>0</v>
      </c>
      <c r="Q1416" s="94"/>
      <c r="R1416" s="92">
        <f t="shared" si="1023"/>
        <v>0</v>
      </c>
      <c r="S1416" s="92">
        <f t="shared" si="1024"/>
        <v>0</v>
      </c>
      <c r="T1416" s="93">
        <f t="shared" si="1025"/>
        <v>0</v>
      </c>
      <c r="U1416" s="95">
        <f t="shared" si="1026"/>
        <v>0</v>
      </c>
      <c r="V1416" s="94"/>
      <c r="X1416" s="580" t="str">
        <f t="shared" si="1027"/>
        <v/>
      </c>
      <c r="Y1416" s="580" t="str">
        <f t="shared" si="1028"/>
        <v/>
      </c>
      <c r="Z1416" s="580" t="str">
        <f t="shared" si="1029"/>
        <v/>
      </c>
    </row>
    <row r="1417" spans="1:26" ht="25.5" hidden="1" x14ac:dyDescent="0.2">
      <c r="A1417" s="97">
        <v>92017</v>
      </c>
      <c r="B1417" s="1031">
        <v>92017</v>
      </c>
      <c r="C1417" s="978" t="s">
        <v>883</v>
      </c>
      <c r="D1417" s="595" t="s">
        <v>1636</v>
      </c>
      <c r="E1417" s="596"/>
      <c r="F1417" s="671"/>
      <c r="G1417" s="597"/>
      <c r="H1417" s="682"/>
      <c r="I1417" s="592">
        <v>64.959999999999994</v>
      </c>
      <c r="J1417" s="592">
        <f t="shared" si="1020"/>
        <v>64.959999999999994</v>
      </c>
      <c r="K1417" s="593">
        <f t="shared" si="1019"/>
        <v>79.06</v>
      </c>
      <c r="L1417" s="594" t="s">
        <v>21</v>
      </c>
      <c r="M1417" s="92"/>
      <c r="N1417" s="92"/>
      <c r="O1417" s="93">
        <f t="shared" si="1021"/>
        <v>0</v>
      </c>
      <c r="P1417" s="93">
        <f t="shared" si="1022"/>
        <v>0</v>
      </c>
      <c r="Q1417" s="94"/>
      <c r="R1417" s="92">
        <f t="shared" si="1023"/>
        <v>0</v>
      </c>
      <c r="S1417" s="92">
        <f t="shared" si="1024"/>
        <v>0</v>
      </c>
      <c r="T1417" s="93">
        <f t="shared" si="1025"/>
        <v>0</v>
      </c>
      <c r="U1417" s="95">
        <f t="shared" si="1026"/>
        <v>0</v>
      </c>
      <c r="V1417" s="94"/>
      <c r="X1417" s="580" t="str">
        <f t="shared" si="1027"/>
        <v/>
      </c>
      <c r="Y1417" s="580" t="str">
        <f t="shared" si="1028"/>
        <v/>
      </c>
      <c r="Z1417" s="580" t="str">
        <f t="shared" si="1029"/>
        <v/>
      </c>
    </row>
    <row r="1418" spans="1:26" ht="25.5" hidden="1" x14ac:dyDescent="0.2">
      <c r="A1418" s="97">
        <v>92018</v>
      </c>
      <c r="B1418" s="1031">
        <v>92018</v>
      </c>
      <c r="C1418" s="978" t="s">
        <v>883</v>
      </c>
      <c r="D1418" s="595" t="s">
        <v>1637</v>
      </c>
      <c r="E1418" s="596"/>
      <c r="F1418" s="671"/>
      <c r="G1418" s="597"/>
      <c r="H1418" s="682"/>
      <c r="I1418" s="592">
        <v>66.819999999999993</v>
      </c>
      <c r="J1418" s="592">
        <f t="shared" si="1020"/>
        <v>66.819999999999993</v>
      </c>
      <c r="K1418" s="593">
        <f t="shared" si="1019"/>
        <v>81.33</v>
      </c>
      <c r="L1418" s="594" t="s">
        <v>21</v>
      </c>
      <c r="M1418" s="92"/>
      <c r="N1418" s="92"/>
      <c r="O1418" s="93">
        <f t="shared" si="1021"/>
        <v>0</v>
      </c>
      <c r="P1418" s="93">
        <f t="shared" si="1022"/>
        <v>0</v>
      </c>
      <c r="Q1418" s="94"/>
      <c r="R1418" s="92">
        <f t="shared" si="1023"/>
        <v>0</v>
      </c>
      <c r="S1418" s="92">
        <f t="shared" si="1024"/>
        <v>0</v>
      </c>
      <c r="T1418" s="93">
        <f t="shared" si="1025"/>
        <v>0</v>
      </c>
      <c r="U1418" s="95">
        <f t="shared" si="1026"/>
        <v>0</v>
      </c>
      <c r="V1418" s="94"/>
      <c r="X1418" s="580" t="str">
        <f t="shared" si="1027"/>
        <v/>
      </c>
      <c r="Y1418" s="580" t="str">
        <f t="shared" si="1028"/>
        <v/>
      </c>
      <c r="Z1418" s="580" t="str">
        <f t="shared" si="1029"/>
        <v/>
      </c>
    </row>
    <row r="1419" spans="1:26" ht="25.5" hidden="1" x14ac:dyDescent="0.2">
      <c r="A1419" s="97">
        <v>92019</v>
      </c>
      <c r="B1419" s="1031">
        <v>92019</v>
      </c>
      <c r="C1419" s="978" t="s">
        <v>883</v>
      </c>
      <c r="D1419" s="595" t="s">
        <v>1638</v>
      </c>
      <c r="E1419" s="596"/>
      <c r="F1419" s="671"/>
      <c r="G1419" s="597"/>
      <c r="H1419" s="682"/>
      <c r="I1419" s="592">
        <v>79.19</v>
      </c>
      <c r="J1419" s="592">
        <f t="shared" si="1020"/>
        <v>79.19</v>
      </c>
      <c r="K1419" s="593">
        <f t="shared" si="1019"/>
        <v>96.38</v>
      </c>
      <c r="L1419" s="594" t="s">
        <v>21</v>
      </c>
      <c r="M1419" s="92"/>
      <c r="N1419" s="92"/>
      <c r="O1419" s="93">
        <f t="shared" si="1021"/>
        <v>0</v>
      </c>
      <c r="P1419" s="93">
        <f t="shared" si="1022"/>
        <v>0</v>
      </c>
      <c r="Q1419" s="94"/>
      <c r="R1419" s="92">
        <f t="shared" si="1023"/>
        <v>0</v>
      </c>
      <c r="S1419" s="92">
        <f t="shared" si="1024"/>
        <v>0</v>
      </c>
      <c r="T1419" s="93">
        <f t="shared" si="1025"/>
        <v>0</v>
      </c>
      <c r="U1419" s="95">
        <f t="shared" si="1026"/>
        <v>0</v>
      </c>
      <c r="V1419" s="94"/>
      <c r="X1419" s="580" t="str">
        <f t="shared" si="1027"/>
        <v/>
      </c>
      <c r="Y1419" s="580" t="str">
        <f t="shared" si="1028"/>
        <v/>
      </c>
      <c r="Z1419" s="580" t="str">
        <f t="shared" si="1029"/>
        <v/>
      </c>
    </row>
    <row r="1420" spans="1:26" ht="25.5" hidden="1" x14ac:dyDescent="0.2">
      <c r="A1420" s="97">
        <v>92020</v>
      </c>
      <c r="B1420" s="1031">
        <v>92020</v>
      </c>
      <c r="C1420" s="978" t="s">
        <v>883</v>
      </c>
      <c r="D1420" s="595" t="s">
        <v>1639</v>
      </c>
      <c r="E1420" s="596"/>
      <c r="F1420" s="671"/>
      <c r="G1420" s="597"/>
      <c r="H1420" s="682"/>
      <c r="I1420" s="592">
        <v>98.87</v>
      </c>
      <c r="J1420" s="592">
        <f t="shared" si="1020"/>
        <v>98.87</v>
      </c>
      <c r="K1420" s="593">
        <f t="shared" ref="K1420:K1483" si="1030">IF(ISBLANK(I1420),0,ROUND(J1420*(1+$F$10)*(1+$F$11*E1420),2))</f>
        <v>120.33</v>
      </c>
      <c r="L1420" s="594" t="s">
        <v>21</v>
      </c>
      <c r="M1420" s="92"/>
      <c r="N1420" s="92"/>
      <c r="O1420" s="93">
        <f t="shared" si="1021"/>
        <v>0</v>
      </c>
      <c r="P1420" s="93">
        <f t="shared" si="1022"/>
        <v>0</v>
      </c>
      <c r="Q1420" s="94"/>
      <c r="R1420" s="92">
        <f t="shared" si="1023"/>
        <v>0</v>
      </c>
      <c r="S1420" s="92">
        <f t="shared" si="1024"/>
        <v>0</v>
      </c>
      <c r="T1420" s="93">
        <f t="shared" si="1025"/>
        <v>0</v>
      </c>
      <c r="U1420" s="95">
        <f t="shared" si="1026"/>
        <v>0</v>
      </c>
      <c r="V1420" s="94"/>
      <c r="X1420" s="580" t="str">
        <f t="shared" si="1027"/>
        <v/>
      </c>
      <c r="Y1420" s="580" t="str">
        <f t="shared" si="1028"/>
        <v/>
      </c>
      <c r="Z1420" s="580" t="str">
        <f t="shared" si="1029"/>
        <v/>
      </c>
    </row>
    <row r="1421" spans="1:26" ht="25.5" hidden="1" x14ac:dyDescent="0.2">
      <c r="A1421" s="97">
        <v>92021</v>
      </c>
      <c r="B1421" s="1031">
        <v>92021</v>
      </c>
      <c r="C1421" s="978" t="s">
        <v>883</v>
      </c>
      <c r="D1421" s="595" t="s">
        <v>1640</v>
      </c>
      <c r="E1421" s="596"/>
      <c r="F1421" s="671"/>
      <c r="G1421" s="597"/>
      <c r="H1421" s="682"/>
      <c r="I1421" s="592">
        <v>111.24</v>
      </c>
      <c r="J1421" s="592">
        <f t="shared" si="1020"/>
        <v>111.24</v>
      </c>
      <c r="K1421" s="593">
        <f t="shared" si="1030"/>
        <v>135.38999999999999</v>
      </c>
      <c r="L1421" s="594" t="s">
        <v>21</v>
      </c>
      <c r="M1421" s="92"/>
      <c r="N1421" s="92"/>
      <c r="O1421" s="93">
        <f t="shared" si="1021"/>
        <v>0</v>
      </c>
      <c r="P1421" s="93">
        <f t="shared" si="1022"/>
        <v>0</v>
      </c>
      <c r="Q1421" s="94"/>
      <c r="R1421" s="92">
        <f t="shared" si="1023"/>
        <v>0</v>
      </c>
      <c r="S1421" s="92">
        <f t="shared" si="1024"/>
        <v>0</v>
      </c>
      <c r="T1421" s="93">
        <f t="shared" si="1025"/>
        <v>0</v>
      </c>
      <c r="U1421" s="95">
        <f t="shared" si="1026"/>
        <v>0</v>
      </c>
      <c r="V1421" s="94"/>
      <c r="X1421" s="580" t="str">
        <f t="shared" si="1027"/>
        <v/>
      </c>
      <c r="Y1421" s="580" t="str">
        <f t="shared" si="1028"/>
        <v/>
      </c>
      <c r="Z1421" s="580" t="str">
        <f t="shared" si="1029"/>
        <v/>
      </c>
    </row>
    <row r="1422" spans="1:26" ht="25.5" hidden="1" x14ac:dyDescent="0.2">
      <c r="A1422" s="97">
        <v>93141</v>
      </c>
      <c r="B1422" s="1031">
        <v>93141</v>
      </c>
      <c r="C1422" s="978" t="s">
        <v>883</v>
      </c>
      <c r="D1422" s="595" t="s">
        <v>1641</v>
      </c>
      <c r="E1422" s="596"/>
      <c r="F1422" s="671"/>
      <c r="G1422" s="597"/>
      <c r="H1422" s="682"/>
      <c r="I1422" s="592">
        <v>163.87</v>
      </c>
      <c r="J1422" s="592">
        <f t="shared" si="1020"/>
        <v>163.87</v>
      </c>
      <c r="K1422" s="593">
        <f t="shared" si="1030"/>
        <v>199.45</v>
      </c>
      <c r="L1422" s="594" t="s">
        <v>21</v>
      </c>
      <c r="M1422" s="92"/>
      <c r="N1422" s="92"/>
      <c r="O1422" s="93">
        <f t="shared" si="1021"/>
        <v>0</v>
      </c>
      <c r="P1422" s="93">
        <f t="shared" si="1022"/>
        <v>0</v>
      </c>
      <c r="Q1422" s="94"/>
      <c r="R1422" s="92">
        <f t="shared" si="1023"/>
        <v>0</v>
      </c>
      <c r="S1422" s="92">
        <f t="shared" si="1024"/>
        <v>0</v>
      </c>
      <c r="T1422" s="93">
        <f t="shared" si="1025"/>
        <v>0</v>
      </c>
      <c r="U1422" s="95">
        <f t="shared" si="1026"/>
        <v>0</v>
      </c>
      <c r="V1422" s="94"/>
      <c r="X1422" s="580" t="str">
        <f t="shared" si="1027"/>
        <v/>
      </c>
      <c r="Y1422" s="580" t="str">
        <f t="shared" si="1028"/>
        <v/>
      </c>
      <c r="Z1422" s="580" t="str">
        <f t="shared" si="1029"/>
        <v/>
      </c>
    </row>
    <row r="1423" spans="1:26" ht="25.5" hidden="1" x14ac:dyDescent="0.2">
      <c r="A1423" s="97">
        <v>93142</v>
      </c>
      <c r="B1423" s="1031">
        <v>93142</v>
      </c>
      <c r="C1423" s="978" t="s">
        <v>883</v>
      </c>
      <c r="D1423" s="595" t="s">
        <v>1642</v>
      </c>
      <c r="E1423" s="596"/>
      <c r="F1423" s="671"/>
      <c r="G1423" s="597"/>
      <c r="H1423" s="682"/>
      <c r="I1423" s="592">
        <v>183.06</v>
      </c>
      <c r="J1423" s="592">
        <f t="shared" si="1020"/>
        <v>183.06</v>
      </c>
      <c r="K1423" s="593">
        <f t="shared" si="1030"/>
        <v>222.8</v>
      </c>
      <c r="L1423" s="594" t="s">
        <v>21</v>
      </c>
      <c r="M1423" s="92"/>
      <c r="N1423" s="92"/>
      <c r="O1423" s="93">
        <f t="shared" si="1021"/>
        <v>0</v>
      </c>
      <c r="P1423" s="93">
        <f t="shared" si="1022"/>
        <v>0</v>
      </c>
      <c r="Q1423" s="94"/>
      <c r="R1423" s="92">
        <f t="shared" si="1023"/>
        <v>0</v>
      </c>
      <c r="S1423" s="92">
        <f t="shared" si="1024"/>
        <v>0</v>
      </c>
      <c r="T1423" s="93">
        <f t="shared" si="1025"/>
        <v>0</v>
      </c>
      <c r="U1423" s="95">
        <f t="shared" si="1026"/>
        <v>0</v>
      </c>
      <c r="V1423" s="94"/>
      <c r="X1423" s="580" t="str">
        <f t="shared" si="1027"/>
        <v/>
      </c>
      <c r="Y1423" s="580" t="str">
        <f t="shared" si="1028"/>
        <v/>
      </c>
      <c r="Z1423" s="580" t="str">
        <f t="shared" si="1029"/>
        <v/>
      </c>
    </row>
    <row r="1424" spans="1:26" ht="25.5" hidden="1" x14ac:dyDescent="0.2">
      <c r="A1424" s="97">
        <v>93143</v>
      </c>
      <c r="B1424" s="1031">
        <v>93143</v>
      </c>
      <c r="C1424" s="978" t="s">
        <v>883</v>
      </c>
      <c r="D1424" s="595" t="s">
        <v>1643</v>
      </c>
      <c r="E1424" s="596"/>
      <c r="F1424" s="671"/>
      <c r="G1424" s="597"/>
      <c r="H1424" s="682"/>
      <c r="I1424" s="592">
        <v>166.13</v>
      </c>
      <c r="J1424" s="592">
        <f t="shared" si="1020"/>
        <v>166.13</v>
      </c>
      <c r="K1424" s="593">
        <f t="shared" si="1030"/>
        <v>202.2</v>
      </c>
      <c r="L1424" s="594" t="s">
        <v>21</v>
      </c>
      <c r="M1424" s="92"/>
      <c r="N1424" s="92"/>
      <c r="O1424" s="93">
        <f t="shared" si="1021"/>
        <v>0</v>
      </c>
      <c r="P1424" s="93">
        <f t="shared" si="1022"/>
        <v>0</v>
      </c>
      <c r="Q1424" s="94"/>
      <c r="R1424" s="92">
        <f t="shared" si="1023"/>
        <v>0</v>
      </c>
      <c r="S1424" s="92">
        <f t="shared" si="1024"/>
        <v>0</v>
      </c>
      <c r="T1424" s="93">
        <f t="shared" si="1025"/>
        <v>0</v>
      </c>
      <c r="U1424" s="95">
        <f t="shared" si="1026"/>
        <v>0</v>
      </c>
      <c r="V1424" s="94"/>
      <c r="X1424" s="580" t="str">
        <f t="shared" si="1027"/>
        <v/>
      </c>
      <c r="Y1424" s="580" t="str">
        <f t="shared" si="1028"/>
        <v/>
      </c>
      <c r="Z1424" s="580" t="str">
        <f t="shared" si="1029"/>
        <v/>
      </c>
    </row>
    <row r="1425" spans="1:26" ht="38.25" hidden="1" x14ac:dyDescent="0.2">
      <c r="A1425" s="97">
        <v>93144</v>
      </c>
      <c r="B1425" s="1031">
        <v>93144</v>
      </c>
      <c r="C1425" s="978" t="s">
        <v>883</v>
      </c>
      <c r="D1425" s="595" t="s">
        <v>1644</v>
      </c>
      <c r="E1425" s="596"/>
      <c r="F1425" s="671"/>
      <c r="G1425" s="597"/>
      <c r="H1425" s="682"/>
      <c r="I1425" s="592">
        <v>211.38</v>
      </c>
      <c r="J1425" s="592">
        <f t="shared" si="1020"/>
        <v>211.38</v>
      </c>
      <c r="K1425" s="593">
        <f t="shared" si="1030"/>
        <v>257.27</v>
      </c>
      <c r="L1425" s="594" t="s">
        <v>21</v>
      </c>
      <c r="M1425" s="92"/>
      <c r="N1425" s="92"/>
      <c r="O1425" s="93">
        <f t="shared" si="1021"/>
        <v>0</v>
      </c>
      <c r="P1425" s="93">
        <f t="shared" si="1022"/>
        <v>0</v>
      </c>
      <c r="Q1425" s="94"/>
      <c r="R1425" s="92">
        <f t="shared" si="1023"/>
        <v>0</v>
      </c>
      <c r="S1425" s="92">
        <f t="shared" si="1024"/>
        <v>0</v>
      </c>
      <c r="T1425" s="93">
        <f t="shared" si="1025"/>
        <v>0</v>
      </c>
      <c r="U1425" s="95">
        <f t="shared" si="1026"/>
        <v>0</v>
      </c>
      <c r="V1425" s="94"/>
      <c r="X1425" s="580" t="str">
        <f t="shared" si="1027"/>
        <v/>
      </c>
      <c r="Y1425" s="580" t="str">
        <f t="shared" si="1028"/>
        <v/>
      </c>
      <c r="Z1425" s="580" t="str">
        <f t="shared" si="1029"/>
        <v/>
      </c>
    </row>
    <row r="1426" spans="1:26" ht="38.25" hidden="1" x14ac:dyDescent="0.2">
      <c r="A1426" s="97">
        <v>93145</v>
      </c>
      <c r="B1426" s="1031">
        <v>93145</v>
      </c>
      <c r="C1426" s="978" t="s">
        <v>883</v>
      </c>
      <c r="D1426" s="595" t="s">
        <v>1645</v>
      </c>
      <c r="E1426" s="596"/>
      <c r="F1426" s="671"/>
      <c r="G1426" s="597"/>
      <c r="H1426" s="682"/>
      <c r="I1426" s="592">
        <v>198.84</v>
      </c>
      <c r="J1426" s="592">
        <f t="shared" ref="J1426:J1487" si="1031">IF(ISBLANK(I1426),"",SUM(H1426:I1426))</f>
        <v>198.84</v>
      </c>
      <c r="K1426" s="593">
        <f t="shared" si="1030"/>
        <v>242.01</v>
      </c>
      <c r="L1426" s="594" t="s">
        <v>21</v>
      </c>
      <c r="M1426" s="92"/>
      <c r="N1426" s="92"/>
      <c r="O1426" s="93">
        <f t="shared" ref="O1426:O1487" si="1032">IF(ISBLANK(M1426),0,ROUND(K1426*M1426,2))</f>
        <v>0</v>
      </c>
      <c r="P1426" s="93">
        <f t="shared" ref="P1426:P1487" si="1033">IF(ISBLANK(N1426),0,ROUND(M1426*N1426,2))</f>
        <v>0</v>
      </c>
      <c r="Q1426" s="94"/>
      <c r="R1426" s="92">
        <f t="shared" ref="R1426:R1487" si="1034">M1426</f>
        <v>0</v>
      </c>
      <c r="S1426" s="92">
        <f t="shared" ref="S1426:S1487" si="1035">N1426</f>
        <v>0</v>
      </c>
      <c r="T1426" s="93">
        <f t="shared" ref="T1426:T1487" si="1036">IF(ISBLANK(R1426),0,ROUND(K1426*R1426,2))</f>
        <v>0</v>
      </c>
      <c r="U1426" s="95">
        <f t="shared" ref="U1426:U1487" si="1037">IF(ISBLANK(R1426),0,ROUND(R1426*S1426,2))</f>
        <v>0</v>
      </c>
      <c r="V1426" s="94"/>
      <c r="X1426" s="580" t="str">
        <f t="shared" ref="X1426:X1487" si="1038">IF(W1426="X","x",IF(W1426="xx","x",IF(W1426="xy","x",IF(W1426="y","x",IF(OR(P1426&gt;0,U1426&gt;0),"x","")))))</f>
        <v/>
      </c>
      <c r="Y1426" s="580" t="str">
        <f t="shared" ref="Y1426:Y1487" si="1039">IF(W1426="X","x",IF(W1426="y","x",IF(W1426="xx","x",IF(U1426&gt;0,"x",""))))</f>
        <v/>
      </c>
      <c r="Z1426" s="580" t="str">
        <f t="shared" ref="Z1426:Z1487" si="1040">IF(W1426="X","x",IF(U1426&gt;0,"x",""))</f>
        <v/>
      </c>
    </row>
    <row r="1427" spans="1:26" ht="38.25" hidden="1" x14ac:dyDescent="0.2">
      <c r="A1427" s="97">
        <v>93146</v>
      </c>
      <c r="B1427" s="1031">
        <v>93146</v>
      </c>
      <c r="C1427" s="978" t="s">
        <v>883</v>
      </c>
      <c r="D1427" s="595" t="s">
        <v>1646</v>
      </c>
      <c r="E1427" s="596"/>
      <c r="F1427" s="671"/>
      <c r="G1427" s="597"/>
      <c r="H1427" s="682"/>
      <c r="I1427" s="592">
        <v>214.97</v>
      </c>
      <c r="J1427" s="592">
        <f t="shared" si="1031"/>
        <v>214.97</v>
      </c>
      <c r="K1427" s="593">
        <f t="shared" si="1030"/>
        <v>261.64</v>
      </c>
      <c r="L1427" s="594" t="s">
        <v>21</v>
      </c>
      <c r="M1427" s="92"/>
      <c r="N1427" s="92"/>
      <c r="O1427" s="93">
        <f t="shared" si="1032"/>
        <v>0</v>
      </c>
      <c r="P1427" s="93">
        <f t="shared" si="1033"/>
        <v>0</v>
      </c>
      <c r="Q1427" s="94"/>
      <c r="R1427" s="92">
        <f t="shared" si="1034"/>
        <v>0</v>
      </c>
      <c r="S1427" s="92">
        <f t="shared" si="1035"/>
        <v>0</v>
      </c>
      <c r="T1427" s="93">
        <f t="shared" si="1036"/>
        <v>0</v>
      </c>
      <c r="U1427" s="95">
        <f t="shared" si="1037"/>
        <v>0</v>
      </c>
      <c r="V1427" s="94"/>
      <c r="X1427" s="580" t="str">
        <f t="shared" si="1038"/>
        <v/>
      </c>
      <c r="Y1427" s="580" t="str">
        <f t="shared" si="1039"/>
        <v/>
      </c>
      <c r="Z1427" s="580" t="str">
        <f t="shared" si="1040"/>
        <v/>
      </c>
    </row>
    <row r="1428" spans="1:26" ht="38.25" hidden="1" x14ac:dyDescent="0.2">
      <c r="A1428" s="97">
        <v>93147</v>
      </c>
      <c r="B1428" s="1031">
        <v>93147</v>
      </c>
      <c r="C1428" s="978" t="s">
        <v>883</v>
      </c>
      <c r="D1428" s="595" t="s">
        <v>1647</v>
      </c>
      <c r="E1428" s="596"/>
      <c r="F1428" s="671"/>
      <c r="G1428" s="597"/>
      <c r="H1428" s="682"/>
      <c r="I1428" s="592">
        <v>244.87</v>
      </c>
      <c r="J1428" s="592">
        <f t="shared" si="1031"/>
        <v>244.87</v>
      </c>
      <c r="K1428" s="593">
        <f t="shared" si="1030"/>
        <v>298.02999999999997</v>
      </c>
      <c r="L1428" s="594" t="s">
        <v>21</v>
      </c>
      <c r="M1428" s="92"/>
      <c r="N1428" s="92"/>
      <c r="O1428" s="93">
        <f t="shared" si="1032"/>
        <v>0</v>
      </c>
      <c r="P1428" s="93">
        <f t="shared" si="1033"/>
        <v>0</v>
      </c>
      <c r="Q1428" s="94"/>
      <c r="R1428" s="92">
        <f t="shared" si="1034"/>
        <v>0</v>
      </c>
      <c r="S1428" s="92">
        <f t="shared" si="1035"/>
        <v>0</v>
      </c>
      <c r="T1428" s="93">
        <f t="shared" si="1036"/>
        <v>0</v>
      </c>
      <c r="U1428" s="95">
        <f t="shared" si="1037"/>
        <v>0</v>
      </c>
      <c r="V1428" s="94"/>
      <c r="X1428" s="580" t="str">
        <f t="shared" si="1038"/>
        <v/>
      </c>
      <c r="Y1428" s="580" t="str">
        <f t="shared" si="1039"/>
        <v/>
      </c>
      <c r="Z1428" s="580" t="str">
        <f t="shared" si="1040"/>
        <v/>
      </c>
    </row>
    <row r="1429" spans="1:26" ht="38.25" hidden="1" x14ac:dyDescent="0.2">
      <c r="A1429" s="97">
        <v>93128</v>
      </c>
      <c r="B1429" s="1031">
        <v>93128</v>
      </c>
      <c r="C1429" s="978" t="s">
        <v>883</v>
      </c>
      <c r="D1429" s="595" t="s">
        <v>1648</v>
      </c>
      <c r="E1429" s="596"/>
      <c r="F1429" s="671"/>
      <c r="G1429" s="597"/>
      <c r="H1429" s="682"/>
      <c r="I1429" s="592">
        <v>135.29</v>
      </c>
      <c r="J1429" s="592">
        <f t="shared" si="1031"/>
        <v>135.29</v>
      </c>
      <c r="K1429" s="593">
        <f t="shared" si="1030"/>
        <v>164.66</v>
      </c>
      <c r="L1429" s="594" t="s">
        <v>21</v>
      </c>
      <c r="M1429" s="92"/>
      <c r="N1429" s="92"/>
      <c r="O1429" s="93">
        <f t="shared" si="1032"/>
        <v>0</v>
      </c>
      <c r="P1429" s="93">
        <f t="shared" si="1033"/>
        <v>0</v>
      </c>
      <c r="Q1429" s="94"/>
      <c r="R1429" s="92">
        <f t="shared" si="1034"/>
        <v>0</v>
      </c>
      <c r="S1429" s="92">
        <f t="shared" si="1035"/>
        <v>0</v>
      </c>
      <c r="T1429" s="93">
        <f t="shared" si="1036"/>
        <v>0</v>
      </c>
      <c r="U1429" s="95">
        <f t="shared" si="1037"/>
        <v>0</v>
      </c>
      <c r="V1429" s="94"/>
      <c r="X1429" s="580" t="str">
        <f t="shared" si="1038"/>
        <v/>
      </c>
      <c r="Y1429" s="580" t="str">
        <f t="shared" si="1039"/>
        <v/>
      </c>
      <c r="Z1429" s="580" t="str">
        <f t="shared" si="1040"/>
        <v/>
      </c>
    </row>
    <row r="1430" spans="1:26" ht="38.25" hidden="1" x14ac:dyDescent="0.2">
      <c r="A1430" s="97">
        <v>93137</v>
      </c>
      <c r="B1430" s="1031">
        <v>93137</v>
      </c>
      <c r="C1430" s="978" t="s">
        <v>883</v>
      </c>
      <c r="D1430" s="595" t="s">
        <v>1649</v>
      </c>
      <c r="E1430" s="596"/>
      <c r="F1430" s="671"/>
      <c r="G1430" s="597"/>
      <c r="H1430" s="682"/>
      <c r="I1430" s="592">
        <v>160.07</v>
      </c>
      <c r="J1430" s="592">
        <f t="shared" si="1031"/>
        <v>160.07</v>
      </c>
      <c r="K1430" s="593">
        <f t="shared" si="1030"/>
        <v>194.82</v>
      </c>
      <c r="L1430" s="594" t="s">
        <v>21</v>
      </c>
      <c r="M1430" s="92"/>
      <c r="N1430" s="92"/>
      <c r="O1430" s="93">
        <f t="shared" si="1032"/>
        <v>0</v>
      </c>
      <c r="P1430" s="93">
        <f t="shared" si="1033"/>
        <v>0</v>
      </c>
      <c r="Q1430" s="94"/>
      <c r="R1430" s="92">
        <f t="shared" si="1034"/>
        <v>0</v>
      </c>
      <c r="S1430" s="92">
        <f t="shared" si="1035"/>
        <v>0</v>
      </c>
      <c r="T1430" s="93">
        <f t="shared" si="1036"/>
        <v>0</v>
      </c>
      <c r="U1430" s="95">
        <f t="shared" si="1037"/>
        <v>0</v>
      </c>
      <c r="V1430" s="94"/>
      <c r="X1430" s="580" t="str">
        <f t="shared" si="1038"/>
        <v/>
      </c>
      <c r="Y1430" s="580" t="str">
        <f t="shared" si="1039"/>
        <v/>
      </c>
      <c r="Z1430" s="580" t="str">
        <f t="shared" si="1040"/>
        <v/>
      </c>
    </row>
    <row r="1431" spans="1:26" ht="38.25" hidden="1" x14ac:dyDescent="0.2">
      <c r="A1431" s="97">
        <v>93138</v>
      </c>
      <c r="B1431" s="1031">
        <v>93138</v>
      </c>
      <c r="C1431" s="978" t="s">
        <v>883</v>
      </c>
      <c r="D1431" s="595" t="s">
        <v>1650</v>
      </c>
      <c r="E1431" s="596"/>
      <c r="F1431" s="671"/>
      <c r="G1431" s="597"/>
      <c r="H1431" s="682"/>
      <c r="I1431" s="592">
        <v>151.43</v>
      </c>
      <c r="J1431" s="592">
        <f t="shared" si="1031"/>
        <v>151.43</v>
      </c>
      <c r="K1431" s="593">
        <f t="shared" si="1030"/>
        <v>184.31</v>
      </c>
      <c r="L1431" s="594" t="s">
        <v>21</v>
      </c>
      <c r="M1431" s="92"/>
      <c r="N1431" s="92"/>
      <c r="O1431" s="93">
        <f t="shared" si="1032"/>
        <v>0</v>
      </c>
      <c r="P1431" s="93">
        <f t="shared" si="1033"/>
        <v>0</v>
      </c>
      <c r="Q1431" s="94"/>
      <c r="R1431" s="92">
        <f t="shared" si="1034"/>
        <v>0</v>
      </c>
      <c r="S1431" s="92">
        <f t="shared" si="1035"/>
        <v>0</v>
      </c>
      <c r="T1431" s="93">
        <f t="shared" si="1036"/>
        <v>0</v>
      </c>
      <c r="U1431" s="95">
        <f t="shared" si="1037"/>
        <v>0</v>
      </c>
      <c r="V1431" s="94"/>
      <c r="X1431" s="580" t="str">
        <f t="shared" si="1038"/>
        <v/>
      </c>
      <c r="Y1431" s="580" t="str">
        <f t="shared" si="1039"/>
        <v/>
      </c>
      <c r="Z1431" s="580" t="str">
        <f t="shared" si="1040"/>
        <v/>
      </c>
    </row>
    <row r="1432" spans="1:26" ht="38.25" hidden="1" x14ac:dyDescent="0.2">
      <c r="A1432" s="97">
        <v>93139</v>
      </c>
      <c r="B1432" s="1031">
        <v>93139</v>
      </c>
      <c r="C1432" s="978" t="s">
        <v>883</v>
      </c>
      <c r="D1432" s="595" t="s">
        <v>1651</v>
      </c>
      <c r="E1432" s="596"/>
      <c r="F1432" s="671"/>
      <c r="G1432" s="597"/>
      <c r="H1432" s="682"/>
      <c r="I1432" s="592">
        <v>192.29</v>
      </c>
      <c r="J1432" s="592">
        <f t="shared" si="1031"/>
        <v>192.29</v>
      </c>
      <c r="K1432" s="593">
        <f t="shared" si="1030"/>
        <v>234.04</v>
      </c>
      <c r="L1432" s="594" t="s">
        <v>21</v>
      </c>
      <c r="M1432" s="92"/>
      <c r="N1432" s="92"/>
      <c r="O1432" s="93">
        <f t="shared" si="1032"/>
        <v>0</v>
      </c>
      <c r="P1432" s="93">
        <f t="shared" si="1033"/>
        <v>0</v>
      </c>
      <c r="Q1432" s="94"/>
      <c r="R1432" s="92">
        <f t="shared" si="1034"/>
        <v>0</v>
      </c>
      <c r="S1432" s="92">
        <f t="shared" si="1035"/>
        <v>0</v>
      </c>
      <c r="T1432" s="93">
        <f t="shared" si="1036"/>
        <v>0</v>
      </c>
      <c r="U1432" s="95">
        <f t="shared" si="1037"/>
        <v>0</v>
      </c>
      <c r="V1432" s="94"/>
      <c r="X1432" s="580" t="str">
        <f t="shared" si="1038"/>
        <v/>
      </c>
      <c r="Y1432" s="580" t="str">
        <f t="shared" si="1039"/>
        <v/>
      </c>
      <c r="Z1432" s="580" t="str">
        <f t="shared" si="1040"/>
        <v/>
      </c>
    </row>
    <row r="1433" spans="1:26" ht="38.25" hidden="1" x14ac:dyDescent="0.2">
      <c r="A1433" s="97">
        <v>93140</v>
      </c>
      <c r="B1433" s="1031">
        <v>93140</v>
      </c>
      <c r="C1433" s="978" t="s">
        <v>883</v>
      </c>
      <c r="D1433" s="595" t="s">
        <v>1652</v>
      </c>
      <c r="E1433" s="596"/>
      <c r="F1433" s="671"/>
      <c r="G1433" s="597"/>
      <c r="H1433" s="682"/>
      <c r="I1433" s="592">
        <v>181.28</v>
      </c>
      <c r="J1433" s="592">
        <f t="shared" si="1031"/>
        <v>181.28</v>
      </c>
      <c r="K1433" s="593">
        <f t="shared" si="1030"/>
        <v>220.64</v>
      </c>
      <c r="L1433" s="594" t="s">
        <v>21</v>
      </c>
      <c r="M1433" s="92"/>
      <c r="N1433" s="92"/>
      <c r="O1433" s="93">
        <f t="shared" si="1032"/>
        <v>0</v>
      </c>
      <c r="P1433" s="93">
        <f t="shared" si="1033"/>
        <v>0</v>
      </c>
      <c r="Q1433" s="94"/>
      <c r="R1433" s="92">
        <f t="shared" si="1034"/>
        <v>0</v>
      </c>
      <c r="S1433" s="92">
        <f t="shared" si="1035"/>
        <v>0</v>
      </c>
      <c r="T1433" s="93">
        <f t="shared" si="1036"/>
        <v>0</v>
      </c>
      <c r="U1433" s="95">
        <f t="shared" si="1037"/>
        <v>0</v>
      </c>
      <c r="V1433" s="94"/>
      <c r="X1433" s="580" t="str">
        <f t="shared" si="1038"/>
        <v/>
      </c>
      <c r="Y1433" s="580" t="str">
        <f t="shared" si="1039"/>
        <v/>
      </c>
      <c r="Z1433" s="580" t="str">
        <f t="shared" si="1040"/>
        <v/>
      </c>
    </row>
    <row r="1434" spans="1:26" ht="25.5" hidden="1" x14ac:dyDescent="0.2">
      <c r="A1434" s="97">
        <v>97595</v>
      </c>
      <c r="B1434" s="1031">
        <v>97595</v>
      </c>
      <c r="C1434" s="978" t="s">
        <v>883</v>
      </c>
      <c r="D1434" s="595" t="s">
        <v>1653</v>
      </c>
      <c r="E1434" s="596"/>
      <c r="F1434" s="671"/>
      <c r="G1434" s="597"/>
      <c r="H1434" s="682"/>
      <c r="I1434" s="592">
        <v>59.5</v>
      </c>
      <c r="J1434" s="592">
        <f t="shared" si="1031"/>
        <v>59.5</v>
      </c>
      <c r="K1434" s="593">
        <f t="shared" si="1030"/>
        <v>72.42</v>
      </c>
      <c r="L1434" s="594" t="s">
        <v>21</v>
      </c>
      <c r="M1434" s="92"/>
      <c r="N1434" s="92"/>
      <c r="O1434" s="93">
        <f t="shared" si="1032"/>
        <v>0</v>
      </c>
      <c r="P1434" s="93">
        <f t="shared" si="1033"/>
        <v>0</v>
      </c>
      <c r="Q1434" s="94"/>
      <c r="R1434" s="92">
        <f t="shared" si="1034"/>
        <v>0</v>
      </c>
      <c r="S1434" s="92">
        <f t="shared" si="1035"/>
        <v>0</v>
      </c>
      <c r="T1434" s="93">
        <f t="shared" si="1036"/>
        <v>0</v>
      </c>
      <c r="U1434" s="95">
        <f t="shared" si="1037"/>
        <v>0</v>
      </c>
      <c r="V1434" s="94"/>
      <c r="X1434" s="580" t="str">
        <f t="shared" si="1038"/>
        <v/>
      </c>
      <c r="Y1434" s="580" t="str">
        <f t="shared" si="1039"/>
        <v/>
      </c>
      <c r="Z1434" s="580" t="str">
        <f t="shared" si="1040"/>
        <v/>
      </c>
    </row>
    <row r="1435" spans="1:26" ht="25.5" hidden="1" x14ac:dyDescent="0.2">
      <c r="A1435" s="97">
        <v>97596</v>
      </c>
      <c r="B1435" s="1031">
        <v>97596</v>
      </c>
      <c r="C1435" s="978" t="s">
        <v>883</v>
      </c>
      <c r="D1435" s="595" t="s">
        <v>1654</v>
      </c>
      <c r="E1435" s="596"/>
      <c r="F1435" s="671"/>
      <c r="G1435" s="597"/>
      <c r="H1435" s="682"/>
      <c r="I1435" s="592">
        <v>44.02</v>
      </c>
      <c r="J1435" s="592">
        <f t="shared" si="1031"/>
        <v>44.02</v>
      </c>
      <c r="K1435" s="593">
        <f t="shared" si="1030"/>
        <v>53.58</v>
      </c>
      <c r="L1435" s="594" t="s">
        <v>21</v>
      </c>
      <c r="M1435" s="92"/>
      <c r="N1435" s="92"/>
      <c r="O1435" s="93">
        <f t="shared" si="1032"/>
        <v>0</v>
      </c>
      <c r="P1435" s="93">
        <f t="shared" si="1033"/>
        <v>0</v>
      </c>
      <c r="Q1435" s="94"/>
      <c r="R1435" s="92">
        <f t="shared" si="1034"/>
        <v>0</v>
      </c>
      <c r="S1435" s="92">
        <f t="shared" si="1035"/>
        <v>0</v>
      </c>
      <c r="T1435" s="93">
        <f t="shared" si="1036"/>
        <v>0</v>
      </c>
      <c r="U1435" s="95">
        <f t="shared" si="1037"/>
        <v>0</v>
      </c>
      <c r="V1435" s="94"/>
      <c r="X1435" s="580" t="str">
        <f t="shared" si="1038"/>
        <v/>
      </c>
      <c r="Y1435" s="580" t="str">
        <f t="shared" si="1039"/>
        <v/>
      </c>
      <c r="Z1435" s="580" t="str">
        <f t="shared" si="1040"/>
        <v/>
      </c>
    </row>
    <row r="1436" spans="1:26" ht="25.5" hidden="1" x14ac:dyDescent="0.2">
      <c r="A1436" s="97">
        <v>97597</v>
      </c>
      <c r="B1436" s="1031">
        <v>97597</v>
      </c>
      <c r="C1436" s="978" t="s">
        <v>883</v>
      </c>
      <c r="D1436" s="595" t="s">
        <v>1655</v>
      </c>
      <c r="E1436" s="596"/>
      <c r="F1436" s="671"/>
      <c r="G1436" s="597"/>
      <c r="H1436" s="682"/>
      <c r="I1436" s="592">
        <v>40.840000000000003</v>
      </c>
      <c r="J1436" s="592">
        <f t="shared" si="1031"/>
        <v>40.840000000000003</v>
      </c>
      <c r="K1436" s="593">
        <f t="shared" si="1030"/>
        <v>49.71</v>
      </c>
      <c r="L1436" s="594" t="s">
        <v>21</v>
      </c>
      <c r="M1436" s="92"/>
      <c r="N1436" s="92"/>
      <c r="O1436" s="93">
        <f t="shared" si="1032"/>
        <v>0</v>
      </c>
      <c r="P1436" s="93">
        <f t="shared" si="1033"/>
        <v>0</v>
      </c>
      <c r="Q1436" s="94"/>
      <c r="R1436" s="92">
        <f t="shared" si="1034"/>
        <v>0</v>
      </c>
      <c r="S1436" s="92">
        <f t="shared" si="1035"/>
        <v>0</v>
      </c>
      <c r="T1436" s="93">
        <f t="shared" si="1036"/>
        <v>0</v>
      </c>
      <c r="U1436" s="95">
        <f t="shared" si="1037"/>
        <v>0</v>
      </c>
      <c r="V1436" s="94"/>
      <c r="X1436" s="580" t="str">
        <f t="shared" si="1038"/>
        <v/>
      </c>
      <c r="Y1436" s="580" t="str">
        <f t="shared" si="1039"/>
        <v/>
      </c>
      <c r="Z1436" s="580" t="str">
        <f t="shared" si="1040"/>
        <v/>
      </c>
    </row>
    <row r="1437" spans="1:26" ht="25.5" hidden="1" x14ac:dyDescent="0.2">
      <c r="A1437" s="97">
        <v>97598</v>
      </c>
      <c r="B1437" s="1031">
        <v>97598</v>
      </c>
      <c r="C1437" s="978" t="s">
        <v>883</v>
      </c>
      <c r="D1437" s="595" t="s">
        <v>1656</v>
      </c>
      <c r="E1437" s="596"/>
      <c r="F1437" s="671"/>
      <c r="G1437" s="597"/>
      <c r="H1437" s="682"/>
      <c r="I1437" s="592">
        <v>38.869999999999997</v>
      </c>
      <c r="J1437" s="592">
        <f t="shared" si="1031"/>
        <v>38.869999999999997</v>
      </c>
      <c r="K1437" s="593">
        <f t="shared" si="1030"/>
        <v>47.31</v>
      </c>
      <c r="L1437" s="594" t="s">
        <v>21</v>
      </c>
      <c r="M1437" s="92"/>
      <c r="N1437" s="92"/>
      <c r="O1437" s="93">
        <f t="shared" si="1032"/>
        <v>0</v>
      </c>
      <c r="P1437" s="93">
        <f t="shared" si="1033"/>
        <v>0</v>
      </c>
      <c r="Q1437" s="94"/>
      <c r="R1437" s="92">
        <f t="shared" si="1034"/>
        <v>0</v>
      </c>
      <c r="S1437" s="92">
        <f t="shared" si="1035"/>
        <v>0</v>
      </c>
      <c r="T1437" s="93">
        <f t="shared" si="1036"/>
        <v>0</v>
      </c>
      <c r="U1437" s="95">
        <f t="shared" si="1037"/>
        <v>0</v>
      </c>
      <c r="V1437" s="94"/>
      <c r="X1437" s="580" t="str">
        <f t="shared" si="1038"/>
        <v/>
      </c>
      <c r="Y1437" s="580" t="str">
        <f t="shared" si="1039"/>
        <v/>
      </c>
      <c r="Z1437" s="580" t="str">
        <f t="shared" si="1040"/>
        <v/>
      </c>
    </row>
    <row r="1438" spans="1:26" ht="25.5" hidden="1" x14ac:dyDescent="0.2">
      <c r="A1438" s="97">
        <v>97599</v>
      </c>
      <c r="B1438" s="1031">
        <v>97599</v>
      </c>
      <c r="C1438" s="978" t="s">
        <v>883</v>
      </c>
      <c r="D1438" s="595" t="s">
        <v>1657</v>
      </c>
      <c r="E1438" s="596"/>
      <c r="F1438" s="671"/>
      <c r="G1438" s="597"/>
      <c r="H1438" s="682"/>
      <c r="I1438" s="592">
        <v>30.74</v>
      </c>
      <c r="J1438" s="592">
        <f t="shared" si="1031"/>
        <v>30.74</v>
      </c>
      <c r="K1438" s="593">
        <f t="shared" si="1030"/>
        <v>37.409999999999997</v>
      </c>
      <c r="L1438" s="594" t="s">
        <v>21</v>
      </c>
      <c r="M1438" s="92"/>
      <c r="N1438" s="92"/>
      <c r="O1438" s="93">
        <f t="shared" si="1032"/>
        <v>0</v>
      </c>
      <c r="P1438" s="93">
        <f t="shared" si="1033"/>
        <v>0</v>
      </c>
      <c r="Q1438" s="94"/>
      <c r="R1438" s="92">
        <f t="shared" si="1034"/>
        <v>0</v>
      </c>
      <c r="S1438" s="92">
        <f t="shared" si="1035"/>
        <v>0</v>
      </c>
      <c r="T1438" s="93">
        <f t="shared" si="1036"/>
        <v>0</v>
      </c>
      <c r="U1438" s="95">
        <f t="shared" si="1037"/>
        <v>0</v>
      </c>
      <c r="V1438" s="94"/>
      <c r="X1438" s="580" t="str">
        <f t="shared" si="1038"/>
        <v/>
      </c>
      <c r="Y1438" s="580" t="str">
        <f t="shared" si="1039"/>
        <v/>
      </c>
      <c r="Z1438" s="580" t="str">
        <f t="shared" si="1040"/>
        <v/>
      </c>
    </row>
    <row r="1439" spans="1:26" ht="25.5" hidden="1" x14ac:dyDescent="0.2">
      <c r="A1439" s="97">
        <v>97583</v>
      </c>
      <c r="B1439" s="1031">
        <v>97583</v>
      </c>
      <c r="C1439" s="978" t="s">
        <v>883</v>
      </c>
      <c r="D1439" s="595" t="s">
        <v>1658</v>
      </c>
      <c r="E1439" s="596"/>
      <c r="F1439" s="671"/>
      <c r="G1439" s="597"/>
      <c r="H1439" s="682"/>
      <c r="I1439" s="592">
        <v>48.35</v>
      </c>
      <c r="J1439" s="592">
        <f t="shared" si="1031"/>
        <v>48.35</v>
      </c>
      <c r="K1439" s="593">
        <f t="shared" si="1030"/>
        <v>58.85</v>
      </c>
      <c r="L1439" s="594" t="s">
        <v>21</v>
      </c>
      <c r="M1439" s="92"/>
      <c r="N1439" s="92"/>
      <c r="O1439" s="93">
        <f t="shared" si="1032"/>
        <v>0</v>
      </c>
      <c r="P1439" s="93">
        <f t="shared" si="1033"/>
        <v>0</v>
      </c>
      <c r="Q1439" s="94"/>
      <c r="R1439" s="92">
        <f t="shared" si="1034"/>
        <v>0</v>
      </c>
      <c r="S1439" s="92">
        <f t="shared" si="1035"/>
        <v>0</v>
      </c>
      <c r="T1439" s="93">
        <f t="shared" si="1036"/>
        <v>0</v>
      </c>
      <c r="U1439" s="95">
        <f t="shared" si="1037"/>
        <v>0</v>
      </c>
      <c r="V1439" s="94"/>
      <c r="X1439" s="580" t="str">
        <f t="shared" si="1038"/>
        <v/>
      </c>
      <c r="Y1439" s="580" t="str">
        <f t="shared" si="1039"/>
        <v/>
      </c>
      <c r="Z1439" s="580" t="str">
        <f t="shared" si="1040"/>
        <v/>
      </c>
    </row>
    <row r="1440" spans="1:26" ht="25.5" hidden="1" x14ac:dyDescent="0.2">
      <c r="A1440" s="97">
        <v>101662</v>
      </c>
      <c r="B1440" s="1031">
        <v>101662</v>
      </c>
      <c r="C1440" s="978" t="s">
        <v>883</v>
      </c>
      <c r="D1440" s="595" t="s">
        <v>1659</v>
      </c>
      <c r="E1440" s="596"/>
      <c r="F1440" s="671"/>
      <c r="G1440" s="597"/>
      <c r="H1440" s="682"/>
      <c r="I1440" s="592">
        <v>398.04</v>
      </c>
      <c r="J1440" s="592">
        <f t="shared" si="1031"/>
        <v>398.04</v>
      </c>
      <c r="K1440" s="593">
        <f t="shared" si="1030"/>
        <v>484.45</v>
      </c>
      <c r="L1440" s="594" t="s">
        <v>21</v>
      </c>
      <c r="M1440" s="92"/>
      <c r="N1440" s="92"/>
      <c r="O1440" s="93">
        <f t="shared" si="1032"/>
        <v>0</v>
      </c>
      <c r="P1440" s="93">
        <f t="shared" si="1033"/>
        <v>0</v>
      </c>
      <c r="Q1440" s="94"/>
      <c r="R1440" s="92">
        <f t="shared" si="1034"/>
        <v>0</v>
      </c>
      <c r="S1440" s="92">
        <f t="shared" si="1035"/>
        <v>0</v>
      </c>
      <c r="T1440" s="93">
        <f t="shared" si="1036"/>
        <v>0</v>
      </c>
      <c r="U1440" s="95">
        <f t="shared" si="1037"/>
        <v>0</v>
      </c>
      <c r="V1440" s="94"/>
      <c r="X1440" s="580" t="str">
        <f t="shared" si="1038"/>
        <v/>
      </c>
      <c r="Y1440" s="580" t="str">
        <f t="shared" si="1039"/>
        <v/>
      </c>
      <c r="Z1440" s="580" t="str">
        <f t="shared" si="1040"/>
        <v/>
      </c>
    </row>
    <row r="1441" spans="1:26" ht="25.5" hidden="1" x14ac:dyDescent="0.2">
      <c r="A1441" s="97">
        <v>101652</v>
      </c>
      <c r="B1441" s="1031">
        <v>101652</v>
      </c>
      <c r="C1441" s="978" t="s">
        <v>883</v>
      </c>
      <c r="D1441" s="595" t="s">
        <v>1660</v>
      </c>
      <c r="E1441" s="596"/>
      <c r="F1441" s="671"/>
      <c r="G1441" s="597"/>
      <c r="H1441" s="682"/>
      <c r="I1441" s="592">
        <v>276.89</v>
      </c>
      <c r="J1441" s="592">
        <f t="shared" si="1031"/>
        <v>276.89</v>
      </c>
      <c r="K1441" s="593">
        <f t="shared" si="1030"/>
        <v>337</v>
      </c>
      <c r="L1441" s="594" t="s">
        <v>21</v>
      </c>
      <c r="M1441" s="92"/>
      <c r="N1441" s="92"/>
      <c r="O1441" s="93">
        <f t="shared" si="1032"/>
        <v>0</v>
      </c>
      <c r="P1441" s="93">
        <f t="shared" si="1033"/>
        <v>0</v>
      </c>
      <c r="Q1441" s="94"/>
      <c r="R1441" s="92">
        <f t="shared" si="1034"/>
        <v>0</v>
      </c>
      <c r="S1441" s="92">
        <f t="shared" si="1035"/>
        <v>0</v>
      </c>
      <c r="T1441" s="93">
        <f t="shared" si="1036"/>
        <v>0</v>
      </c>
      <c r="U1441" s="95">
        <f t="shared" si="1037"/>
        <v>0</v>
      </c>
      <c r="V1441" s="94"/>
      <c r="X1441" s="580" t="str">
        <f t="shared" si="1038"/>
        <v/>
      </c>
      <c r="Y1441" s="580" t="str">
        <f t="shared" si="1039"/>
        <v/>
      </c>
      <c r="Z1441" s="580" t="str">
        <f t="shared" si="1040"/>
        <v/>
      </c>
    </row>
    <row r="1442" spans="1:26" ht="51" hidden="1" x14ac:dyDescent="0.2">
      <c r="A1442" s="97">
        <v>101653</v>
      </c>
      <c r="B1442" s="1031">
        <v>101653</v>
      </c>
      <c r="C1442" s="978" t="s">
        <v>883</v>
      </c>
      <c r="D1442" s="595" t="s">
        <v>1661</v>
      </c>
      <c r="E1442" s="596"/>
      <c r="F1442" s="671"/>
      <c r="G1442" s="597"/>
      <c r="H1442" s="682"/>
      <c r="I1442" s="592">
        <v>182.08</v>
      </c>
      <c r="J1442" s="592">
        <f t="shared" si="1031"/>
        <v>182.08</v>
      </c>
      <c r="K1442" s="593">
        <f t="shared" si="1030"/>
        <v>221.61</v>
      </c>
      <c r="L1442" s="594" t="s">
        <v>21</v>
      </c>
      <c r="M1442" s="92"/>
      <c r="N1442" s="92"/>
      <c r="O1442" s="93">
        <f t="shared" si="1032"/>
        <v>0</v>
      </c>
      <c r="P1442" s="93">
        <f t="shared" si="1033"/>
        <v>0</v>
      </c>
      <c r="Q1442" s="94"/>
      <c r="R1442" s="92">
        <f t="shared" si="1034"/>
        <v>0</v>
      </c>
      <c r="S1442" s="92">
        <f t="shared" si="1035"/>
        <v>0</v>
      </c>
      <c r="T1442" s="93">
        <f t="shared" si="1036"/>
        <v>0</v>
      </c>
      <c r="U1442" s="95">
        <f t="shared" si="1037"/>
        <v>0</v>
      </c>
      <c r="V1442" s="94"/>
      <c r="X1442" s="580" t="str">
        <f t="shared" si="1038"/>
        <v/>
      </c>
      <c r="Y1442" s="580" t="str">
        <f t="shared" si="1039"/>
        <v/>
      </c>
      <c r="Z1442" s="580" t="str">
        <f t="shared" si="1040"/>
        <v/>
      </c>
    </row>
    <row r="1443" spans="1:26" ht="25.5" hidden="1" x14ac:dyDescent="0.2">
      <c r="A1443" s="97">
        <v>97584</v>
      </c>
      <c r="B1443" s="1031">
        <v>97584</v>
      </c>
      <c r="C1443" s="978" t="s">
        <v>883</v>
      </c>
      <c r="D1443" s="595" t="s">
        <v>1662</v>
      </c>
      <c r="E1443" s="596"/>
      <c r="F1443" s="671"/>
      <c r="G1443" s="597"/>
      <c r="H1443" s="682"/>
      <c r="I1443" s="592">
        <v>65.52</v>
      </c>
      <c r="J1443" s="592">
        <f t="shared" si="1031"/>
        <v>65.52</v>
      </c>
      <c r="K1443" s="593">
        <f t="shared" si="1030"/>
        <v>79.739999999999995</v>
      </c>
      <c r="L1443" s="594" t="s">
        <v>21</v>
      </c>
      <c r="M1443" s="92"/>
      <c r="N1443" s="92"/>
      <c r="O1443" s="93">
        <f t="shared" si="1032"/>
        <v>0</v>
      </c>
      <c r="P1443" s="93">
        <f t="shared" si="1033"/>
        <v>0</v>
      </c>
      <c r="Q1443" s="94"/>
      <c r="R1443" s="92">
        <f t="shared" si="1034"/>
        <v>0</v>
      </c>
      <c r="S1443" s="92">
        <f t="shared" si="1035"/>
        <v>0</v>
      </c>
      <c r="T1443" s="93">
        <f t="shared" si="1036"/>
        <v>0</v>
      </c>
      <c r="U1443" s="95">
        <f t="shared" si="1037"/>
        <v>0</v>
      </c>
      <c r="V1443" s="94"/>
      <c r="X1443" s="580" t="str">
        <f t="shared" si="1038"/>
        <v/>
      </c>
      <c r="Y1443" s="580" t="str">
        <f t="shared" si="1039"/>
        <v/>
      </c>
      <c r="Z1443" s="580" t="str">
        <f t="shared" si="1040"/>
        <v/>
      </c>
    </row>
    <row r="1444" spans="1:26" ht="25.5" hidden="1" x14ac:dyDescent="0.2">
      <c r="A1444" s="97">
        <v>97585</v>
      </c>
      <c r="B1444" s="1031">
        <v>97585</v>
      </c>
      <c r="C1444" s="978" t="s">
        <v>883</v>
      </c>
      <c r="D1444" s="595" t="s">
        <v>1663</v>
      </c>
      <c r="E1444" s="596"/>
      <c r="F1444" s="671"/>
      <c r="G1444" s="597"/>
      <c r="H1444" s="682"/>
      <c r="I1444" s="592">
        <v>63.96</v>
      </c>
      <c r="J1444" s="592">
        <f t="shared" si="1031"/>
        <v>63.96</v>
      </c>
      <c r="K1444" s="593">
        <f t="shared" si="1030"/>
        <v>77.849999999999994</v>
      </c>
      <c r="L1444" s="594" t="s">
        <v>21</v>
      </c>
      <c r="M1444" s="92"/>
      <c r="N1444" s="92"/>
      <c r="O1444" s="93">
        <f t="shared" si="1032"/>
        <v>0</v>
      </c>
      <c r="P1444" s="93">
        <f t="shared" si="1033"/>
        <v>0</v>
      </c>
      <c r="Q1444" s="94"/>
      <c r="R1444" s="92">
        <f t="shared" si="1034"/>
        <v>0</v>
      </c>
      <c r="S1444" s="92">
        <f t="shared" si="1035"/>
        <v>0</v>
      </c>
      <c r="T1444" s="93">
        <f t="shared" si="1036"/>
        <v>0</v>
      </c>
      <c r="U1444" s="95">
        <f t="shared" si="1037"/>
        <v>0</v>
      </c>
      <c r="V1444" s="94"/>
      <c r="X1444" s="580" t="str">
        <f t="shared" si="1038"/>
        <v/>
      </c>
      <c r="Y1444" s="580" t="str">
        <f t="shared" si="1039"/>
        <v/>
      </c>
      <c r="Z1444" s="580" t="str">
        <f t="shared" si="1040"/>
        <v/>
      </c>
    </row>
    <row r="1445" spans="1:26" ht="25.5" hidden="1" x14ac:dyDescent="0.2">
      <c r="A1445" s="97">
        <v>97586</v>
      </c>
      <c r="B1445" s="1031">
        <v>97586</v>
      </c>
      <c r="C1445" s="978" t="s">
        <v>883</v>
      </c>
      <c r="D1445" s="595" t="s">
        <v>1664</v>
      </c>
      <c r="E1445" s="596"/>
      <c r="F1445" s="671"/>
      <c r="G1445" s="597"/>
      <c r="H1445" s="682"/>
      <c r="I1445" s="592">
        <v>84.7</v>
      </c>
      <c r="J1445" s="592">
        <f t="shared" si="1031"/>
        <v>84.7</v>
      </c>
      <c r="K1445" s="593">
        <f t="shared" si="1030"/>
        <v>103.09</v>
      </c>
      <c r="L1445" s="594" t="s">
        <v>21</v>
      </c>
      <c r="M1445" s="92"/>
      <c r="N1445" s="92"/>
      <c r="O1445" s="93">
        <f t="shared" si="1032"/>
        <v>0</v>
      </c>
      <c r="P1445" s="93">
        <f t="shared" si="1033"/>
        <v>0</v>
      </c>
      <c r="Q1445" s="94"/>
      <c r="R1445" s="92">
        <f t="shared" si="1034"/>
        <v>0</v>
      </c>
      <c r="S1445" s="92">
        <f t="shared" si="1035"/>
        <v>0</v>
      </c>
      <c r="T1445" s="93">
        <f t="shared" si="1036"/>
        <v>0</v>
      </c>
      <c r="U1445" s="95">
        <f t="shared" si="1037"/>
        <v>0</v>
      </c>
      <c r="V1445" s="94"/>
      <c r="X1445" s="580" t="str">
        <f t="shared" si="1038"/>
        <v/>
      </c>
      <c r="Y1445" s="580" t="str">
        <f t="shared" si="1039"/>
        <v/>
      </c>
      <c r="Z1445" s="580" t="str">
        <f t="shared" si="1040"/>
        <v/>
      </c>
    </row>
    <row r="1446" spans="1:26" ht="25.5" hidden="1" x14ac:dyDescent="0.2">
      <c r="A1446" s="97">
        <v>97587</v>
      </c>
      <c r="B1446" s="1031">
        <v>97587</v>
      </c>
      <c r="C1446" s="978" t="s">
        <v>883</v>
      </c>
      <c r="D1446" s="595" t="s">
        <v>1665</v>
      </c>
      <c r="E1446" s="596"/>
      <c r="F1446" s="671"/>
      <c r="G1446" s="597"/>
      <c r="H1446" s="682"/>
      <c r="I1446" s="592">
        <v>148.69999999999999</v>
      </c>
      <c r="J1446" s="592">
        <f t="shared" si="1031"/>
        <v>148.69999999999999</v>
      </c>
      <c r="K1446" s="593">
        <f t="shared" si="1030"/>
        <v>180.98</v>
      </c>
      <c r="L1446" s="594" t="s">
        <v>21</v>
      </c>
      <c r="M1446" s="92"/>
      <c r="N1446" s="92"/>
      <c r="O1446" s="93">
        <f t="shared" si="1032"/>
        <v>0</v>
      </c>
      <c r="P1446" s="93">
        <f t="shared" si="1033"/>
        <v>0</v>
      </c>
      <c r="Q1446" s="94"/>
      <c r="R1446" s="92">
        <f t="shared" si="1034"/>
        <v>0</v>
      </c>
      <c r="S1446" s="92">
        <f t="shared" si="1035"/>
        <v>0</v>
      </c>
      <c r="T1446" s="93">
        <f t="shared" si="1036"/>
        <v>0</v>
      </c>
      <c r="U1446" s="95">
        <f t="shared" si="1037"/>
        <v>0</v>
      </c>
      <c r="V1446" s="94"/>
      <c r="X1446" s="580" t="str">
        <f t="shared" si="1038"/>
        <v/>
      </c>
      <c r="Y1446" s="580" t="str">
        <f t="shared" si="1039"/>
        <v/>
      </c>
      <c r="Z1446" s="580" t="str">
        <f t="shared" si="1040"/>
        <v/>
      </c>
    </row>
    <row r="1447" spans="1:26" ht="25.5" hidden="1" x14ac:dyDescent="0.2">
      <c r="A1447" s="97">
        <v>97589</v>
      </c>
      <c r="B1447" s="1031">
        <v>97589</v>
      </c>
      <c r="C1447" s="978" t="s">
        <v>883</v>
      </c>
      <c r="D1447" s="595" t="s">
        <v>1666</v>
      </c>
      <c r="E1447" s="596"/>
      <c r="F1447" s="671"/>
      <c r="G1447" s="597"/>
      <c r="H1447" s="682"/>
      <c r="I1447" s="592">
        <v>35.93</v>
      </c>
      <c r="J1447" s="592">
        <f t="shared" si="1031"/>
        <v>35.93</v>
      </c>
      <c r="K1447" s="593">
        <f t="shared" si="1030"/>
        <v>43.73</v>
      </c>
      <c r="L1447" s="594" t="s">
        <v>21</v>
      </c>
      <c r="M1447" s="92"/>
      <c r="N1447" s="92"/>
      <c r="O1447" s="93">
        <f t="shared" si="1032"/>
        <v>0</v>
      </c>
      <c r="P1447" s="93">
        <f t="shared" si="1033"/>
        <v>0</v>
      </c>
      <c r="Q1447" s="94"/>
      <c r="R1447" s="92">
        <f t="shared" si="1034"/>
        <v>0</v>
      </c>
      <c r="S1447" s="92">
        <f t="shared" si="1035"/>
        <v>0</v>
      </c>
      <c r="T1447" s="93">
        <f t="shared" si="1036"/>
        <v>0</v>
      </c>
      <c r="U1447" s="95">
        <f t="shared" si="1037"/>
        <v>0</v>
      </c>
      <c r="V1447" s="94"/>
      <c r="X1447" s="580" t="str">
        <f t="shared" si="1038"/>
        <v/>
      </c>
      <c r="Y1447" s="580" t="str">
        <f t="shared" si="1039"/>
        <v/>
      </c>
      <c r="Z1447" s="580" t="str">
        <f t="shared" si="1040"/>
        <v/>
      </c>
    </row>
    <row r="1448" spans="1:26" ht="25.5" hidden="1" x14ac:dyDescent="0.2">
      <c r="A1448" s="97">
        <v>97590</v>
      </c>
      <c r="B1448" s="1031">
        <v>97590</v>
      </c>
      <c r="C1448" s="978" t="s">
        <v>883</v>
      </c>
      <c r="D1448" s="595" t="s">
        <v>1667</v>
      </c>
      <c r="E1448" s="596"/>
      <c r="F1448" s="671"/>
      <c r="G1448" s="597"/>
      <c r="H1448" s="682"/>
      <c r="I1448" s="592">
        <v>64.58</v>
      </c>
      <c r="J1448" s="592">
        <f t="shared" si="1031"/>
        <v>64.58</v>
      </c>
      <c r="K1448" s="593">
        <f t="shared" si="1030"/>
        <v>78.599999999999994</v>
      </c>
      <c r="L1448" s="594" t="s">
        <v>21</v>
      </c>
      <c r="M1448" s="92"/>
      <c r="N1448" s="92"/>
      <c r="O1448" s="93">
        <f t="shared" si="1032"/>
        <v>0</v>
      </c>
      <c r="P1448" s="93">
        <f t="shared" si="1033"/>
        <v>0</v>
      </c>
      <c r="Q1448" s="94"/>
      <c r="R1448" s="92">
        <f t="shared" si="1034"/>
        <v>0</v>
      </c>
      <c r="S1448" s="92">
        <f t="shared" si="1035"/>
        <v>0</v>
      </c>
      <c r="T1448" s="93">
        <f t="shared" si="1036"/>
        <v>0</v>
      </c>
      <c r="U1448" s="95">
        <f t="shared" si="1037"/>
        <v>0</v>
      </c>
      <c r="V1448" s="94"/>
      <c r="X1448" s="580" t="str">
        <f t="shared" si="1038"/>
        <v/>
      </c>
      <c r="Y1448" s="580" t="str">
        <f t="shared" si="1039"/>
        <v/>
      </c>
      <c r="Z1448" s="580" t="str">
        <f t="shared" si="1040"/>
        <v/>
      </c>
    </row>
    <row r="1449" spans="1:26" ht="25.5" hidden="1" x14ac:dyDescent="0.2">
      <c r="A1449" s="97">
        <v>97591</v>
      </c>
      <c r="B1449" s="1031">
        <v>97591</v>
      </c>
      <c r="C1449" s="978" t="s">
        <v>883</v>
      </c>
      <c r="D1449" s="595" t="s">
        <v>1668</v>
      </c>
      <c r="E1449" s="596"/>
      <c r="F1449" s="671"/>
      <c r="G1449" s="597"/>
      <c r="H1449" s="682"/>
      <c r="I1449" s="592">
        <v>89.46</v>
      </c>
      <c r="J1449" s="592">
        <f t="shared" si="1031"/>
        <v>89.46</v>
      </c>
      <c r="K1449" s="593">
        <f t="shared" si="1030"/>
        <v>108.88</v>
      </c>
      <c r="L1449" s="594" t="s">
        <v>21</v>
      </c>
      <c r="M1449" s="92"/>
      <c r="N1449" s="92"/>
      <c r="O1449" s="93">
        <f t="shared" si="1032"/>
        <v>0</v>
      </c>
      <c r="P1449" s="93">
        <f t="shared" si="1033"/>
        <v>0</v>
      </c>
      <c r="Q1449" s="94"/>
      <c r="R1449" s="92">
        <f t="shared" si="1034"/>
        <v>0</v>
      </c>
      <c r="S1449" s="92">
        <f t="shared" si="1035"/>
        <v>0</v>
      </c>
      <c r="T1449" s="93">
        <f t="shared" si="1036"/>
        <v>0</v>
      </c>
      <c r="U1449" s="95">
        <f t="shared" si="1037"/>
        <v>0</v>
      </c>
      <c r="V1449" s="94"/>
      <c r="X1449" s="580" t="str">
        <f t="shared" si="1038"/>
        <v/>
      </c>
      <c r="Y1449" s="580" t="str">
        <f t="shared" si="1039"/>
        <v/>
      </c>
      <c r="Z1449" s="580" t="str">
        <f t="shared" si="1040"/>
        <v/>
      </c>
    </row>
    <row r="1450" spans="1:26" ht="25.5" hidden="1" x14ac:dyDescent="0.2">
      <c r="A1450" s="97">
        <v>97592</v>
      </c>
      <c r="B1450" s="1031">
        <v>97592</v>
      </c>
      <c r="C1450" s="978" t="s">
        <v>883</v>
      </c>
      <c r="D1450" s="595" t="s">
        <v>1669</v>
      </c>
      <c r="E1450" s="596"/>
      <c r="F1450" s="671"/>
      <c r="G1450" s="597"/>
      <c r="H1450" s="682"/>
      <c r="I1450" s="592">
        <v>40.58</v>
      </c>
      <c r="J1450" s="592">
        <f t="shared" si="1031"/>
        <v>40.58</v>
      </c>
      <c r="K1450" s="593">
        <f t="shared" si="1030"/>
        <v>49.39</v>
      </c>
      <c r="L1450" s="594" t="s">
        <v>21</v>
      </c>
      <c r="M1450" s="92"/>
      <c r="N1450" s="92"/>
      <c r="O1450" s="93">
        <f t="shared" si="1032"/>
        <v>0</v>
      </c>
      <c r="P1450" s="93">
        <f t="shared" si="1033"/>
        <v>0</v>
      </c>
      <c r="Q1450" s="94"/>
      <c r="R1450" s="92">
        <f t="shared" si="1034"/>
        <v>0</v>
      </c>
      <c r="S1450" s="92">
        <f t="shared" si="1035"/>
        <v>0</v>
      </c>
      <c r="T1450" s="93">
        <f t="shared" si="1036"/>
        <v>0</v>
      </c>
      <c r="U1450" s="95">
        <f t="shared" si="1037"/>
        <v>0</v>
      </c>
      <c r="V1450" s="94"/>
      <c r="X1450" s="580" t="str">
        <f t="shared" si="1038"/>
        <v/>
      </c>
      <c r="Y1450" s="580" t="str">
        <f t="shared" si="1039"/>
        <v/>
      </c>
      <c r="Z1450" s="580" t="str">
        <f t="shared" si="1040"/>
        <v/>
      </c>
    </row>
    <row r="1451" spans="1:26" ht="25.5" hidden="1" x14ac:dyDescent="0.2">
      <c r="A1451" s="97">
        <v>97593</v>
      </c>
      <c r="B1451" s="1031">
        <v>97593</v>
      </c>
      <c r="C1451" s="978" t="s">
        <v>883</v>
      </c>
      <c r="D1451" s="595" t="s">
        <v>1670</v>
      </c>
      <c r="E1451" s="596"/>
      <c r="F1451" s="671"/>
      <c r="G1451" s="597"/>
      <c r="H1451" s="682"/>
      <c r="I1451" s="592">
        <v>85.28</v>
      </c>
      <c r="J1451" s="592">
        <f t="shared" si="1031"/>
        <v>85.28</v>
      </c>
      <c r="K1451" s="593">
        <f t="shared" si="1030"/>
        <v>103.79</v>
      </c>
      <c r="L1451" s="594" t="s">
        <v>21</v>
      </c>
      <c r="M1451" s="92"/>
      <c r="N1451" s="92"/>
      <c r="O1451" s="93">
        <f t="shared" si="1032"/>
        <v>0</v>
      </c>
      <c r="P1451" s="93">
        <f t="shared" si="1033"/>
        <v>0</v>
      </c>
      <c r="Q1451" s="94"/>
      <c r="R1451" s="92">
        <f t="shared" si="1034"/>
        <v>0</v>
      </c>
      <c r="S1451" s="92">
        <f t="shared" si="1035"/>
        <v>0</v>
      </c>
      <c r="T1451" s="93">
        <f t="shared" si="1036"/>
        <v>0</v>
      </c>
      <c r="U1451" s="95">
        <f t="shared" si="1037"/>
        <v>0</v>
      </c>
      <c r="V1451" s="94"/>
      <c r="X1451" s="580" t="str">
        <f t="shared" si="1038"/>
        <v/>
      </c>
      <c r="Y1451" s="580" t="str">
        <f t="shared" si="1039"/>
        <v/>
      </c>
      <c r="Z1451" s="580" t="str">
        <f t="shared" si="1040"/>
        <v/>
      </c>
    </row>
    <row r="1452" spans="1:26" ht="25.5" hidden="1" x14ac:dyDescent="0.2">
      <c r="A1452" s="97">
        <v>97594</v>
      </c>
      <c r="B1452" s="1031">
        <v>97594</v>
      </c>
      <c r="C1452" s="978" t="s">
        <v>883</v>
      </c>
      <c r="D1452" s="595" t="s">
        <v>1671</v>
      </c>
      <c r="E1452" s="596"/>
      <c r="F1452" s="671"/>
      <c r="G1452" s="597"/>
      <c r="H1452" s="682"/>
      <c r="I1452" s="592">
        <v>88.18</v>
      </c>
      <c r="J1452" s="592">
        <f t="shared" si="1031"/>
        <v>88.18</v>
      </c>
      <c r="K1452" s="593">
        <f t="shared" si="1030"/>
        <v>107.32</v>
      </c>
      <c r="L1452" s="594" t="s">
        <v>21</v>
      </c>
      <c r="M1452" s="92"/>
      <c r="N1452" s="92"/>
      <c r="O1452" s="93">
        <f t="shared" si="1032"/>
        <v>0</v>
      </c>
      <c r="P1452" s="93">
        <f t="shared" si="1033"/>
        <v>0</v>
      </c>
      <c r="Q1452" s="94"/>
      <c r="R1452" s="92">
        <f t="shared" si="1034"/>
        <v>0</v>
      </c>
      <c r="S1452" s="92">
        <f t="shared" si="1035"/>
        <v>0</v>
      </c>
      <c r="T1452" s="93">
        <f t="shared" si="1036"/>
        <v>0</v>
      </c>
      <c r="U1452" s="95">
        <f t="shared" si="1037"/>
        <v>0</v>
      </c>
      <c r="V1452" s="94"/>
      <c r="X1452" s="580" t="str">
        <f t="shared" si="1038"/>
        <v/>
      </c>
      <c r="Y1452" s="580" t="str">
        <f t="shared" si="1039"/>
        <v/>
      </c>
      <c r="Z1452" s="580" t="str">
        <f t="shared" si="1040"/>
        <v/>
      </c>
    </row>
    <row r="1453" spans="1:26" ht="25.5" hidden="1" x14ac:dyDescent="0.2">
      <c r="A1453" s="97">
        <v>101666</v>
      </c>
      <c r="B1453" s="1031">
        <v>101666</v>
      </c>
      <c r="C1453" s="978" t="s">
        <v>883</v>
      </c>
      <c r="D1453" s="595" t="s">
        <v>1672</v>
      </c>
      <c r="E1453" s="596"/>
      <c r="F1453" s="671"/>
      <c r="G1453" s="597"/>
      <c r="H1453" s="682"/>
      <c r="I1453" s="592">
        <v>256.43</v>
      </c>
      <c r="J1453" s="592">
        <f t="shared" si="1031"/>
        <v>256.43</v>
      </c>
      <c r="K1453" s="593">
        <f t="shared" si="1030"/>
        <v>312.10000000000002</v>
      </c>
      <c r="L1453" s="594" t="s">
        <v>21</v>
      </c>
      <c r="M1453" s="92"/>
      <c r="N1453" s="92"/>
      <c r="O1453" s="93">
        <f t="shared" si="1032"/>
        <v>0</v>
      </c>
      <c r="P1453" s="93">
        <f t="shared" si="1033"/>
        <v>0</v>
      </c>
      <c r="Q1453" s="94"/>
      <c r="R1453" s="92">
        <f t="shared" si="1034"/>
        <v>0</v>
      </c>
      <c r="S1453" s="92">
        <f t="shared" si="1035"/>
        <v>0</v>
      </c>
      <c r="T1453" s="93">
        <f t="shared" si="1036"/>
        <v>0</v>
      </c>
      <c r="U1453" s="95">
        <f t="shared" si="1037"/>
        <v>0</v>
      </c>
      <c r="V1453" s="94"/>
      <c r="X1453" s="580" t="str">
        <f t="shared" si="1038"/>
        <v/>
      </c>
      <c r="Y1453" s="580" t="str">
        <f t="shared" si="1039"/>
        <v/>
      </c>
      <c r="Z1453" s="580" t="str">
        <f t="shared" si="1040"/>
        <v/>
      </c>
    </row>
    <row r="1454" spans="1:26" ht="38.25" hidden="1" x14ac:dyDescent="0.2">
      <c r="A1454" s="97">
        <v>97600</v>
      </c>
      <c r="B1454" s="1031">
        <v>97600</v>
      </c>
      <c r="C1454" s="978" t="s">
        <v>883</v>
      </c>
      <c r="D1454" s="595" t="s">
        <v>1673</v>
      </c>
      <c r="E1454" s="596"/>
      <c r="F1454" s="671"/>
      <c r="G1454" s="597"/>
      <c r="H1454" s="682"/>
      <c r="I1454" s="592">
        <v>225.74</v>
      </c>
      <c r="J1454" s="592">
        <f t="shared" si="1031"/>
        <v>225.74</v>
      </c>
      <c r="K1454" s="593">
        <f t="shared" si="1030"/>
        <v>274.75</v>
      </c>
      <c r="L1454" s="594" t="s">
        <v>21</v>
      </c>
      <c r="M1454" s="92"/>
      <c r="N1454" s="92"/>
      <c r="O1454" s="93">
        <f t="shared" si="1032"/>
        <v>0</v>
      </c>
      <c r="P1454" s="93">
        <f t="shared" si="1033"/>
        <v>0</v>
      </c>
      <c r="Q1454" s="94"/>
      <c r="R1454" s="92">
        <f t="shared" si="1034"/>
        <v>0</v>
      </c>
      <c r="S1454" s="92">
        <f t="shared" si="1035"/>
        <v>0</v>
      </c>
      <c r="T1454" s="93">
        <f t="shared" si="1036"/>
        <v>0</v>
      </c>
      <c r="U1454" s="95">
        <f t="shared" si="1037"/>
        <v>0</v>
      </c>
      <c r="V1454" s="94"/>
      <c r="X1454" s="580" t="str">
        <f t="shared" si="1038"/>
        <v/>
      </c>
      <c r="Y1454" s="580" t="str">
        <f t="shared" si="1039"/>
        <v/>
      </c>
      <c r="Z1454" s="580" t="str">
        <f t="shared" si="1040"/>
        <v/>
      </c>
    </row>
    <row r="1455" spans="1:26" ht="38.25" hidden="1" x14ac:dyDescent="0.2">
      <c r="A1455" s="97">
        <v>97601</v>
      </c>
      <c r="B1455" s="1031">
        <v>97601</v>
      </c>
      <c r="C1455" s="978" t="s">
        <v>883</v>
      </c>
      <c r="D1455" s="595" t="s">
        <v>1674</v>
      </c>
      <c r="E1455" s="596"/>
      <c r="F1455" s="671"/>
      <c r="G1455" s="597"/>
      <c r="H1455" s="682"/>
      <c r="I1455" s="592">
        <v>244.08</v>
      </c>
      <c r="J1455" s="592">
        <f t="shared" si="1031"/>
        <v>244.08</v>
      </c>
      <c r="K1455" s="593">
        <f t="shared" si="1030"/>
        <v>297.07</v>
      </c>
      <c r="L1455" s="594" t="s">
        <v>21</v>
      </c>
      <c r="M1455" s="92"/>
      <c r="N1455" s="92"/>
      <c r="O1455" s="93">
        <f t="shared" si="1032"/>
        <v>0</v>
      </c>
      <c r="P1455" s="93">
        <f t="shared" si="1033"/>
        <v>0</v>
      </c>
      <c r="Q1455" s="94"/>
      <c r="R1455" s="92">
        <f t="shared" si="1034"/>
        <v>0</v>
      </c>
      <c r="S1455" s="92">
        <f t="shared" si="1035"/>
        <v>0</v>
      </c>
      <c r="T1455" s="93">
        <f t="shared" si="1036"/>
        <v>0</v>
      </c>
      <c r="U1455" s="95">
        <f t="shared" si="1037"/>
        <v>0</v>
      </c>
      <c r="V1455" s="94"/>
      <c r="X1455" s="580" t="str">
        <f t="shared" si="1038"/>
        <v/>
      </c>
      <c r="Y1455" s="580" t="str">
        <f t="shared" si="1039"/>
        <v/>
      </c>
      <c r="Z1455" s="580" t="str">
        <f t="shared" si="1040"/>
        <v/>
      </c>
    </row>
    <row r="1456" spans="1:26" ht="25.5" hidden="1" x14ac:dyDescent="0.2">
      <c r="A1456" s="1008">
        <v>97611</v>
      </c>
      <c r="B1456" s="1010">
        <v>97611</v>
      </c>
      <c r="C1456" s="978" t="s">
        <v>883</v>
      </c>
      <c r="D1456" s="595" t="s">
        <v>1675</v>
      </c>
      <c r="E1456" s="596"/>
      <c r="F1456" s="671"/>
      <c r="G1456" s="597"/>
      <c r="H1456" s="682"/>
      <c r="I1456" s="592">
        <v>23.27</v>
      </c>
      <c r="J1456" s="592">
        <f t="shared" si="1031"/>
        <v>23.27</v>
      </c>
      <c r="K1456" s="593">
        <f t="shared" si="1030"/>
        <v>28.32</v>
      </c>
      <c r="L1456" s="594" t="s">
        <v>21</v>
      </c>
      <c r="M1456" s="92"/>
      <c r="N1456" s="92"/>
      <c r="O1456" s="93">
        <f t="shared" si="1032"/>
        <v>0</v>
      </c>
      <c r="P1456" s="93">
        <f t="shared" si="1033"/>
        <v>0</v>
      </c>
      <c r="Q1456" s="94"/>
      <c r="R1456" s="92">
        <f t="shared" si="1034"/>
        <v>0</v>
      </c>
      <c r="S1456" s="92">
        <f t="shared" si="1035"/>
        <v>0</v>
      </c>
      <c r="T1456" s="93">
        <f t="shared" si="1036"/>
        <v>0</v>
      </c>
      <c r="U1456" s="95">
        <f t="shared" si="1037"/>
        <v>0</v>
      </c>
      <c r="V1456" s="94"/>
      <c r="X1456" s="580" t="str">
        <f t="shared" si="1038"/>
        <v/>
      </c>
      <c r="Y1456" s="580" t="str">
        <f t="shared" si="1039"/>
        <v/>
      </c>
      <c r="Z1456" s="580" t="str">
        <f t="shared" si="1040"/>
        <v/>
      </c>
    </row>
    <row r="1457" spans="1:26" ht="25.5" hidden="1" x14ac:dyDescent="0.2">
      <c r="A1457" s="97">
        <v>97612</v>
      </c>
      <c r="B1457" s="1031">
        <v>97612</v>
      </c>
      <c r="C1457" s="978" t="s">
        <v>883</v>
      </c>
      <c r="D1457" s="595" t="s">
        <v>1676</v>
      </c>
      <c r="E1457" s="596"/>
      <c r="F1457" s="671"/>
      <c r="G1457" s="597"/>
      <c r="H1457" s="682"/>
      <c r="I1457" s="592">
        <v>25.33</v>
      </c>
      <c r="J1457" s="592">
        <f t="shared" si="1031"/>
        <v>25.33</v>
      </c>
      <c r="K1457" s="593">
        <f t="shared" si="1030"/>
        <v>30.83</v>
      </c>
      <c r="L1457" s="594" t="s">
        <v>21</v>
      </c>
      <c r="M1457" s="92"/>
      <c r="N1457" s="92"/>
      <c r="O1457" s="93">
        <f t="shared" si="1032"/>
        <v>0</v>
      </c>
      <c r="P1457" s="93">
        <f t="shared" si="1033"/>
        <v>0</v>
      </c>
      <c r="Q1457" s="94"/>
      <c r="R1457" s="92">
        <f t="shared" si="1034"/>
        <v>0</v>
      </c>
      <c r="S1457" s="92">
        <f t="shared" si="1035"/>
        <v>0</v>
      </c>
      <c r="T1457" s="93">
        <f t="shared" si="1036"/>
        <v>0</v>
      </c>
      <c r="U1457" s="95">
        <f t="shared" si="1037"/>
        <v>0</v>
      </c>
      <c r="V1457" s="94"/>
      <c r="X1457" s="580" t="str">
        <f t="shared" si="1038"/>
        <v/>
      </c>
      <c r="Y1457" s="580" t="str">
        <f t="shared" si="1039"/>
        <v/>
      </c>
      <c r="Z1457" s="580" t="str">
        <f t="shared" si="1040"/>
        <v/>
      </c>
    </row>
    <row r="1458" spans="1:26" ht="25.5" hidden="1" x14ac:dyDescent="0.2">
      <c r="A1458" s="97">
        <v>97615</v>
      </c>
      <c r="B1458" s="1031">
        <v>97615</v>
      </c>
      <c r="C1458" s="978" t="s">
        <v>883</v>
      </c>
      <c r="D1458" s="595" t="s">
        <v>1677</v>
      </c>
      <c r="E1458" s="596"/>
      <c r="F1458" s="671"/>
      <c r="G1458" s="597"/>
      <c r="H1458" s="682"/>
      <c r="I1458" s="592">
        <v>38.17</v>
      </c>
      <c r="J1458" s="592">
        <f t="shared" si="1031"/>
        <v>38.17</v>
      </c>
      <c r="K1458" s="593">
        <f t="shared" si="1030"/>
        <v>46.46</v>
      </c>
      <c r="L1458" s="594" t="s">
        <v>21</v>
      </c>
      <c r="M1458" s="92"/>
      <c r="N1458" s="92"/>
      <c r="O1458" s="93">
        <f t="shared" si="1032"/>
        <v>0</v>
      </c>
      <c r="P1458" s="93">
        <f t="shared" si="1033"/>
        <v>0</v>
      </c>
      <c r="Q1458" s="94"/>
      <c r="R1458" s="92">
        <f t="shared" si="1034"/>
        <v>0</v>
      </c>
      <c r="S1458" s="92">
        <f t="shared" si="1035"/>
        <v>0</v>
      </c>
      <c r="T1458" s="93">
        <f t="shared" si="1036"/>
        <v>0</v>
      </c>
      <c r="U1458" s="95">
        <f t="shared" si="1037"/>
        <v>0</v>
      </c>
      <c r="V1458" s="94"/>
      <c r="X1458" s="580" t="str">
        <f t="shared" si="1038"/>
        <v/>
      </c>
      <c r="Y1458" s="580" t="str">
        <f t="shared" si="1039"/>
        <v/>
      </c>
      <c r="Z1458" s="580" t="str">
        <f t="shared" si="1040"/>
        <v/>
      </c>
    </row>
    <row r="1459" spans="1:26" ht="25.5" hidden="1" x14ac:dyDescent="0.2">
      <c r="A1459" s="97">
        <v>97616</v>
      </c>
      <c r="B1459" s="1031">
        <v>97616</v>
      </c>
      <c r="C1459" s="978" t="s">
        <v>883</v>
      </c>
      <c r="D1459" s="595" t="s">
        <v>1678</v>
      </c>
      <c r="E1459" s="596"/>
      <c r="F1459" s="671"/>
      <c r="G1459" s="597"/>
      <c r="H1459" s="682"/>
      <c r="I1459" s="592">
        <v>42.39</v>
      </c>
      <c r="J1459" s="592">
        <f t="shared" si="1031"/>
        <v>42.39</v>
      </c>
      <c r="K1459" s="593">
        <f t="shared" si="1030"/>
        <v>51.59</v>
      </c>
      <c r="L1459" s="594" t="s">
        <v>21</v>
      </c>
      <c r="M1459" s="92"/>
      <c r="N1459" s="92"/>
      <c r="O1459" s="93">
        <f t="shared" si="1032"/>
        <v>0</v>
      </c>
      <c r="P1459" s="93">
        <f t="shared" si="1033"/>
        <v>0</v>
      </c>
      <c r="Q1459" s="94"/>
      <c r="R1459" s="92">
        <f t="shared" si="1034"/>
        <v>0</v>
      </c>
      <c r="S1459" s="92">
        <f t="shared" si="1035"/>
        <v>0</v>
      </c>
      <c r="T1459" s="93">
        <f t="shared" si="1036"/>
        <v>0</v>
      </c>
      <c r="U1459" s="95">
        <f t="shared" si="1037"/>
        <v>0</v>
      </c>
      <c r="V1459" s="94"/>
      <c r="X1459" s="580" t="str">
        <f t="shared" si="1038"/>
        <v/>
      </c>
      <c r="Y1459" s="580" t="str">
        <f t="shared" si="1039"/>
        <v/>
      </c>
      <c r="Z1459" s="580" t="str">
        <f t="shared" si="1040"/>
        <v/>
      </c>
    </row>
    <row r="1460" spans="1:26" ht="25.5" hidden="1" x14ac:dyDescent="0.2">
      <c r="A1460" s="97">
        <v>97617</v>
      </c>
      <c r="B1460" s="1031">
        <v>97617</v>
      </c>
      <c r="C1460" s="978" t="s">
        <v>883</v>
      </c>
      <c r="D1460" s="595" t="s">
        <v>1679</v>
      </c>
      <c r="E1460" s="596"/>
      <c r="F1460" s="671"/>
      <c r="G1460" s="597"/>
      <c r="H1460" s="682"/>
      <c r="I1460" s="592">
        <v>42.08</v>
      </c>
      <c r="J1460" s="592">
        <f t="shared" si="1031"/>
        <v>42.08</v>
      </c>
      <c r="K1460" s="593">
        <f t="shared" si="1030"/>
        <v>51.22</v>
      </c>
      <c r="L1460" s="594" t="s">
        <v>21</v>
      </c>
      <c r="M1460" s="92"/>
      <c r="N1460" s="92"/>
      <c r="O1460" s="93">
        <f t="shared" si="1032"/>
        <v>0</v>
      </c>
      <c r="P1460" s="93">
        <f t="shared" si="1033"/>
        <v>0</v>
      </c>
      <c r="Q1460" s="94"/>
      <c r="R1460" s="92">
        <f t="shared" si="1034"/>
        <v>0</v>
      </c>
      <c r="S1460" s="92">
        <f t="shared" si="1035"/>
        <v>0</v>
      </c>
      <c r="T1460" s="93">
        <f t="shared" si="1036"/>
        <v>0</v>
      </c>
      <c r="U1460" s="95">
        <f t="shared" si="1037"/>
        <v>0</v>
      </c>
      <c r="V1460" s="94"/>
      <c r="X1460" s="580" t="str">
        <f t="shared" si="1038"/>
        <v/>
      </c>
      <c r="Y1460" s="580" t="str">
        <f t="shared" si="1039"/>
        <v/>
      </c>
      <c r="Z1460" s="580" t="str">
        <f t="shared" si="1040"/>
        <v/>
      </c>
    </row>
    <row r="1461" spans="1:26" ht="25.5" hidden="1" x14ac:dyDescent="0.2">
      <c r="A1461" s="97">
        <v>97618</v>
      </c>
      <c r="B1461" s="1031">
        <v>97618</v>
      </c>
      <c r="C1461" s="978" t="s">
        <v>883</v>
      </c>
      <c r="D1461" s="595" t="s">
        <v>1680</v>
      </c>
      <c r="E1461" s="596"/>
      <c r="F1461" s="671"/>
      <c r="G1461" s="597"/>
      <c r="H1461" s="682"/>
      <c r="I1461" s="592">
        <v>41.06</v>
      </c>
      <c r="J1461" s="592">
        <f t="shared" si="1031"/>
        <v>41.06</v>
      </c>
      <c r="K1461" s="593">
        <f t="shared" si="1030"/>
        <v>49.97</v>
      </c>
      <c r="L1461" s="594" t="s">
        <v>21</v>
      </c>
      <c r="M1461" s="92"/>
      <c r="N1461" s="92"/>
      <c r="O1461" s="93">
        <f t="shared" si="1032"/>
        <v>0</v>
      </c>
      <c r="P1461" s="93">
        <f t="shared" si="1033"/>
        <v>0</v>
      </c>
      <c r="Q1461" s="94"/>
      <c r="R1461" s="92">
        <f t="shared" si="1034"/>
        <v>0</v>
      </c>
      <c r="S1461" s="92">
        <f t="shared" si="1035"/>
        <v>0</v>
      </c>
      <c r="T1461" s="93">
        <f t="shared" si="1036"/>
        <v>0</v>
      </c>
      <c r="U1461" s="95">
        <f t="shared" si="1037"/>
        <v>0</v>
      </c>
      <c r="V1461" s="94"/>
      <c r="X1461" s="580" t="str">
        <f t="shared" si="1038"/>
        <v/>
      </c>
      <c r="Y1461" s="580" t="str">
        <f t="shared" si="1039"/>
        <v/>
      </c>
      <c r="Z1461" s="580" t="str">
        <f t="shared" si="1040"/>
        <v/>
      </c>
    </row>
    <row r="1462" spans="1:26" ht="25.5" hidden="1" x14ac:dyDescent="0.2">
      <c r="A1462" s="97">
        <v>97613</v>
      </c>
      <c r="B1462" s="1031">
        <v>97613</v>
      </c>
      <c r="C1462" s="978" t="s">
        <v>883</v>
      </c>
      <c r="D1462" s="595" t="s">
        <v>1681</v>
      </c>
      <c r="E1462" s="596"/>
      <c r="F1462" s="671"/>
      <c r="G1462" s="597"/>
      <c r="H1462" s="682"/>
      <c r="I1462" s="592">
        <v>32.15</v>
      </c>
      <c r="J1462" s="592">
        <f t="shared" si="1031"/>
        <v>32.15</v>
      </c>
      <c r="K1462" s="593">
        <f t="shared" si="1030"/>
        <v>39.130000000000003</v>
      </c>
      <c r="L1462" s="594" t="s">
        <v>21</v>
      </c>
      <c r="M1462" s="92"/>
      <c r="N1462" s="92"/>
      <c r="O1462" s="93">
        <f t="shared" si="1032"/>
        <v>0</v>
      </c>
      <c r="P1462" s="93">
        <f t="shared" si="1033"/>
        <v>0</v>
      </c>
      <c r="Q1462" s="94"/>
      <c r="R1462" s="92">
        <f t="shared" si="1034"/>
        <v>0</v>
      </c>
      <c r="S1462" s="92">
        <f t="shared" si="1035"/>
        <v>0</v>
      </c>
      <c r="T1462" s="93">
        <f t="shared" si="1036"/>
        <v>0</v>
      </c>
      <c r="U1462" s="95">
        <f t="shared" si="1037"/>
        <v>0</v>
      </c>
      <c r="V1462" s="94"/>
      <c r="X1462" s="580" t="str">
        <f t="shared" si="1038"/>
        <v/>
      </c>
      <c r="Y1462" s="580" t="str">
        <f t="shared" si="1039"/>
        <v/>
      </c>
      <c r="Z1462" s="580" t="str">
        <f t="shared" si="1040"/>
        <v/>
      </c>
    </row>
    <row r="1463" spans="1:26" ht="25.5" hidden="1" x14ac:dyDescent="0.2">
      <c r="A1463" s="97">
        <v>97614</v>
      </c>
      <c r="B1463" s="1031">
        <v>97614</v>
      </c>
      <c r="C1463" s="978" t="s">
        <v>883</v>
      </c>
      <c r="D1463" s="595" t="s">
        <v>1682</v>
      </c>
      <c r="E1463" s="596"/>
      <c r="F1463" s="671"/>
      <c r="G1463" s="597"/>
      <c r="H1463" s="682"/>
      <c r="I1463" s="592">
        <v>56.78</v>
      </c>
      <c r="J1463" s="592">
        <f t="shared" si="1031"/>
        <v>56.78</v>
      </c>
      <c r="K1463" s="593">
        <f t="shared" si="1030"/>
        <v>69.11</v>
      </c>
      <c r="L1463" s="594" t="s">
        <v>21</v>
      </c>
      <c r="M1463" s="92"/>
      <c r="N1463" s="92"/>
      <c r="O1463" s="93">
        <f t="shared" si="1032"/>
        <v>0</v>
      </c>
      <c r="P1463" s="93">
        <f t="shared" si="1033"/>
        <v>0</v>
      </c>
      <c r="Q1463" s="94"/>
      <c r="R1463" s="92">
        <f t="shared" si="1034"/>
        <v>0</v>
      </c>
      <c r="S1463" s="92">
        <f t="shared" si="1035"/>
        <v>0</v>
      </c>
      <c r="T1463" s="93">
        <f t="shared" si="1036"/>
        <v>0</v>
      </c>
      <c r="U1463" s="95">
        <f t="shared" si="1037"/>
        <v>0</v>
      </c>
      <c r="V1463" s="94"/>
      <c r="X1463" s="580" t="str">
        <f t="shared" si="1038"/>
        <v/>
      </c>
      <c r="Y1463" s="580" t="str">
        <f t="shared" si="1039"/>
        <v/>
      </c>
      <c r="Z1463" s="580" t="str">
        <f t="shared" si="1040"/>
        <v/>
      </c>
    </row>
    <row r="1464" spans="1:26" hidden="1" x14ac:dyDescent="0.2">
      <c r="A1464" s="97">
        <v>101648</v>
      </c>
      <c r="B1464" s="1031">
        <v>101648</v>
      </c>
      <c r="C1464" s="978" t="s">
        <v>883</v>
      </c>
      <c r="D1464" s="595" t="s">
        <v>1683</v>
      </c>
      <c r="E1464" s="596"/>
      <c r="F1464" s="671"/>
      <c r="G1464" s="597"/>
      <c r="H1464" s="682"/>
      <c r="I1464" s="592">
        <v>52</v>
      </c>
      <c r="J1464" s="592">
        <f t="shared" si="1031"/>
        <v>52</v>
      </c>
      <c r="K1464" s="593">
        <f t="shared" si="1030"/>
        <v>63.29</v>
      </c>
      <c r="L1464" s="594" t="s">
        <v>21</v>
      </c>
      <c r="M1464" s="92"/>
      <c r="N1464" s="92"/>
      <c r="O1464" s="93">
        <f t="shared" si="1032"/>
        <v>0</v>
      </c>
      <c r="P1464" s="93">
        <f t="shared" si="1033"/>
        <v>0</v>
      </c>
      <c r="Q1464" s="94"/>
      <c r="R1464" s="92">
        <f t="shared" si="1034"/>
        <v>0</v>
      </c>
      <c r="S1464" s="92">
        <f t="shared" si="1035"/>
        <v>0</v>
      </c>
      <c r="T1464" s="93">
        <f t="shared" si="1036"/>
        <v>0</v>
      </c>
      <c r="U1464" s="95">
        <f t="shared" si="1037"/>
        <v>0</v>
      </c>
      <c r="V1464" s="94"/>
      <c r="X1464" s="580" t="str">
        <f t="shared" si="1038"/>
        <v/>
      </c>
      <c r="Y1464" s="580" t="str">
        <f t="shared" si="1039"/>
        <v/>
      </c>
      <c r="Z1464" s="580" t="str">
        <f t="shared" si="1040"/>
        <v/>
      </c>
    </row>
    <row r="1465" spans="1:26" hidden="1" x14ac:dyDescent="0.2">
      <c r="A1465" s="97">
        <v>101649</v>
      </c>
      <c r="B1465" s="1031">
        <v>101649</v>
      </c>
      <c r="C1465" s="978" t="s">
        <v>883</v>
      </c>
      <c r="D1465" s="595" t="s">
        <v>1684</v>
      </c>
      <c r="E1465" s="596"/>
      <c r="F1465" s="671"/>
      <c r="G1465" s="597"/>
      <c r="H1465" s="682"/>
      <c r="I1465" s="592">
        <v>59.93</v>
      </c>
      <c r="J1465" s="592">
        <f t="shared" si="1031"/>
        <v>59.93</v>
      </c>
      <c r="K1465" s="593">
        <f t="shared" si="1030"/>
        <v>72.94</v>
      </c>
      <c r="L1465" s="594" t="s">
        <v>21</v>
      </c>
      <c r="M1465" s="92"/>
      <c r="N1465" s="92"/>
      <c r="O1465" s="93">
        <f t="shared" si="1032"/>
        <v>0</v>
      </c>
      <c r="P1465" s="93">
        <f t="shared" si="1033"/>
        <v>0</v>
      </c>
      <c r="Q1465" s="94"/>
      <c r="R1465" s="92">
        <f t="shared" si="1034"/>
        <v>0</v>
      </c>
      <c r="S1465" s="92">
        <f t="shared" si="1035"/>
        <v>0</v>
      </c>
      <c r="T1465" s="93">
        <f t="shared" si="1036"/>
        <v>0</v>
      </c>
      <c r="U1465" s="95">
        <f t="shared" si="1037"/>
        <v>0</v>
      </c>
      <c r="V1465" s="94"/>
      <c r="X1465" s="580" t="str">
        <f t="shared" si="1038"/>
        <v/>
      </c>
      <c r="Y1465" s="580" t="str">
        <f t="shared" si="1039"/>
        <v/>
      </c>
      <c r="Z1465" s="580" t="str">
        <f t="shared" si="1040"/>
        <v/>
      </c>
    </row>
    <row r="1466" spans="1:26" hidden="1" x14ac:dyDescent="0.2">
      <c r="A1466" s="97">
        <v>101650</v>
      </c>
      <c r="B1466" s="1031">
        <v>101650</v>
      </c>
      <c r="C1466" s="978" t="s">
        <v>883</v>
      </c>
      <c r="D1466" s="595" t="s">
        <v>1685</v>
      </c>
      <c r="E1466" s="596"/>
      <c r="F1466" s="671"/>
      <c r="G1466" s="597"/>
      <c r="H1466" s="682"/>
      <c r="I1466" s="592">
        <v>69.680000000000007</v>
      </c>
      <c r="J1466" s="592">
        <f t="shared" si="1031"/>
        <v>69.680000000000007</v>
      </c>
      <c r="K1466" s="593">
        <f t="shared" si="1030"/>
        <v>84.81</v>
      </c>
      <c r="L1466" s="594" t="s">
        <v>21</v>
      </c>
      <c r="M1466" s="92"/>
      <c r="N1466" s="92"/>
      <c r="O1466" s="93">
        <f t="shared" si="1032"/>
        <v>0</v>
      </c>
      <c r="P1466" s="93">
        <f t="shared" si="1033"/>
        <v>0</v>
      </c>
      <c r="Q1466" s="94"/>
      <c r="R1466" s="92">
        <f t="shared" si="1034"/>
        <v>0</v>
      </c>
      <c r="S1466" s="92">
        <f t="shared" si="1035"/>
        <v>0</v>
      </c>
      <c r="T1466" s="93">
        <f t="shared" si="1036"/>
        <v>0</v>
      </c>
      <c r="U1466" s="95">
        <f t="shared" si="1037"/>
        <v>0</v>
      </c>
      <c r="V1466" s="94"/>
      <c r="X1466" s="580" t="str">
        <f t="shared" si="1038"/>
        <v/>
      </c>
      <c r="Y1466" s="580" t="str">
        <f t="shared" si="1039"/>
        <v/>
      </c>
      <c r="Z1466" s="580" t="str">
        <f t="shared" si="1040"/>
        <v/>
      </c>
    </row>
    <row r="1467" spans="1:26" hidden="1" x14ac:dyDescent="0.2">
      <c r="A1467" s="97">
        <v>101640</v>
      </c>
      <c r="B1467" s="1031">
        <v>101640</v>
      </c>
      <c r="C1467" s="978" t="s">
        <v>883</v>
      </c>
      <c r="D1467" s="595" t="s">
        <v>1686</v>
      </c>
      <c r="E1467" s="596"/>
      <c r="F1467" s="671"/>
      <c r="G1467" s="597"/>
      <c r="H1467" s="682"/>
      <c r="I1467" s="592">
        <v>95.28</v>
      </c>
      <c r="J1467" s="592">
        <f t="shared" si="1031"/>
        <v>95.28</v>
      </c>
      <c r="K1467" s="593">
        <f t="shared" si="1030"/>
        <v>115.97</v>
      </c>
      <c r="L1467" s="594" t="s">
        <v>21</v>
      </c>
      <c r="M1467" s="92"/>
      <c r="N1467" s="92"/>
      <c r="O1467" s="93">
        <f t="shared" si="1032"/>
        <v>0</v>
      </c>
      <c r="P1467" s="93">
        <f t="shared" si="1033"/>
        <v>0</v>
      </c>
      <c r="Q1467" s="94"/>
      <c r="R1467" s="92">
        <f t="shared" si="1034"/>
        <v>0</v>
      </c>
      <c r="S1467" s="92">
        <f t="shared" si="1035"/>
        <v>0</v>
      </c>
      <c r="T1467" s="93">
        <f t="shared" si="1036"/>
        <v>0</v>
      </c>
      <c r="U1467" s="95">
        <f t="shared" si="1037"/>
        <v>0</v>
      </c>
      <c r="V1467" s="94"/>
      <c r="X1467" s="580" t="str">
        <f t="shared" si="1038"/>
        <v/>
      </c>
      <c r="Y1467" s="580" t="str">
        <f t="shared" si="1039"/>
        <v/>
      </c>
      <c r="Z1467" s="580" t="str">
        <f t="shared" si="1040"/>
        <v/>
      </c>
    </row>
    <row r="1468" spans="1:26" hidden="1" x14ac:dyDescent="0.2">
      <c r="A1468" s="97">
        <v>101641</v>
      </c>
      <c r="B1468" s="1031">
        <v>101641</v>
      </c>
      <c r="C1468" s="978" t="s">
        <v>883</v>
      </c>
      <c r="D1468" s="595" t="s">
        <v>1687</v>
      </c>
      <c r="E1468" s="596"/>
      <c r="F1468" s="671"/>
      <c r="G1468" s="597"/>
      <c r="H1468" s="682"/>
      <c r="I1468" s="592">
        <v>49.29</v>
      </c>
      <c r="J1468" s="592">
        <f t="shared" si="1031"/>
        <v>49.29</v>
      </c>
      <c r="K1468" s="593">
        <f t="shared" si="1030"/>
        <v>59.99</v>
      </c>
      <c r="L1468" s="594" t="s">
        <v>21</v>
      </c>
      <c r="M1468" s="92"/>
      <c r="N1468" s="92"/>
      <c r="O1468" s="93">
        <f t="shared" si="1032"/>
        <v>0</v>
      </c>
      <c r="P1468" s="93">
        <f t="shared" si="1033"/>
        <v>0</v>
      </c>
      <c r="Q1468" s="94"/>
      <c r="R1468" s="92">
        <f t="shared" si="1034"/>
        <v>0</v>
      </c>
      <c r="S1468" s="92">
        <f t="shared" si="1035"/>
        <v>0</v>
      </c>
      <c r="T1468" s="93">
        <f t="shared" si="1036"/>
        <v>0</v>
      </c>
      <c r="U1468" s="95">
        <f t="shared" si="1037"/>
        <v>0</v>
      </c>
      <c r="V1468" s="94"/>
      <c r="X1468" s="580" t="str">
        <f t="shared" si="1038"/>
        <v/>
      </c>
      <c r="Y1468" s="580" t="str">
        <f t="shared" si="1039"/>
        <v/>
      </c>
      <c r="Z1468" s="580" t="str">
        <f t="shared" si="1040"/>
        <v/>
      </c>
    </row>
    <row r="1469" spans="1:26" hidden="1" x14ac:dyDescent="0.2">
      <c r="A1469" s="97">
        <v>101642</v>
      </c>
      <c r="B1469" s="1031">
        <v>101642</v>
      </c>
      <c r="C1469" s="978" t="s">
        <v>883</v>
      </c>
      <c r="D1469" s="595" t="s">
        <v>1688</v>
      </c>
      <c r="E1469" s="596"/>
      <c r="F1469" s="671"/>
      <c r="G1469" s="597"/>
      <c r="H1469" s="682"/>
      <c r="I1469" s="592">
        <v>24.66</v>
      </c>
      <c r="J1469" s="592">
        <f t="shared" si="1031"/>
        <v>24.66</v>
      </c>
      <c r="K1469" s="593">
        <f t="shared" si="1030"/>
        <v>30.01</v>
      </c>
      <c r="L1469" s="594" t="s">
        <v>21</v>
      </c>
      <c r="M1469" s="92"/>
      <c r="N1469" s="92"/>
      <c r="O1469" s="93">
        <f t="shared" si="1032"/>
        <v>0</v>
      </c>
      <c r="P1469" s="93">
        <f t="shared" si="1033"/>
        <v>0</v>
      </c>
      <c r="Q1469" s="94"/>
      <c r="R1469" s="92">
        <f t="shared" si="1034"/>
        <v>0</v>
      </c>
      <c r="S1469" s="92">
        <f t="shared" si="1035"/>
        <v>0</v>
      </c>
      <c r="T1469" s="93">
        <f t="shared" si="1036"/>
        <v>0</v>
      </c>
      <c r="U1469" s="95">
        <f t="shared" si="1037"/>
        <v>0</v>
      </c>
      <c r="V1469" s="94"/>
      <c r="X1469" s="580" t="str">
        <f t="shared" si="1038"/>
        <v/>
      </c>
      <c r="Y1469" s="580" t="str">
        <f t="shared" si="1039"/>
        <v/>
      </c>
      <c r="Z1469" s="580" t="str">
        <f t="shared" si="1040"/>
        <v/>
      </c>
    </row>
    <row r="1470" spans="1:26" hidden="1" x14ac:dyDescent="0.2">
      <c r="A1470" s="97">
        <v>101643</v>
      </c>
      <c r="B1470" s="1031">
        <v>101643</v>
      </c>
      <c r="C1470" s="978" t="s">
        <v>883</v>
      </c>
      <c r="D1470" s="595" t="s">
        <v>1689</v>
      </c>
      <c r="E1470" s="596"/>
      <c r="F1470" s="671"/>
      <c r="G1470" s="597"/>
      <c r="H1470" s="682"/>
      <c r="I1470" s="592">
        <v>43</v>
      </c>
      <c r="J1470" s="592">
        <f t="shared" si="1031"/>
        <v>43</v>
      </c>
      <c r="K1470" s="593">
        <f t="shared" si="1030"/>
        <v>52.34</v>
      </c>
      <c r="L1470" s="594" t="s">
        <v>21</v>
      </c>
      <c r="M1470" s="92"/>
      <c r="N1470" s="92"/>
      <c r="O1470" s="93">
        <f t="shared" si="1032"/>
        <v>0</v>
      </c>
      <c r="P1470" s="93">
        <f t="shared" si="1033"/>
        <v>0</v>
      </c>
      <c r="Q1470" s="94"/>
      <c r="R1470" s="92">
        <f t="shared" si="1034"/>
        <v>0</v>
      </c>
      <c r="S1470" s="92">
        <f t="shared" si="1035"/>
        <v>0</v>
      </c>
      <c r="T1470" s="93">
        <f t="shared" si="1036"/>
        <v>0</v>
      </c>
      <c r="U1470" s="95">
        <f t="shared" si="1037"/>
        <v>0</v>
      </c>
      <c r="V1470" s="94"/>
      <c r="X1470" s="580" t="str">
        <f t="shared" si="1038"/>
        <v/>
      </c>
      <c r="Y1470" s="580" t="str">
        <f t="shared" si="1039"/>
        <v/>
      </c>
      <c r="Z1470" s="580" t="str">
        <f t="shared" si="1040"/>
        <v/>
      </c>
    </row>
    <row r="1471" spans="1:26" hidden="1" x14ac:dyDescent="0.2">
      <c r="A1471" s="97">
        <v>101644</v>
      </c>
      <c r="B1471" s="1031">
        <v>101644</v>
      </c>
      <c r="C1471" s="978" t="s">
        <v>883</v>
      </c>
      <c r="D1471" s="595" t="s">
        <v>1690</v>
      </c>
      <c r="E1471" s="596"/>
      <c r="F1471" s="671"/>
      <c r="G1471" s="597"/>
      <c r="H1471" s="682"/>
      <c r="I1471" s="592">
        <v>58.24</v>
      </c>
      <c r="J1471" s="592">
        <f t="shared" si="1031"/>
        <v>58.24</v>
      </c>
      <c r="K1471" s="593">
        <f t="shared" si="1030"/>
        <v>70.88</v>
      </c>
      <c r="L1471" s="594" t="s">
        <v>21</v>
      </c>
      <c r="M1471" s="92"/>
      <c r="N1471" s="92"/>
      <c r="O1471" s="93">
        <f t="shared" si="1032"/>
        <v>0</v>
      </c>
      <c r="P1471" s="93">
        <f t="shared" si="1033"/>
        <v>0</v>
      </c>
      <c r="Q1471" s="94"/>
      <c r="R1471" s="92">
        <f t="shared" si="1034"/>
        <v>0</v>
      </c>
      <c r="S1471" s="92">
        <f t="shared" si="1035"/>
        <v>0</v>
      </c>
      <c r="T1471" s="93">
        <f t="shared" si="1036"/>
        <v>0</v>
      </c>
      <c r="U1471" s="95">
        <f t="shared" si="1037"/>
        <v>0</v>
      </c>
      <c r="V1471" s="94"/>
      <c r="X1471" s="580" t="str">
        <f t="shared" si="1038"/>
        <v/>
      </c>
      <c r="Y1471" s="580" t="str">
        <f t="shared" si="1039"/>
        <v/>
      </c>
      <c r="Z1471" s="580" t="str">
        <f t="shared" si="1040"/>
        <v/>
      </c>
    </row>
    <row r="1472" spans="1:26" hidden="1" x14ac:dyDescent="0.2">
      <c r="A1472" s="97">
        <v>101645</v>
      </c>
      <c r="B1472" s="1031">
        <v>101645</v>
      </c>
      <c r="C1472" s="978" t="s">
        <v>883</v>
      </c>
      <c r="D1472" s="595" t="s">
        <v>1691</v>
      </c>
      <c r="E1472" s="596"/>
      <c r="F1472" s="671"/>
      <c r="G1472" s="597"/>
      <c r="H1472" s="682"/>
      <c r="I1472" s="592">
        <v>27.5</v>
      </c>
      <c r="J1472" s="592">
        <f t="shared" si="1031"/>
        <v>27.5</v>
      </c>
      <c r="K1472" s="593">
        <f t="shared" si="1030"/>
        <v>33.47</v>
      </c>
      <c r="L1472" s="594" t="s">
        <v>21</v>
      </c>
      <c r="M1472" s="92"/>
      <c r="N1472" s="92"/>
      <c r="O1472" s="93">
        <f t="shared" si="1032"/>
        <v>0</v>
      </c>
      <c r="P1472" s="93">
        <f t="shared" si="1033"/>
        <v>0</v>
      </c>
      <c r="Q1472" s="94"/>
      <c r="R1472" s="92">
        <f t="shared" si="1034"/>
        <v>0</v>
      </c>
      <c r="S1472" s="92">
        <f t="shared" si="1035"/>
        <v>0</v>
      </c>
      <c r="T1472" s="93">
        <f t="shared" si="1036"/>
        <v>0</v>
      </c>
      <c r="U1472" s="95">
        <f t="shared" si="1037"/>
        <v>0</v>
      </c>
      <c r="V1472" s="94"/>
      <c r="X1472" s="580" t="str">
        <f t="shared" si="1038"/>
        <v/>
      </c>
      <c r="Y1472" s="580" t="str">
        <f t="shared" si="1039"/>
        <v/>
      </c>
      <c r="Z1472" s="580" t="str">
        <f t="shared" si="1040"/>
        <v/>
      </c>
    </row>
    <row r="1473" spans="1:26" hidden="1" x14ac:dyDescent="0.2">
      <c r="A1473" s="97">
        <v>101646</v>
      </c>
      <c r="B1473" s="1031">
        <v>101646</v>
      </c>
      <c r="C1473" s="978" t="s">
        <v>883</v>
      </c>
      <c r="D1473" s="595" t="s">
        <v>1692</v>
      </c>
      <c r="E1473" s="596"/>
      <c r="F1473" s="671"/>
      <c r="G1473" s="597"/>
      <c r="H1473" s="682"/>
      <c r="I1473" s="592">
        <v>36.56</v>
      </c>
      <c r="J1473" s="592">
        <f t="shared" si="1031"/>
        <v>36.56</v>
      </c>
      <c r="K1473" s="593">
        <f t="shared" si="1030"/>
        <v>44.5</v>
      </c>
      <c r="L1473" s="594" t="s">
        <v>21</v>
      </c>
      <c r="M1473" s="92"/>
      <c r="N1473" s="92"/>
      <c r="O1473" s="93">
        <f t="shared" si="1032"/>
        <v>0</v>
      </c>
      <c r="P1473" s="93">
        <f t="shared" si="1033"/>
        <v>0</v>
      </c>
      <c r="Q1473" s="94"/>
      <c r="R1473" s="92">
        <f t="shared" si="1034"/>
        <v>0</v>
      </c>
      <c r="S1473" s="92">
        <f t="shared" si="1035"/>
        <v>0</v>
      </c>
      <c r="T1473" s="93">
        <f t="shared" si="1036"/>
        <v>0</v>
      </c>
      <c r="U1473" s="95">
        <f t="shared" si="1037"/>
        <v>0</v>
      </c>
      <c r="V1473" s="94"/>
      <c r="X1473" s="580" t="str">
        <f t="shared" si="1038"/>
        <v/>
      </c>
      <c r="Y1473" s="580" t="str">
        <f t="shared" si="1039"/>
        <v/>
      </c>
      <c r="Z1473" s="580" t="str">
        <f t="shared" si="1040"/>
        <v/>
      </c>
    </row>
    <row r="1474" spans="1:26" hidden="1" x14ac:dyDescent="0.2">
      <c r="A1474" s="97">
        <v>101647</v>
      </c>
      <c r="B1474" s="1031">
        <v>101647</v>
      </c>
      <c r="C1474" s="978" t="s">
        <v>883</v>
      </c>
      <c r="D1474" s="595" t="s">
        <v>1693</v>
      </c>
      <c r="E1474" s="596"/>
      <c r="F1474" s="671"/>
      <c r="G1474" s="597"/>
      <c r="H1474" s="682"/>
      <c r="I1474" s="592">
        <v>67.260000000000005</v>
      </c>
      <c r="J1474" s="592">
        <f t="shared" si="1031"/>
        <v>67.260000000000005</v>
      </c>
      <c r="K1474" s="593">
        <f t="shared" si="1030"/>
        <v>81.86</v>
      </c>
      <c r="L1474" s="594" t="s">
        <v>21</v>
      </c>
      <c r="M1474" s="92"/>
      <c r="N1474" s="92"/>
      <c r="O1474" s="93">
        <f t="shared" si="1032"/>
        <v>0</v>
      </c>
      <c r="P1474" s="93">
        <f t="shared" si="1033"/>
        <v>0</v>
      </c>
      <c r="Q1474" s="94"/>
      <c r="R1474" s="92">
        <f t="shared" si="1034"/>
        <v>0</v>
      </c>
      <c r="S1474" s="92">
        <f t="shared" si="1035"/>
        <v>0</v>
      </c>
      <c r="T1474" s="93">
        <f t="shared" si="1036"/>
        <v>0</v>
      </c>
      <c r="U1474" s="95">
        <f t="shared" si="1037"/>
        <v>0</v>
      </c>
      <c r="V1474" s="94"/>
      <c r="X1474" s="580" t="str">
        <f t="shared" si="1038"/>
        <v/>
      </c>
      <c r="Y1474" s="580" t="str">
        <f t="shared" si="1039"/>
        <v/>
      </c>
      <c r="Z1474" s="580" t="str">
        <f t="shared" si="1040"/>
        <v/>
      </c>
    </row>
    <row r="1475" spans="1:26" ht="25.5" hidden="1" x14ac:dyDescent="0.2">
      <c r="A1475" s="97">
        <v>102085</v>
      </c>
      <c r="B1475" s="1031">
        <v>102085</v>
      </c>
      <c r="C1475" s="978" t="s">
        <v>883</v>
      </c>
      <c r="D1475" s="595" t="s">
        <v>1694</v>
      </c>
      <c r="E1475" s="596"/>
      <c r="F1475" s="671"/>
      <c r="G1475" s="597"/>
      <c r="H1475" s="682"/>
      <c r="I1475" s="592">
        <v>112.34</v>
      </c>
      <c r="J1475" s="592">
        <f t="shared" si="1031"/>
        <v>112.34</v>
      </c>
      <c r="K1475" s="593">
        <f t="shared" si="1030"/>
        <v>136.72999999999999</v>
      </c>
      <c r="L1475" s="594" t="s">
        <v>21</v>
      </c>
      <c r="M1475" s="92"/>
      <c r="N1475" s="92"/>
      <c r="O1475" s="93">
        <f t="shared" si="1032"/>
        <v>0</v>
      </c>
      <c r="P1475" s="93">
        <f t="shared" si="1033"/>
        <v>0</v>
      </c>
      <c r="Q1475" s="94"/>
      <c r="R1475" s="92">
        <f t="shared" si="1034"/>
        <v>0</v>
      </c>
      <c r="S1475" s="92">
        <f t="shared" si="1035"/>
        <v>0</v>
      </c>
      <c r="T1475" s="93">
        <f t="shared" si="1036"/>
        <v>0</v>
      </c>
      <c r="U1475" s="95">
        <f t="shared" si="1037"/>
        <v>0</v>
      </c>
      <c r="V1475" s="94"/>
      <c r="X1475" s="580" t="str">
        <f t="shared" si="1038"/>
        <v/>
      </c>
      <c r="Y1475" s="580" t="str">
        <f t="shared" si="1039"/>
        <v/>
      </c>
      <c r="Z1475" s="580" t="str">
        <f t="shared" si="1040"/>
        <v/>
      </c>
    </row>
    <row r="1476" spans="1:26" ht="25.5" hidden="1" x14ac:dyDescent="0.2">
      <c r="A1476" s="97">
        <v>97605</v>
      </c>
      <c r="B1476" s="1031">
        <v>97605</v>
      </c>
      <c r="C1476" s="978" t="s">
        <v>883</v>
      </c>
      <c r="D1476" s="595" t="s">
        <v>1695</v>
      </c>
      <c r="E1476" s="596"/>
      <c r="F1476" s="671"/>
      <c r="G1476" s="597"/>
      <c r="H1476" s="682"/>
      <c r="I1476" s="592">
        <v>58.23</v>
      </c>
      <c r="J1476" s="592">
        <f t="shared" si="1031"/>
        <v>58.23</v>
      </c>
      <c r="K1476" s="593">
        <f t="shared" si="1030"/>
        <v>70.87</v>
      </c>
      <c r="L1476" s="594" t="s">
        <v>21</v>
      </c>
      <c r="M1476" s="92"/>
      <c r="N1476" s="92"/>
      <c r="O1476" s="93">
        <f t="shared" si="1032"/>
        <v>0</v>
      </c>
      <c r="P1476" s="93">
        <f t="shared" si="1033"/>
        <v>0</v>
      </c>
      <c r="Q1476" s="94"/>
      <c r="R1476" s="92">
        <f t="shared" si="1034"/>
        <v>0</v>
      </c>
      <c r="S1476" s="92">
        <f t="shared" si="1035"/>
        <v>0</v>
      </c>
      <c r="T1476" s="93">
        <f t="shared" si="1036"/>
        <v>0</v>
      </c>
      <c r="U1476" s="95">
        <f t="shared" si="1037"/>
        <v>0</v>
      </c>
      <c r="V1476" s="94"/>
      <c r="X1476" s="580" t="str">
        <f t="shared" si="1038"/>
        <v/>
      </c>
      <c r="Y1476" s="580" t="str">
        <f t="shared" si="1039"/>
        <v/>
      </c>
      <c r="Z1476" s="580" t="str">
        <f t="shared" si="1040"/>
        <v/>
      </c>
    </row>
    <row r="1477" spans="1:26" ht="25.5" hidden="1" x14ac:dyDescent="0.2">
      <c r="A1477" s="97">
        <v>101654</v>
      </c>
      <c r="B1477" s="1031">
        <v>101654</v>
      </c>
      <c r="C1477" s="978" t="s">
        <v>883</v>
      </c>
      <c r="D1477" s="595" t="s">
        <v>1696</v>
      </c>
      <c r="E1477" s="596"/>
      <c r="F1477" s="671"/>
      <c r="G1477" s="597"/>
      <c r="H1477" s="682"/>
      <c r="I1477" s="592">
        <v>302.73</v>
      </c>
      <c r="J1477" s="592">
        <f t="shared" si="1031"/>
        <v>302.73</v>
      </c>
      <c r="K1477" s="593">
        <f t="shared" si="1030"/>
        <v>368.45</v>
      </c>
      <c r="L1477" s="594" t="s">
        <v>21</v>
      </c>
      <c r="M1477" s="92"/>
      <c r="N1477" s="92"/>
      <c r="O1477" s="93">
        <f t="shared" si="1032"/>
        <v>0</v>
      </c>
      <c r="P1477" s="93">
        <f t="shared" si="1033"/>
        <v>0</v>
      </c>
      <c r="Q1477" s="94"/>
      <c r="R1477" s="92">
        <f t="shared" si="1034"/>
        <v>0</v>
      </c>
      <c r="S1477" s="92">
        <f t="shared" si="1035"/>
        <v>0</v>
      </c>
      <c r="T1477" s="93">
        <f t="shared" si="1036"/>
        <v>0</v>
      </c>
      <c r="U1477" s="95">
        <f t="shared" si="1037"/>
        <v>0</v>
      </c>
      <c r="V1477" s="94"/>
      <c r="X1477" s="580" t="str">
        <f t="shared" si="1038"/>
        <v/>
      </c>
      <c r="Y1477" s="580" t="str">
        <f t="shared" si="1039"/>
        <v/>
      </c>
      <c r="Z1477" s="580" t="str">
        <f t="shared" si="1040"/>
        <v/>
      </c>
    </row>
    <row r="1478" spans="1:26" ht="25.5" hidden="1" x14ac:dyDescent="0.2">
      <c r="A1478" s="97">
        <v>101655</v>
      </c>
      <c r="B1478" s="1031">
        <v>101655</v>
      </c>
      <c r="C1478" s="978" t="s">
        <v>883</v>
      </c>
      <c r="D1478" s="595" t="s">
        <v>1697</v>
      </c>
      <c r="E1478" s="596"/>
      <c r="F1478" s="671"/>
      <c r="G1478" s="597"/>
      <c r="H1478" s="682"/>
      <c r="I1478" s="592">
        <v>517.07000000000005</v>
      </c>
      <c r="J1478" s="592">
        <f t="shared" si="1031"/>
        <v>517.07000000000005</v>
      </c>
      <c r="K1478" s="593">
        <f t="shared" si="1030"/>
        <v>629.33000000000004</v>
      </c>
      <c r="L1478" s="594" t="s">
        <v>21</v>
      </c>
      <c r="M1478" s="92"/>
      <c r="N1478" s="92"/>
      <c r="O1478" s="93">
        <f t="shared" si="1032"/>
        <v>0</v>
      </c>
      <c r="P1478" s="93">
        <f t="shared" si="1033"/>
        <v>0</v>
      </c>
      <c r="Q1478" s="94"/>
      <c r="R1478" s="92">
        <f t="shared" si="1034"/>
        <v>0</v>
      </c>
      <c r="S1478" s="92">
        <f t="shared" si="1035"/>
        <v>0</v>
      </c>
      <c r="T1478" s="93">
        <f t="shared" si="1036"/>
        <v>0</v>
      </c>
      <c r="U1478" s="95">
        <f t="shared" si="1037"/>
        <v>0</v>
      </c>
      <c r="V1478" s="94"/>
      <c r="X1478" s="580" t="str">
        <f t="shared" si="1038"/>
        <v/>
      </c>
      <c r="Y1478" s="580" t="str">
        <f t="shared" si="1039"/>
        <v/>
      </c>
      <c r="Z1478" s="580" t="str">
        <f t="shared" si="1040"/>
        <v/>
      </c>
    </row>
    <row r="1479" spans="1:26" ht="25.5" hidden="1" x14ac:dyDescent="0.2">
      <c r="A1479" s="97">
        <v>101656</v>
      </c>
      <c r="B1479" s="1031">
        <v>101656</v>
      </c>
      <c r="C1479" s="978" t="s">
        <v>883</v>
      </c>
      <c r="D1479" s="595" t="s">
        <v>1698</v>
      </c>
      <c r="E1479" s="596"/>
      <c r="F1479" s="671"/>
      <c r="G1479" s="597"/>
      <c r="H1479" s="682"/>
      <c r="I1479" s="592">
        <v>567.12</v>
      </c>
      <c r="J1479" s="592">
        <f t="shared" si="1031"/>
        <v>567.12</v>
      </c>
      <c r="K1479" s="593">
        <f t="shared" si="1030"/>
        <v>690.24</v>
      </c>
      <c r="L1479" s="594" t="s">
        <v>21</v>
      </c>
      <c r="M1479" s="92"/>
      <c r="N1479" s="92"/>
      <c r="O1479" s="93">
        <f t="shared" si="1032"/>
        <v>0</v>
      </c>
      <c r="P1479" s="93">
        <f t="shared" si="1033"/>
        <v>0</v>
      </c>
      <c r="Q1479" s="94"/>
      <c r="R1479" s="92">
        <f t="shared" si="1034"/>
        <v>0</v>
      </c>
      <c r="S1479" s="92">
        <f t="shared" si="1035"/>
        <v>0</v>
      </c>
      <c r="T1479" s="93">
        <f t="shared" si="1036"/>
        <v>0</v>
      </c>
      <c r="U1479" s="95">
        <f t="shared" si="1037"/>
        <v>0</v>
      </c>
      <c r="V1479" s="94"/>
      <c r="X1479" s="580" t="str">
        <f t="shared" si="1038"/>
        <v/>
      </c>
      <c r="Y1479" s="580" t="str">
        <f t="shared" si="1039"/>
        <v/>
      </c>
      <c r="Z1479" s="580" t="str">
        <f t="shared" si="1040"/>
        <v/>
      </c>
    </row>
    <row r="1480" spans="1:26" ht="25.5" hidden="1" x14ac:dyDescent="0.2">
      <c r="A1480" s="97">
        <v>101657</v>
      </c>
      <c r="B1480" s="1031">
        <v>101657</v>
      </c>
      <c r="C1480" s="978" t="s">
        <v>883</v>
      </c>
      <c r="D1480" s="595" t="s">
        <v>1699</v>
      </c>
      <c r="E1480" s="596"/>
      <c r="F1480" s="671"/>
      <c r="G1480" s="597"/>
      <c r="H1480" s="682"/>
      <c r="I1480" s="592">
        <v>673.72</v>
      </c>
      <c r="J1480" s="592">
        <f t="shared" si="1031"/>
        <v>673.72</v>
      </c>
      <c r="K1480" s="593">
        <f t="shared" si="1030"/>
        <v>819.98</v>
      </c>
      <c r="L1480" s="594" t="s">
        <v>21</v>
      </c>
      <c r="M1480" s="92"/>
      <c r="N1480" s="92"/>
      <c r="O1480" s="93">
        <f t="shared" si="1032"/>
        <v>0</v>
      </c>
      <c r="P1480" s="93">
        <f t="shared" si="1033"/>
        <v>0</v>
      </c>
      <c r="Q1480" s="94"/>
      <c r="R1480" s="92">
        <f t="shared" si="1034"/>
        <v>0</v>
      </c>
      <c r="S1480" s="92">
        <f t="shared" si="1035"/>
        <v>0</v>
      </c>
      <c r="T1480" s="93">
        <f t="shared" si="1036"/>
        <v>0</v>
      </c>
      <c r="U1480" s="95">
        <f t="shared" si="1037"/>
        <v>0</v>
      </c>
      <c r="V1480" s="94"/>
      <c r="X1480" s="580" t="str">
        <f t="shared" si="1038"/>
        <v/>
      </c>
      <c r="Y1480" s="580" t="str">
        <f t="shared" si="1039"/>
        <v/>
      </c>
      <c r="Z1480" s="580" t="str">
        <f t="shared" si="1040"/>
        <v/>
      </c>
    </row>
    <row r="1481" spans="1:26" ht="25.5" hidden="1" x14ac:dyDescent="0.2">
      <c r="A1481" s="97">
        <v>101658</v>
      </c>
      <c r="B1481" s="1031">
        <v>101658</v>
      </c>
      <c r="C1481" s="978" t="s">
        <v>883</v>
      </c>
      <c r="D1481" s="595" t="s">
        <v>1700</v>
      </c>
      <c r="E1481" s="596"/>
      <c r="F1481" s="671"/>
      <c r="G1481" s="597"/>
      <c r="H1481" s="682"/>
      <c r="I1481" s="592">
        <v>892.93</v>
      </c>
      <c r="J1481" s="592">
        <f t="shared" si="1031"/>
        <v>892.93</v>
      </c>
      <c r="K1481" s="593">
        <f t="shared" si="1030"/>
        <v>1086.79</v>
      </c>
      <c r="L1481" s="594" t="s">
        <v>21</v>
      </c>
      <c r="M1481" s="92"/>
      <c r="N1481" s="92"/>
      <c r="O1481" s="93">
        <f t="shared" si="1032"/>
        <v>0</v>
      </c>
      <c r="P1481" s="93">
        <f t="shared" si="1033"/>
        <v>0</v>
      </c>
      <c r="Q1481" s="94"/>
      <c r="R1481" s="92">
        <f t="shared" si="1034"/>
        <v>0</v>
      </c>
      <c r="S1481" s="92">
        <f t="shared" si="1035"/>
        <v>0</v>
      </c>
      <c r="T1481" s="93">
        <f t="shared" si="1036"/>
        <v>0</v>
      </c>
      <c r="U1481" s="95">
        <f t="shared" si="1037"/>
        <v>0</v>
      </c>
      <c r="V1481" s="94"/>
      <c r="X1481" s="580" t="str">
        <f t="shared" si="1038"/>
        <v/>
      </c>
      <c r="Y1481" s="580" t="str">
        <f t="shared" si="1039"/>
        <v/>
      </c>
      <c r="Z1481" s="580" t="str">
        <f t="shared" si="1040"/>
        <v/>
      </c>
    </row>
    <row r="1482" spans="1:26" ht="25.5" hidden="1" x14ac:dyDescent="0.2">
      <c r="A1482" s="97">
        <v>101659</v>
      </c>
      <c r="B1482" s="1031">
        <v>101659</v>
      </c>
      <c r="C1482" s="978" t="s">
        <v>883</v>
      </c>
      <c r="D1482" s="595" t="s">
        <v>1701</v>
      </c>
      <c r="E1482" s="596"/>
      <c r="F1482" s="671"/>
      <c r="G1482" s="597"/>
      <c r="H1482" s="682"/>
      <c r="I1482" s="592">
        <v>1029.26</v>
      </c>
      <c r="J1482" s="592">
        <f t="shared" si="1031"/>
        <v>1029.26</v>
      </c>
      <c r="K1482" s="593">
        <f t="shared" si="1030"/>
        <v>1252.71</v>
      </c>
      <c r="L1482" s="594" t="s">
        <v>21</v>
      </c>
      <c r="M1482" s="92"/>
      <c r="N1482" s="92"/>
      <c r="O1482" s="93">
        <f t="shared" si="1032"/>
        <v>0</v>
      </c>
      <c r="P1482" s="93">
        <f t="shared" si="1033"/>
        <v>0</v>
      </c>
      <c r="Q1482" s="94"/>
      <c r="R1482" s="92">
        <f t="shared" si="1034"/>
        <v>0</v>
      </c>
      <c r="S1482" s="92">
        <f t="shared" si="1035"/>
        <v>0</v>
      </c>
      <c r="T1482" s="93">
        <f t="shared" si="1036"/>
        <v>0</v>
      </c>
      <c r="U1482" s="95">
        <f t="shared" si="1037"/>
        <v>0</v>
      </c>
      <c r="V1482" s="94"/>
      <c r="X1482" s="580" t="str">
        <f t="shared" si="1038"/>
        <v/>
      </c>
      <c r="Y1482" s="580" t="str">
        <f t="shared" si="1039"/>
        <v/>
      </c>
      <c r="Z1482" s="580" t="str">
        <f t="shared" si="1040"/>
        <v/>
      </c>
    </row>
    <row r="1483" spans="1:26" ht="25.5" hidden="1" x14ac:dyDescent="0.2">
      <c r="A1483" s="97">
        <v>101660</v>
      </c>
      <c r="B1483" s="1031">
        <v>101660</v>
      </c>
      <c r="C1483" s="978" t="s">
        <v>883</v>
      </c>
      <c r="D1483" s="595" t="s">
        <v>1702</v>
      </c>
      <c r="E1483" s="596"/>
      <c r="F1483" s="671"/>
      <c r="G1483" s="597"/>
      <c r="H1483" s="682"/>
      <c r="I1483" s="592">
        <v>1672.84</v>
      </c>
      <c r="J1483" s="592">
        <f t="shared" si="1031"/>
        <v>1672.84</v>
      </c>
      <c r="K1483" s="593">
        <f t="shared" si="1030"/>
        <v>2036.01</v>
      </c>
      <c r="L1483" s="594" t="s">
        <v>21</v>
      </c>
      <c r="M1483" s="92"/>
      <c r="N1483" s="92"/>
      <c r="O1483" s="93">
        <f t="shared" si="1032"/>
        <v>0</v>
      </c>
      <c r="P1483" s="93">
        <f t="shared" si="1033"/>
        <v>0</v>
      </c>
      <c r="Q1483" s="94"/>
      <c r="R1483" s="92">
        <f t="shared" si="1034"/>
        <v>0</v>
      </c>
      <c r="S1483" s="92">
        <f t="shared" si="1035"/>
        <v>0</v>
      </c>
      <c r="T1483" s="93">
        <f t="shared" si="1036"/>
        <v>0</v>
      </c>
      <c r="U1483" s="95">
        <f t="shared" si="1037"/>
        <v>0</v>
      </c>
      <c r="V1483" s="94"/>
      <c r="X1483" s="580" t="str">
        <f t="shared" si="1038"/>
        <v/>
      </c>
      <c r="Y1483" s="580" t="str">
        <f t="shared" si="1039"/>
        <v/>
      </c>
      <c r="Z1483" s="580" t="str">
        <f t="shared" si="1040"/>
        <v/>
      </c>
    </row>
    <row r="1484" spans="1:26" ht="25.5" hidden="1" x14ac:dyDescent="0.2">
      <c r="A1484" s="97">
        <v>97606</v>
      </c>
      <c r="B1484" s="1031">
        <v>97606</v>
      </c>
      <c r="C1484" s="978" t="s">
        <v>883</v>
      </c>
      <c r="D1484" s="595" t="s">
        <v>1703</v>
      </c>
      <c r="E1484" s="596"/>
      <c r="F1484" s="671"/>
      <c r="G1484" s="597"/>
      <c r="H1484" s="682"/>
      <c r="I1484" s="592">
        <v>64.239999999999995</v>
      </c>
      <c r="J1484" s="592">
        <f t="shared" si="1031"/>
        <v>64.239999999999995</v>
      </c>
      <c r="K1484" s="593">
        <f t="shared" ref="K1484:K1547" si="1041">IF(ISBLANK(I1484),0,ROUND(J1484*(1+$F$10)*(1+$F$11*E1484),2))</f>
        <v>78.19</v>
      </c>
      <c r="L1484" s="594" t="s">
        <v>21</v>
      </c>
      <c r="M1484" s="92"/>
      <c r="N1484" s="92"/>
      <c r="O1484" s="93">
        <f t="shared" si="1032"/>
        <v>0</v>
      </c>
      <c r="P1484" s="93">
        <f t="shared" si="1033"/>
        <v>0</v>
      </c>
      <c r="Q1484" s="94"/>
      <c r="R1484" s="92">
        <f t="shared" si="1034"/>
        <v>0</v>
      </c>
      <c r="S1484" s="92">
        <f t="shared" si="1035"/>
        <v>0</v>
      </c>
      <c r="T1484" s="93">
        <f t="shared" si="1036"/>
        <v>0</v>
      </c>
      <c r="U1484" s="95">
        <f t="shared" si="1037"/>
        <v>0</v>
      </c>
      <c r="V1484" s="94"/>
      <c r="X1484" s="580" t="str">
        <f t="shared" si="1038"/>
        <v/>
      </c>
      <c r="Y1484" s="580" t="str">
        <f t="shared" si="1039"/>
        <v/>
      </c>
      <c r="Z1484" s="580" t="str">
        <f t="shared" si="1040"/>
        <v/>
      </c>
    </row>
    <row r="1485" spans="1:26" ht="25.5" hidden="1" x14ac:dyDescent="0.2">
      <c r="A1485" s="1008">
        <v>97607</v>
      </c>
      <c r="B1485" s="1010">
        <v>97607</v>
      </c>
      <c r="C1485" s="978" t="s">
        <v>883</v>
      </c>
      <c r="D1485" s="595" t="s">
        <v>1704</v>
      </c>
      <c r="E1485" s="596"/>
      <c r="F1485" s="671"/>
      <c r="G1485" s="597"/>
      <c r="H1485" s="682"/>
      <c r="I1485" s="592">
        <v>68.91</v>
      </c>
      <c r="J1485" s="592">
        <f t="shared" si="1031"/>
        <v>68.91</v>
      </c>
      <c r="K1485" s="593">
        <f t="shared" si="1041"/>
        <v>83.87</v>
      </c>
      <c r="L1485" s="594" t="s">
        <v>21</v>
      </c>
      <c r="M1485" s="92"/>
      <c r="N1485" s="92"/>
      <c r="O1485" s="93">
        <f t="shared" si="1032"/>
        <v>0</v>
      </c>
      <c r="P1485" s="93">
        <f t="shared" si="1033"/>
        <v>0</v>
      </c>
      <c r="Q1485" s="94"/>
      <c r="R1485" s="92">
        <f t="shared" si="1034"/>
        <v>0</v>
      </c>
      <c r="S1485" s="92">
        <f t="shared" si="1035"/>
        <v>0</v>
      </c>
      <c r="T1485" s="93">
        <f t="shared" si="1036"/>
        <v>0</v>
      </c>
      <c r="U1485" s="95">
        <f t="shared" si="1037"/>
        <v>0</v>
      </c>
      <c r="V1485" s="94"/>
      <c r="X1485" s="580" t="str">
        <f t="shared" si="1038"/>
        <v/>
      </c>
      <c r="Y1485" s="580" t="str">
        <f t="shared" si="1039"/>
        <v/>
      </c>
      <c r="Z1485" s="580" t="str">
        <f t="shared" si="1040"/>
        <v/>
      </c>
    </row>
    <row r="1486" spans="1:26" ht="25.5" hidden="1" x14ac:dyDescent="0.2">
      <c r="A1486" s="97">
        <v>97608</v>
      </c>
      <c r="B1486" s="1031">
        <v>97608</v>
      </c>
      <c r="C1486" s="978" t="s">
        <v>883</v>
      </c>
      <c r="D1486" s="595" t="s">
        <v>1705</v>
      </c>
      <c r="E1486" s="596"/>
      <c r="F1486" s="671"/>
      <c r="G1486" s="597"/>
      <c r="H1486" s="682"/>
      <c r="I1486" s="592">
        <v>74.92</v>
      </c>
      <c r="J1486" s="592">
        <f t="shared" si="1031"/>
        <v>74.92</v>
      </c>
      <c r="K1486" s="593">
        <f t="shared" si="1041"/>
        <v>91.19</v>
      </c>
      <c r="L1486" s="594" t="s">
        <v>21</v>
      </c>
      <c r="M1486" s="92"/>
      <c r="N1486" s="92"/>
      <c r="O1486" s="93">
        <f t="shared" si="1032"/>
        <v>0</v>
      </c>
      <c r="P1486" s="93">
        <f t="shared" si="1033"/>
        <v>0</v>
      </c>
      <c r="Q1486" s="94"/>
      <c r="R1486" s="92">
        <f t="shared" si="1034"/>
        <v>0</v>
      </c>
      <c r="S1486" s="92">
        <f t="shared" si="1035"/>
        <v>0</v>
      </c>
      <c r="T1486" s="93">
        <f t="shared" si="1036"/>
        <v>0</v>
      </c>
      <c r="U1486" s="95">
        <f t="shared" si="1037"/>
        <v>0</v>
      </c>
      <c r="V1486" s="94"/>
      <c r="X1486" s="580" t="str">
        <f t="shared" si="1038"/>
        <v/>
      </c>
      <c r="Y1486" s="580" t="str">
        <f t="shared" si="1039"/>
        <v/>
      </c>
      <c r="Z1486" s="580" t="str">
        <f t="shared" si="1040"/>
        <v/>
      </c>
    </row>
    <row r="1487" spans="1:26" ht="25.5" hidden="1" x14ac:dyDescent="0.2">
      <c r="A1487" s="97">
        <v>100902</v>
      </c>
      <c r="B1487" s="1031">
        <v>100902</v>
      </c>
      <c r="C1487" s="978" t="s">
        <v>883</v>
      </c>
      <c r="D1487" s="595" t="s">
        <v>1706</v>
      </c>
      <c r="E1487" s="596"/>
      <c r="F1487" s="671"/>
      <c r="G1487" s="597"/>
      <c r="H1487" s="682"/>
      <c r="I1487" s="592">
        <v>27.78</v>
      </c>
      <c r="J1487" s="592">
        <f t="shared" si="1031"/>
        <v>27.78</v>
      </c>
      <c r="K1487" s="593">
        <f t="shared" si="1041"/>
        <v>33.81</v>
      </c>
      <c r="L1487" s="594" t="s">
        <v>21</v>
      </c>
      <c r="M1487" s="92"/>
      <c r="N1487" s="92"/>
      <c r="O1487" s="93">
        <f t="shared" si="1032"/>
        <v>0</v>
      </c>
      <c r="P1487" s="93">
        <f t="shared" si="1033"/>
        <v>0</v>
      </c>
      <c r="Q1487" s="94"/>
      <c r="R1487" s="92">
        <f t="shared" si="1034"/>
        <v>0</v>
      </c>
      <c r="S1487" s="92">
        <f t="shared" si="1035"/>
        <v>0</v>
      </c>
      <c r="T1487" s="93">
        <f t="shared" si="1036"/>
        <v>0</v>
      </c>
      <c r="U1487" s="95">
        <f t="shared" si="1037"/>
        <v>0</v>
      </c>
      <c r="V1487" s="94"/>
      <c r="X1487" s="580" t="str">
        <f t="shared" si="1038"/>
        <v/>
      </c>
      <c r="Y1487" s="580" t="str">
        <f t="shared" si="1039"/>
        <v/>
      </c>
      <c r="Z1487" s="580" t="str">
        <f t="shared" si="1040"/>
        <v/>
      </c>
    </row>
    <row r="1488" spans="1:26" ht="25.5" hidden="1" x14ac:dyDescent="0.2">
      <c r="A1488" s="97">
        <v>100903</v>
      </c>
      <c r="B1488" s="1031">
        <v>100903</v>
      </c>
      <c r="C1488" s="978" t="s">
        <v>883</v>
      </c>
      <c r="D1488" s="595" t="s">
        <v>1707</v>
      </c>
      <c r="E1488" s="596"/>
      <c r="F1488" s="671"/>
      <c r="G1488" s="597"/>
      <c r="H1488" s="682"/>
      <c r="I1488" s="592">
        <v>33.49</v>
      </c>
      <c r="J1488" s="592">
        <f t="shared" ref="J1488:J1551" si="1042">IF(ISBLANK(I1488),"",SUM(H1488:I1488))</f>
        <v>33.49</v>
      </c>
      <c r="K1488" s="593">
        <f t="shared" si="1041"/>
        <v>40.76</v>
      </c>
      <c r="L1488" s="594" t="s">
        <v>21</v>
      </c>
      <c r="M1488" s="92"/>
      <c r="N1488" s="92"/>
      <c r="O1488" s="93">
        <f t="shared" ref="O1488:O1551" si="1043">IF(ISBLANK(M1488),0,ROUND(K1488*M1488,2))</f>
        <v>0</v>
      </c>
      <c r="P1488" s="93">
        <f t="shared" ref="P1488:P1551" si="1044">IF(ISBLANK(N1488),0,ROUND(M1488*N1488,2))</f>
        <v>0</v>
      </c>
      <c r="Q1488" s="94"/>
      <c r="R1488" s="92">
        <f t="shared" ref="R1488:R1551" si="1045">M1488</f>
        <v>0</v>
      </c>
      <c r="S1488" s="92">
        <f t="shared" ref="S1488:S1551" si="1046">N1488</f>
        <v>0</v>
      </c>
      <c r="T1488" s="93">
        <f t="shared" ref="T1488:T1551" si="1047">IF(ISBLANK(R1488),0,ROUND(K1488*R1488,2))</f>
        <v>0</v>
      </c>
      <c r="U1488" s="95">
        <f t="shared" ref="U1488:U1551" si="1048">IF(ISBLANK(R1488),0,ROUND(R1488*S1488,2))</f>
        <v>0</v>
      </c>
      <c r="V1488" s="94"/>
      <c r="X1488" s="580" t="str">
        <f t="shared" ref="X1488:X1551" si="1049">IF(W1488="X","x",IF(W1488="xx","x",IF(W1488="xy","x",IF(W1488="y","x",IF(OR(P1488&gt;0,U1488&gt;0),"x","")))))</f>
        <v/>
      </c>
      <c r="Y1488" s="580" t="str">
        <f t="shared" ref="Y1488:Y1551" si="1050">IF(W1488="X","x",IF(W1488="y","x",IF(W1488="xx","x",IF(U1488&gt;0,"x",""))))</f>
        <v/>
      </c>
      <c r="Z1488" s="580" t="str">
        <f t="shared" ref="Z1488:Z1551" si="1051">IF(W1488="X","x",IF(U1488&gt;0,"x",""))</f>
        <v/>
      </c>
    </row>
    <row r="1489" spans="1:26" ht="25.5" hidden="1" x14ac:dyDescent="0.2">
      <c r="A1489" s="97">
        <v>100904</v>
      </c>
      <c r="B1489" s="1031">
        <v>100904</v>
      </c>
      <c r="C1489" s="978" t="s">
        <v>883</v>
      </c>
      <c r="D1489" s="595" t="s">
        <v>1708</v>
      </c>
      <c r="E1489" s="596"/>
      <c r="F1489" s="671"/>
      <c r="G1489" s="597"/>
      <c r="H1489" s="682"/>
      <c r="I1489" s="592">
        <v>48.35</v>
      </c>
      <c r="J1489" s="592">
        <f t="shared" si="1042"/>
        <v>48.35</v>
      </c>
      <c r="K1489" s="593">
        <f t="shared" si="1041"/>
        <v>58.85</v>
      </c>
      <c r="L1489" s="594" t="s">
        <v>21</v>
      </c>
      <c r="M1489" s="92"/>
      <c r="N1489" s="92"/>
      <c r="O1489" s="93">
        <f t="shared" si="1043"/>
        <v>0</v>
      </c>
      <c r="P1489" s="93">
        <f t="shared" si="1044"/>
        <v>0</v>
      </c>
      <c r="Q1489" s="94"/>
      <c r="R1489" s="92">
        <f t="shared" si="1045"/>
        <v>0</v>
      </c>
      <c r="S1489" s="92">
        <f t="shared" si="1046"/>
        <v>0</v>
      </c>
      <c r="T1489" s="93">
        <f t="shared" si="1047"/>
        <v>0</v>
      </c>
      <c r="U1489" s="95">
        <f t="shared" si="1048"/>
        <v>0</v>
      </c>
      <c r="V1489" s="94"/>
      <c r="X1489" s="580" t="str">
        <f t="shared" si="1049"/>
        <v/>
      </c>
      <c r="Y1489" s="580" t="str">
        <f t="shared" si="1050"/>
        <v/>
      </c>
      <c r="Z1489" s="580" t="str">
        <f t="shared" si="1051"/>
        <v/>
      </c>
    </row>
    <row r="1490" spans="1:26" ht="38.25" hidden="1" x14ac:dyDescent="0.2">
      <c r="A1490" s="97">
        <v>100905</v>
      </c>
      <c r="B1490" s="1031">
        <v>100905</v>
      </c>
      <c r="C1490" s="978" t="s">
        <v>883</v>
      </c>
      <c r="D1490" s="595" t="s">
        <v>1709</v>
      </c>
      <c r="E1490" s="596"/>
      <c r="F1490" s="671"/>
      <c r="G1490" s="597"/>
      <c r="H1490" s="682"/>
      <c r="I1490" s="592">
        <v>127.92</v>
      </c>
      <c r="J1490" s="592">
        <f t="shared" si="1042"/>
        <v>127.92</v>
      </c>
      <c r="K1490" s="593">
        <f t="shared" si="1041"/>
        <v>155.69</v>
      </c>
      <c r="L1490" s="594" t="s">
        <v>21</v>
      </c>
      <c r="M1490" s="92"/>
      <c r="N1490" s="92"/>
      <c r="O1490" s="93">
        <f t="shared" si="1043"/>
        <v>0</v>
      </c>
      <c r="P1490" s="93">
        <f t="shared" si="1044"/>
        <v>0</v>
      </c>
      <c r="Q1490" s="94"/>
      <c r="R1490" s="92">
        <f t="shared" si="1045"/>
        <v>0</v>
      </c>
      <c r="S1490" s="92">
        <f t="shared" si="1046"/>
        <v>0</v>
      </c>
      <c r="T1490" s="93">
        <f t="shared" si="1047"/>
        <v>0</v>
      </c>
      <c r="U1490" s="95">
        <f t="shared" si="1048"/>
        <v>0</v>
      </c>
      <c r="V1490" s="94"/>
      <c r="X1490" s="580" t="str">
        <f t="shared" si="1049"/>
        <v/>
      </c>
      <c r="Y1490" s="580" t="str">
        <f t="shared" si="1050"/>
        <v/>
      </c>
      <c r="Z1490" s="580" t="str">
        <f t="shared" si="1051"/>
        <v/>
      </c>
    </row>
    <row r="1491" spans="1:26" ht="38.25" hidden="1" x14ac:dyDescent="0.2">
      <c r="A1491" s="97">
        <v>100906</v>
      </c>
      <c r="B1491" s="1031">
        <v>100906</v>
      </c>
      <c r="C1491" s="978" t="s">
        <v>883</v>
      </c>
      <c r="D1491" s="595" t="s">
        <v>1710</v>
      </c>
      <c r="E1491" s="596"/>
      <c r="F1491" s="671"/>
      <c r="G1491" s="597"/>
      <c r="H1491" s="682"/>
      <c r="I1491" s="592">
        <v>169.4</v>
      </c>
      <c r="J1491" s="592">
        <f t="shared" si="1042"/>
        <v>169.4</v>
      </c>
      <c r="K1491" s="593">
        <f t="shared" si="1041"/>
        <v>206.18</v>
      </c>
      <c r="L1491" s="594" t="s">
        <v>21</v>
      </c>
      <c r="M1491" s="92"/>
      <c r="N1491" s="92"/>
      <c r="O1491" s="93">
        <f t="shared" si="1043"/>
        <v>0</v>
      </c>
      <c r="P1491" s="93">
        <f t="shared" si="1044"/>
        <v>0</v>
      </c>
      <c r="Q1491" s="94"/>
      <c r="R1491" s="92">
        <f t="shared" si="1045"/>
        <v>0</v>
      </c>
      <c r="S1491" s="92">
        <f t="shared" si="1046"/>
        <v>0</v>
      </c>
      <c r="T1491" s="93">
        <f t="shared" si="1047"/>
        <v>0</v>
      </c>
      <c r="U1491" s="95">
        <f t="shared" si="1048"/>
        <v>0</v>
      </c>
      <c r="V1491" s="94"/>
      <c r="X1491" s="580" t="str">
        <f t="shared" si="1049"/>
        <v/>
      </c>
      <c r="Y1491" s="580" t="str">
        <f t="shared" si="1050"/>
        <v/>
      </c>
      <c r="Z1491" s="580" t="str">
        <f t="shared" si="1051"/>
        <v/>
      </c>
    </row>
    <row r="1492" spans="1:26" ht="25.5" hidden="1" x14ac:dyDescent="0.2">
      <c r="A1492" s="97">
        <v>100919</v>
      </c>
      <c r="B1492" s="1031">
        <v>100919</v>
      </c>
      <c r="C1492" s="978" t="s">
        <v>883</v>
      </c>
      <c r="D1492" s="595" t="s">
        <v>1711</v>
      </c>
      <c r="E1492" s="596"/>
      <c r="F1492" s="671"/>
      <c r="G1492" s="597"/>
      <c r="H1492" s="682"/>
      <c r="I1492" s="592">
        <v>64.819999999999993</v>
      </c>
      <c r="J1492" s="592">
        <f t="shared" si="1042"/>
        <v>64.819999999999993</v>
      </c>
      <c r="K1492" s="593">
        <f t="shared" si="1041"/>
        <v>78.89</v>
      </c>
      <c r="L1492" s="594" t="s">
        <v>21</v>
      </c>
      <c r="M1492" s="92"/>
      <c r="N1492" s="92"/>
      <c r="O1492" s="93">
        <f t="shared" si="1043"/>
        <v>0</v>
      </c>
      <c r="P1492" s="93">
        <f t="shared" si="1044"/>
        <v>0</v>
      </c>
      <c r="Q1492" s="94"/>
      <c r="R1492" s="92">
        <f t="shared" si="1045"/>
        <v>0</v>
      </c>
      <c r="S1492" s="92">
        <f t="shared" si="1046"/>
        <v>0</v>
      </c>
      <c r="T1492" s="93">
        <f t="shared" si="1047"/>
        <v>0</v>
      </c>
      <c r="U1492" s="95">
        <f t="shared" si="1048"/>
        <v>0</v>
      </c>
      <c r="V1492" s="94"/>
      <c r="X1492" s="580" t="str">
        <f t="shared" si="1049"/>
        <v/>
      </c>
      <c r="Y1492" s="580" t="str">
        <f t="shared" si="1050"/>
        <v/>
      </c>
      <c r="Z1492" s="580" t="str">
        <f t="shared" si="1051"/>
        <v/>
      </c>
    </row>
    <row r="1493" spans="1:26" ht="25.5" hidden="1" x14ac:dyDescent="0.2">
      <c r="A1493" s="97">
        <v>100920</v>
      </c>
      <c r="B1493" s="1031">
        <v>100920</v>
      </c>
      <c r="C1493" s="978" t="s">
        <v>883</v>
      </c>
      <c r="D1493" s="595" t="s">
        <v>1712</v>
      </c>
      <c r="E1493" s="596"/>
      <c r="F1493" s="671"/>
      <c r="G1493" s="597"/>
      <c r="H1493" s="682"/>
      <c r="I1493" s="592">
        <v>110.24</v>
      </c>
      <c r="J1493" s="592">
        <f t="shared" si="1042"/>
        <v>110.24</v>
      </c>
      <c r="K1493" s="593">
        <f t="shared" si="1041"/>
        <v>134.16999999999999</v>
      </c>
      <c r="L1493" s="594" t="s">
        <v>21</v>
      </c>
      <c r="M1493" s="92"/>
      <c r="N1493" s="92"/>
      <c r="O1493" s="93">
        <f t="shared" si="1043"/>
        <v>0</v>
      </c>
      <c r="P1493" s="93">
        <f t="shared" si="1044"/>
        <v>0</v>
      </c>
      <c r="Q1493" s="94"/>
      <c r="R1493" s="92">
        <f t="shared" si="1045"/>
        <v>0</v>
      </c>
      <c r="S1493" s="92">
        <f t="shared" si="1046"/>
        <v>0</v>
      </c>
      <c r="T1493" s="93">
        <f t="shared" si="1047"/>
        <v>0</v>
      </c>
      <c r="U1493" s="95">
        <f t="shared" si="1048"/>
        <v>0</v>
      </c>
      <c r="V1493" s="94"/>
      <c r="X1493" s="580" t="str">
        <f t="shared" si="1049"/>
        <v/>
      </c>
      <c r="Y1493" s="580" t="str">
        <f t="shared" si="1050"/>
        <v/>
      </c>
      <c r="Z1493" s="580" t="str">
        <f t="shared" si="1051"/>
        <v/>
      </c>
    </row>
    <row r="1494" spans="1:26" hidden="1" x14ac:dyDescent="0.2">
      <c r="A1494" s="97">
        <v>97609</v>
      </c>
      <c r="B1494" s="1031">
        <v>97609</v>
      </c>
      <c r="C1494" s="978" t="s">
        <v>883</v>
      </c>
      <c r="D1494" s="595" t="s">
        <v>1713</v>
      </c>
      <c r="E1494" s="596"/>
      <c r="F1494" s="671"/>
      <c r="G1494" s="597"/>
      <c r="H1494" s="682"/>
      <c r="I1494" s="592">
        <v>17.260000000000002</v>
      </c>
      <c r="J1494" s="592">
        <f t="shared" si="1042"/>
        <v>17.260000000000002</v>
      </c>
      <c r="K1494" s="593">
        <f t="shared" si="1041"/>
        <v>21.01</v>
      </c>
      <c r="L1494" s="594" t="s">
        <v>21</v>
      </c>
      <c r="M1494" s="92"/>
      <c r="N1494" s="92"/>
      <c r="O1494" s="93">
        <f t="shared" si="1043"/>
        <v>0</v>
      </c>
      <c r="P1494" s="93">
        <f t="shared" si="1044"/>
        <v>0</v>
      </c>
      <c r="Q1494" s="94"/>
      <c r="R1494" s="92">
        <f t="shared" si="1045"/>
        <v>0</v>
      </c>
      <c r="S1494" s="92">
        <f t="shared" si="1046"/>
        <v>0</v>
      </c>
      <c r="T1494" s="93">
        <f t="shared" si="1047"/>
        <v>0</v>
      </c>
      <c r="U1494" s="95">
        <f t="shared" si="1048"/>
        <v>0</v>
      </c>
      <c r="V1494" s="94"/>
      <c r="X1494" s="580" t="str">
        <f t="shared" si="1049"/>
        <v/>
      </c>
      <c r="Y1494" s="580" t="str">
        <f t="shared" si="1050"/>
        <v/>
      </c>
      <c r="Z1494" s="580" t="str">
        <f t="shared" si="1051"/>
        <v/>
      </c>
    </row>
    <row r="1495" spans="1:26" ht="25.5" hidden="1" x14ac:dyDescent="0.2">
      <c r="A1495" s="1008">
        <v>97610</v>
      </c>
      <c r="B1495" s="1010">
        <v>97610</v>
      </c>
      <c r="C1495" s="978" t="s">
        <v>883</v>
      </c>
      <c r="D1495" s="595" t="s">
        <v>1714</v>
      </c>
      <c r="E1495" s="596"/>
      <c r="F1495" s="671"/>
      <c r="G1495" s="597"/>
      <c r="H1495" s="682"/>
      <c r="I1495" s="592">
        <v>18.55</v>
      </c>
      <c r="J1495" s="592">
        <f t="shared" si="1042"/>
        <v>18.55</v>
      </c>
      <c r="K1495" s="593">
        <f t="shared" si="1041"/>
        <v>22.58</v>
      </c>
      <c r="L1495" s="594" t="s">
        <v>21</v>
      </c>
      <c r="M1495" s="92"/>
      <c r="N1495" s="92"/>
      <c r="O1495" s="93">
        <f t="shared" si="1043"/>
        <v>0</v>
      </c>
      <c r="P1495" s="93">
        <f t="shared" si="1044"/>
        <v>0</v>
      </c>
      <c r="Q1495" s="94"/>
      <c r="R1495" s="92">
        <f t="shared" si="1045"/>
        <v>0</v>
      </c>
      <c r="S1495" s="92">
        <f t="shared" si="1046"/>
        <v>0</v>
      </c>
      <c r="T1495" s="93">
        <f t="shared" si="1047"/>
        <v>0</v>
      </c>
      <c r="U1495" s="95">
        <f t="shared" si="1048"/>
        <v>0</v>
      </c>
      <c r="V1495" s="94"/>
      <c r="X1495" s="580" t="str">
        <f t="shared" si="1049"/>
        <v/>
      </c>
      <c r="Y1495" s="580" t="str">
        <f t="shared" si="1050"/>
        <v/>
      </c>
      <c r="Z1495" s="580" t="str">
        <f t="shared" si="1051"/>
        <v/>
      </c>
    </row>
    <row r="1496" spans="1:26" ht="25.5" hidden="1" x14ac:dyDescent="0.2">
      <c r="A1496" s="97">
        <v>101537</v>
      </c>
      <c r="B1496" s="1031">
        <v>101537</v>
      </c>
      <c r="C1496" s="978" t="s">
        <v>883</v>
      </c>
      <c r="D1496" s="595" t="s">
        <v>1715</v>
      </c>
      <c r="E1496" s="596"/>
      <c r="F1496" s="671"/>
      <c r="G1496" s="597"/>
      <c r="H1496" s="682"/>
      <c r="I1496" s="592">
        <v>145.53</v>
      </c>
      <c r="J1496" s="592">
        <f t="shared" si="1042"/>
        <v>145.53</v>
      </c>
      <c r="K1496" s="593">
        <f t="shared" si="1041"/>
        <v>177.12</v>
      </c>
      <c r="L1496" s="594" t="s">
        <v>21</v>
      </c>
      <c r="M1496" s="92"/>
      <c r="N1496" s="92"/>
      <c r="O1496" s="93">
        <f t="shared" si="1043"/>
        <v>0</v>
      </c>
      <c r="P1496" s="93">
        <f t="shared" si="1044"/>
        <v>0</v>
      </c>
      <c r="Q1496" s="94"/>
      <c r="R1496" s="92">
        <f t="shared" si="1045"/>
        <v>0</v>
      </c>
      <c r="S1496" s="92">
        <f t="shared" si="1046"/>
        <v>0</v>
      </c>
      <c r="T1496" s="93">
        <f t="shared" si="1047"/>
        <v>0</v>
      </c>
      <c r="U1496" s="95">
        <f t="shared" si="1048"/>
        <v>0</v>
      </c>
      <c r="V1496" s="94"/>
      <c r="X1496" s="580" t="str">
        <f t="shared" si="1049"/>
        <v/>
      </c>
      <c r="Y1496" s="580" t="str">
        <f t="shared" si="1050"/>
        <v/>
      </c>
      <c r="Z1496" s="580" t="str">
        <f t="shared" si="1051"/>
        <v/>
      </c>
    </row>
    <row r="1497" spans="1:26" hidden="1" x14ac:dyDescent="0.2">
      <c r="A1497" s="97">
        <v>97054</v>
      </c>
      <c r="B1497" s="1031">
        <v>97054</v>
      </c>
      <c r="C1497" s="978" t="s">
        <v>883</v>
      </c>
      <c r="D1497" s="595" t="s">
        <v>1716</v>
      </c>
      <c r="E1497" s="596"/>
      <c r="F1497" s="671"/>
      <c r="G1497" s="597"/>
      <c r="H1497" s="682"/>
      <c r="I1497" s="592">
        <v>24.65</v>
      </c>
      <c r="J1497" s="592">
        <f t="shared" si="1042"/>
        <v>24.65</v>
      </c>
      <c r="K1497" s="593">
        <f t="shared" si="1041"/>
        <v>30</v>
      </c>
      <c r="L1497" s="594" t="s">
        <v>21</v>
      </c>
      <c r="M1497" s="92"/>
      <c r="N1497" s="92"/>
      <c r="O1497" s="93">
        <f t="shared" si="1043"/>
        <v>0</v>
      </c>
      <c r="P1497" s="93">
        <f t="shared" si="1044"/>
        <v>0</v>
      </c>
      <c r="Q1497" s="94"/>
      <c r="R1497" s="92">
        <f t="shared" si="1045"/>
        <v>0</v>
      </c>
      <c r="S1497" s="92">
        <f t="shared" si="1046"/>
        <v>0</v>
      </c>
      <c r="T1497" s="93">
        <f t="shared" si="1047"/>
        <v>0</v>
      </c>
      <c r="U1497" s="95">
        <f t="shared" si="1048"/>
        <v>0</v>
      </c>
      <c r="V1497" s="94"/>
      <c r="X1497" s="580" t="str">
        <f t="shared" si="1049"/>
        <v/>
      </c>
      <c r="Y1497" s="580" t="str">
        <f t="shared" si="1050"/>
        <v/>
      </c>
      <c r="Z1497" s="580" t="str">
        <f t="shared" si="1051"/>
        <v/>
      </c>
    </row>
    <row r="1498" spans="1:26" ht="25.5" hidden="1" x14ac:dyDescent="0.2">
      <c r="A1498" s="97">
        <v>101538</v>
      </c>
      <c r="B1498" s="1031">
        <v>101538</v>
      </c>
      <c r="C1498" s="978" t="s">
        <v>883</v>
      </c>
      <c r="D1498" s="595" t="s">
        <v>1717</v>
      </c>
      <c r="E1498" s="596"/>
      <c r="F1498" s="671"/>
      <c r="G1498" s="597"/>
      <c r="H1498" s="682"/>
      <c r="I1498" s="592">
        <v>30.12</v>
      </c>
      <c r="J1498" s="592">
        <f t="shared" si="1042"/>
        <v>30.12</v>
      </c>
      <c r="K1498" s="593">
        <f t="shared" si="1041"/>
        <v>36.659999999999997</v>
      </c>
      <c r="L1498" s="594" t="s">
        <v>21</v>
      </c>
      <c r="M1498" s="92"/>
      <c r="N1498" s="92"/>
      <c r="O1498" s="93">
        <f t="shared" si="1043"/>
        <v>0</v>
      </c>
      <c r="P1498" s="93">
        <f t="shared" si="1044"/>
        <v>0</v>
      </c>
      <c r="Q1498" s="94"/>
      <c r="R1498" s="92">
        <f t="shared" si="1045"/>
        <v>0</v>
      </c>
      <c r="S1498" s="92">
        <f t="shared" si="1046"/>
        <v>0</v>
      </c>
      <c r="T1498" s="93">
        <f t="shared" si="1047"/>
        <v>0</v>
      </c>
      <c r="U1498" s="95">
        <f t="shared" si="1048"/>
        <v>0</v>
      </c>
      <c r="V1498" s="94"/>
      <c r="X1498" s="580" t="str">
        <f t="shared" si="1049"/>
        <v/>
      </c>
      <c r="Y1498" s="580" t="str">
        <f t="shared" si="1050"/>
        <v/>
      </c>
      <c r="Z1498" s="580" t="str">
        <f t="shared" si="1051"/>
        <v/>
      </c>
    </row>
    <row r="1499" spans="1:26" ht="25.5" hidden="1" x14ac:dyDescent="0.2">
      <c r="A1499" s="97">
        <v>101539</v>
      </c>
      <c r="B1499" s="1031">
        <v>101539</v>
      </c>
      <c r="C1499" s="978" t="s">
        <v>883</v>
      </c>
      <c r="D1499" s="595" t="s">
        <v>1718</v>
      </c>
      <c r="E1499" s="596"/>
      <c r="F1499" s="671"/>
      <c r="G1499" s="597"/>
      <c r="H1499" s="682"/>
      <c r="I1499" s="592">
        <v>51.37</v>
      </c>
      <c r="J1499" s="592">
        <f t="shared" si="1042"/>
        <v>51.37</v>
      </c>
      <c r="K1499" s="593">
        <f t="shared" si="1041"/>
        <v>62.52</v>
      </c>
      <c r="L1499" s="594" t="s">
        <v>21</v>
      </c>
      <c r="M1499" s="92"/>
      <c r="N1499" s="92"/>
      <c r="O1499" s="93">
        <f t="shared" si="1043"/>
        <v>0</v>
      </c>
      <c r="P1499" s="93">
        <f t="shared" si="1044"/>
        <v>0</v>
      </c>
      <c r="Q1499" s="94"/>
      <c r="R1499" s="92">
        <f t="shared" si="1045"/>
        <v>0</v>
      </c>
      <c r="S1499" s="92">
        <f t="shared" si="1046"/>
        <v>0</v>
      </c>
      <c r="T1499" s="93">
        <f t="shared" si="1047"/>
        <v>0</v>
      </c>
      <c r="U1499" s="95">
        <f t="shared" si="1048"/>
        <v>0</v>
      </c>
      <c r="V1499" s="94"/>
      <c r="X1499" s="580" t="str">
        <f t="shared" si="1049"/>
        <v/>
      </c>
      <c r="Y1499" s="580" t="str">
        <f t="shared" si="1050"/>
        <v/>
      </c>
      <c r="Z1499" s="580" t="str">
        <f t="shared" si="1051"/>
        <v/>
      </c>
    </row>
    <row r="1500" spans="1:26" ht="25.5" hidden="1" x14ac:dyDescent="0.2">
      <c r="A1500" s="97">
        <v>101540</v>
      </c>
      <c r="B1500" s="1031">
        <v>101540</v>
      </c>
      <c r="C1500" s="978" t="s">
        <v>883</v>
      </c>
      <c r="D1500" s="595" t="s">
        <v>1719</v>
      </c>
      <c r="E1500" s="596"/>
      <c r="F1500" s="671"/>
      <c r="G1500" s="597"/>
      <c r="H1500" s="682"/>
      <c r="I1500" s="592">
        <v>84.94</v>
      </c>
      <c r="J1500" s="592">
        <f t="shared" si="1042"/>
        <v>84.94</v>
      </c>
      <c r="K1500" s="593">
        <f t="shared" si="1041"/>
        <v>103.38</v>
      </c>
      <c r="L1500" s="594" t="s">
        <v>21</v>
      </c>
      <c r="M1500" s="92"/>
      <c r="N1500" s="92"/>
      <c r="O1500" s="93">
        <f t="shared" si="1043"/>
        <v>0</v>
      </c>
      <c r="P1500" s="93">
        <f t="shared" si="1044"/>
        <v>0</v>
      </c>
      <c r="Q1500" s="94"/>
      <c r="R1500" s="92">
        <f t="shared" si="1045"/>
        <v>0</v>
      </c>
      <c r="S1500" s="92">
        <f t="shared" si="1046"/>
        <v>0</v>
      </c>
      <c r="T1500" s="93">
        <f t="shared" si="1047"/>
        <v>0</v>
      </c>
      <c r="U1500" s="95">
        <f t="shared" si="1048"/>
        <v>0</v>
      </c>
      <c r="V1500" s="94"/>
      <c r="X1500" s="580" t="str">
        <f t="shared" si="1049"/>
        <v/>
      </c>
      <c r="Y1500" s="580" t="str">
        <f t="shared" si="1050"/>
        <v/>
      </c>
      <c r="Z1500" s="580" t="str">
        <f t="shared" si="1051"/>
        <v/>
      </c>
    </row>
    <row r="1501" spans="1:26" ht="25.5" hidden="1" x14ac:dyDescent="0.2">
      <c r="A1501" s="97">
        <v>101541</v>
      </c>
      <c r="B1501" s="1031">
        <v>101541</v>
      </c>
      <c r="C1501" s="978" t="s">
        <v>883</v>
      </c>
      <c r="D1501" s="595" t="s">
        <v>1720</v>
      </c>
      <c r="E1501" s="596"/>
      <c r="F1501" s="671"/>
      <c r="G1501" s="597"/>
      <c r="H1501" s="682"/>
      <c r="I1501" s="592">
        <v>111.19</v>
      </c>
      <c r="J1501" s="592">
        <f t="shared" si="1042"/>
        <v>111.19</v>
      </c>
      <c r="K1501" s="593">
        <f t="shared" si="1041"/>
        <v>135.33000000000001</v>
      </c>
      <c r="L1501" s="594" t="s">
        <v>21</v>
      </c>
      <c r="M1501" s="92"/>
      <c r="N1501" s="92"/>
      <c r="O1501" s="93">
        <f t="shared" si="1043"/>
        <v>0</v>
      </c>
      <c r="P1501" s="93">
        <f t="shared" si="1044"/>
        <v>0</v>
      </c>
      <c r="Q1501" s="94"/>
      <c r="R1501" s="92">
        <f t="shared" si="1045"/>
        <v>0</v>
      </c>
      <c r="S1501" s="92">
        <f t="shared" si="1046"/>
        <v>0</v>
      </c>
      <c r="T1501" s="93">
        <f t="shared" si="1047"/>
        <v>0</v>
      </c>
      <c r="U1501" s="95">
        <f t="shared" si="1048"/>
        <v>0</v>
      </c>
      <c r="V1501" s="94"/>
      <c r="X1501" s="580" t="str">
        <f t="shared" si="1049"/>
        <v/>
      </c>
      <c r="Y1501" s="580" t="str">
        <f t="shared" si="1050"/>
        <v/>
      </c>
      <c r="Z1501" s="580" t="str">
        <f t="shared" si="1051"/>
        <v/>
      </c>
    </row>
    <row r="1502" spans="1:26" ht="25.5" hidden="1" x14ac:dyDescent="0.2">
      <c r="A1502" s="97">
        <v>101542</v>
      </c>
      <c r="B1502" s="1031">
        <v>101542</v>
      </c>
      <c r="C1502" s="978" t="s">
        <v>883</v>
      </c>
      <c r="D1502" s="595" t="s">
        <v>1721</v>
      </c>
      <c r="E1502" s="596"/>
      <c r="F1502" s="671"/>
      <c r="G1502" s="597"/>
      <c r="H1502" s="682"/>
      <c r="I1502" s="592">
        <v>23.21</v>
      </c>
      <c r="J1502" s="592">
        <f t="shared" si="1042"/>
        <v>23.21</v>
      </c>
      <c r="K1502" s="593">
        <f t="shared" si="1041"/>
        <v>28.25</v>
      </c>
      <c r="L1502" s="594" t="s">
        <v>21</v>
      </c>
      <c r="M1502" s="92"/>
      <c r="N1502" s="92"/>
      <c r="O1502" s="93">
        <f t="shared" si="1043"/>
        <v>0</v>
      </c>
      <c r="P1502" s="93">
        <f t="shared" si="1044"/>
        <v>0</v>
      </c>
      <c r="Q1502" s="94"/>
      <c r="R1502" s="92">
        <f t="shared" si="1045"/>
        <v>0</v>
      </c>
      <c r="S1502" s="92">
        <f t="shared" si="1046"/>
        <v>0</v>
      </c>
      <c r="T1502" s="93">
        <f t="shared" si="1047"/>
        <v>0</v>
      </c>
      <c r="U1502" s="95">
        <f t="shared" si="1048"/>
        <v>0</v>
      </c>
      <c r="V1502" s="94"/>
      <c r="X1502" s="580" t="str">
        <f t="shared" si="1049"/>
        <v/>
      </c>
      <c r="Y1502" s="580" t="str">
        <f t="shared" si="1050"/>
        <v/>
      </c>
      <c r="Z1502" s="580" t="str">
        <f t="shared" si="1051"/>
        <v/>
      </c>
    </row>
    <row r="1503" spans="1:26" ht="25.5" hidden="1" x14ac:dyDescent="0.2">
      <c r="A1503" s="97">
        <v>101543</v>
      </c>
      <c r="B1503" s="1031">
        <v>101543</v>
      </c>
      <c r="C1503" s="978" t="s">
        <v>883</v>
      </c>
      <c r="D1503" s="595" t="s">
        <v>1722</v>
      </c>
      <c r="E1503" s="596"/>
      <c r="F1503" s="671"/>
      <c r="G1503" s="597"/>
      <c r="H1503" s="682"/>
      <c r="I1503" s="592">
        <v>42.14</v>
      </c>
      <c r="J1503" s="592">
        <f t="shared" si="1042"/>
        <v>42.14</v>
      </c>
      <c r="K1503" s="593">
        <f t="shared" si="1041"/>
        <v>51.29</v>
      </c>
      <c r="L1503" s="594" t="s">
        <v>21</v>
      </c>
      <c r="M1503" s="92"/>
      <c r="N1503" s="92"/>
      <c r="O1503" s="93">
        <f t="shared" si="1043"/>
        <v>0</v>
      </c>
      <c r="P1503" s="93">
        <f t="shared" si="1044"/>
        <v>0</v>
      </c>
      <c r="Q1503" s="94"/>
      <c r="R1503" s="92">
        <f t="shared" si="1045"/>
        <v>0</v>
      </c>
      <c r="S1503" s="92">
        <f t="shared" si="1046"/>
        <v>0</v>
      </c>
      <c r="T1503" s="93">
        <f t="shared" si="1047"/>
        <v>0</v>
      </c>
      <c r="U1503" s="95">
        <f t="shared" si="1048"/>
        <v>0</v>
      </c>
      <c r="V1503" s="94"/>
      <c r="X1503" s="580" t="str">
        <f t="shared" si="1049"/>
        <v/>
      </c>
      <c r="Y1503" s="580" t="str">
        <f t="shared" si="1050"/>
        <v/>
      </c>
      <c r="Z1503" s="580" t="str">
        <f t="shared" si="1051"/>
        <v/>
      </c>
    </row>
    <row r="1504" spans="1:26" ht="25.5" hidden="1" x14ac:dyDescent="0.2">
      <c r="A1504" s="97">
        <v>101544</v>
      </c>
      <c r="B1504" s="1031">
        <v>101544</v>
      </c>
      <c r="C1504" s="978" t="s">
        <v>883</v>
      </c>
      <c r="D1504" s="595" t="s">
        <v>1723</v>
      </c>
      <c r="E1504" s="596"/>
      <c r="F1504" s="671"/>
      <c r="G1504" s="597"/>
      <c r="H1504" s="682"/>
      <c r="I1504" s="592">
        <v>66.64</v>
      </c>
      <c r="J1504" s="592">
        <f t="shared" si="1042"/>
        <v>66.64</v>
      </c>
      <c r="K1504" s="593">
        <f t="shared" si="1041"/>
        <v>81.11</v>
      </c>
      <c r="L1504" s="594" t="s">
        <v>21</v>
      </c>
      <c r="M1504" s="92"/>
      <c r="N1504" s="92"/>
      <c r="O1504" s="93">
        <f t="shared" si="1043"/>
        <v>0</v>
      </c>
      <c r="P1504" s="93">
        <f t="shared" si="1044"/>
        <v>0</v>
      </c>
      <c r="Q1504" s="94"/>
      <c r="R1504" s="92">
        <f t="shared" si="1045"/>
        <v>0</v>
      </c>
      <c r="S1504" s="92">
        <f t="shared" si="1046"/>
        <v>0</v>
      </c>
      <c r="T1504" s="93">
        <f t="shared" si="1047"/>
        <v>0</v>
      </c>
      <c r="U1504" s="95">
        <f t="shared" si="1048"/>
        <v>0</v>
      </c>
      <c r="V1504" s="94"/>
      <c r="X1504" s="580" t="str">
        <f t="shared" si="1049"/>
        <v/>
      </c>
      <c r="Y1504" s="580" t="str">
        <f t="shared" si="1050"/>
        <v/>
      </c>
      <c r="Z1504" s="580" t="str">
        <f t="shared" si="1051"/>
        <v/>
      </c>
    </row>
    <row r="1505" spans="1:26" ht="25.5" hidden="1" x14ac:dyDescent="0.2">
      <c r="A1505" s="97">
        <v>101545</v>
      </c>
      <c r="B1505" s="1031">
        <v>101545</v>
      </c>
      <c r="C1505" s="978" t="s">
        <v>883</v>
      </c>
      <c r="D1505" s="595" t="s">
        <v>1724</v>
      </c>
      <c r="E1505" s="596"/>
      <c r="F1505" s="671"/>
      <c r="G1505" s="597"/>
      <c r="H1505" s="682"/>
      <c r="I1505" s="592">
        <v>95.33</v>
      </c>
      <c r="J1505" s="592">
        <f t="shared" si="1042"/>
        <v>95.33</v>
      </c>
      <c r="K1505" s="593">
        <f t="shared" si="1041"/>
        <v>116.03</v>
      </c>
      <c r="L1505" s="594" t="s">
        <v>21</v>
      </c>
      <c r="M1505" s="92"/>
      <c r="N1505" s="92"/>
      <c r="O1505" s="93">
        <f t="shared" si="1043"/>
        <v>0</v>
      </c>
      <c r="P1505" s="93">
        <f t="shared" si="1044"/>
        <v>0</v>
      </c>
      <c r="Q1505" s="94"/>
      <c r="R1505" s="92">
        <f t="shared" si="1045"/>
        <v>0</v>
      </c>
      <c r="S1505" s="92">
        <f t="shared" si="1046"/>
        <v>0</v>
      </c>
      <c r="T1505" s="93">
        <f t="shared" si="1047"/>
        <v>0</v>
      </c>
      <c r="U1505" s="95">
        <f t="shared" si="1048"/>
        <v>0</v>
      </c>
      <c r="V1505" s="94"/>
      <c r="X1505" s="580" t="str">
        <f t="shared" si="1049"/>
        <v/>
      </c>
      <c r="Y1505" s="580" t="str">
        <f t="shared" si="1050"/>
        <v/>
      </c>
      <c r="Z1505" s="580" t="str">
        <f t="shared" si="1051"/>
        <v/>
      </c>
    </row>
    <row r="1506" spans="1:26" hidden="1" x14ac:dyDescent="0.2">
      <c r="A1506" s="97">
        <v>101546</v>
      </c>
      <c r="B1506" s="1031">
        <v>101546</v>
      </c>
      <c r="C1506" s="978" t="s">
        <v>883</v>
      </c>
      <c r="D1506" s="595" t="s">
        <v>1725</v>
      </c>
      <c r="E1506" s="596"/>
      <c r="F1506" s="671"/>
      <c r="G1506" s="597"/>
      <c r="H1506" s="682"/>
      <c r="I1506" s="592">
        <v>24.3</v>
      </c>
      <c r="J1506" s="592">
        <f t="shared" si="1042"/>
        <v>24.3</v>
      </c>
      <c r="K1506" s="593">
        <f t="shared" si="1041"/>
        <v>29.58</v>
      </c>
      <c r="L1506" s="594" t="s">
        <v>21</v>
      </c>
      <c r="M1506" s="92"/>
      <c r="N1506" s="92"/>
      <c r="O1506" s="93">
        <f t="shared" si="1043"/>
        <v>0</v>
      </c>
      <c r="P1506" s="93">
        <f t="shared" si="1044"/>
        <v>0</v>
      </c>
      <c r="Q1506" s="94"/>
      <c r="R1506" s="92">
        <f t="shared" si="1045"/>
        <v>0</v>
      </c>
      <c r="S1506" s="92">
        <f t="shared" si="1046"/>
        <v>0</v>
      </c>
      <c r="T1506" s="93">
        <f t="shared" si="1047"/>
        <v>0</v>
      </c>
      <c r="U1506" s="95">
        <f t="shared" si="1048"/>
        <v>0</v>
      </c>
      <c r="V1506" s="94"/>
      <c r="X1506" s="580" t="str">
        <f t="shared" si="1049"/>
        <v/>
      </c>
      <c r="Y1506" s="580" t="str">
        <f t="shared" si="1050"/>
        <v/>
      </c>
      <c r="Z1506" s="580" t="str">
        <f t="shared" si="1051"/>
        <v/>
      </c>
    </row>
    <row r="1507" spans="1:26" hidden="1" x14ac:dyDescent="0.2">
      <c r="A1507" s="97">
        <v>101547</v>
      </c>
      <c r="B1507" s="1031">
        <v>101547</v>
      </c>
      <c r="C1507" s="978" t="s">
        <v>883</v>
      </c>
      <c r="D1507" s="595" t="s">
        <v>1726</v>
      </c>
      <c r="E1507" s="596"/>
      <c r="F1507" s="671"/>
      <c r="G1507" s="597"/>
      <c r="H1507" s="682"/>
      <c r="I1507" s="592">
        <v>75.53</v>
      </c>
      <c r="J1507" s="592">
        <f t="shared" si="1042"/>
        <v>75.53</v>
      </c>
      <c r="K1507" s="593">
        <f t="shared" si="1041"/>
        <v>91.93</v>
      </c>
      <c r="L1507" s="594" t="s">
        <v>21</v>
      </c>
      <c r="M1507" s="92"/>
      <c r="N1507" s="92"/>
      <c r="O1507" s="93">
        <f t="shared" si="1043"/>
        <v>0</v>
      </c>
      <c r="P1507" s="93">
        <f t="shared" si="1044"/>
        <v>0</v>
      </c>
      <c r="Q1507" s="94"/>
      <c r="R1507" s="92">
        <f t="shared" si="1045"/>
        <v>0</v>
      </c>
      <c r="S1507" s="92">
        <f t="shared" si="1046"/>
        <v>0</v>
      </c>
      <c r="T1507" s="93">
        <f t="shared" si="1047"/>
        <v>0</v>
      </c>
      <c r="U1507" s="95">
        <f t="shared" si="1048"/>
        <v>0</v>
      </c>
      <c r="V1507" s="94"/>
      <c r="X1507" s="580" t="str">
        <f t="shared" si="1049"/>
        <v/>
      </c>
      <c r="Y1507" s="580" t="str">
        <f t="shared" si="1050"/>
        <v/>
      </c>
      <c r="Z1507" s="580" t="str">
        <f t="shared" si="1051"/>
        <v/>
      </c>
    </row>
    <row r="1508" spans="1:26" ht="25.5" hidden="1" x14ac:dyDescent="0.2">
      <c r="A1508" s="97">
        <v>101548</v>
      </c>
      <c r="B1508" s="1031">
        <v>101548</v>
      </c>
      <c r="C1508" s="978" t="s">
        <v>883</v>
      </c>
      <c r="D1508" s="595" t="s">
        <v>1727</v>
      </c>
      <c r="E1508" s="596"/>
      <c r="F1508" s="671"/>
      <c r="G1508" s="597"/>
      <c r="H1508" s="682"/>
      <c r="I1508" s="592">
        <v>6.23</v>
      </c>
      <c r="J1508" s="592">
        <f t="shared" si="1042"/>
        <v>6.23</v>
      </c>
      <c r="K1508" s="593">
        <f t="shared" si="1041"/>
        <v>7.58</v>
      </c>
      <c r="L1508" s="594" t="s">
        <v>21</v>
      </c>
      <c r="M1508" s="92"/>
      <c r="N1508" s="92"/>
      <c r="O1508" s="93">
        <f t="shared" si="1043"/>
        <v>0</v>
      </c>
      <c r="P1508" s="93">
        <f t="shared" si="1044"/>
        <v>0</v>
      </c>
      <c r="Q1508" s="94"/>
      <c r="R1508" s="92">
        <f t="shared" si="1045"/>
        <v>0</v>
      </c>
      <c r="S1508" s="92">
        <f t="shared" si="1046"/>
        <v>0</v>
      </c>
      <c r="T1508" s="93">
        <f t="shared" si="1047"/>
        <v>0</v>
      </c>
      <c r="U1508" s="95">
        <f t="shared" si="1048"/>
        <v>0</v>
      </c>
      <c r="V1508" s="94"/>
      <c r="X1508" s="580" t="str">
        <f t="shared" si="1049"/>
        <v/>
      </c>
      <c r="Y1508" s="580" t="str">
        <f t="shared" si="1050"/>
        <v/>
      </c>
      <c r="Z1508" s="580" t="str">
        <f t="shared" si="1051"/>
        <v/>
      </c>
    </row>
    <row r="1509" spans="1:26" ht="25.5" hidden="1" x14ac:dyDescent="0.2">
      <c r="A1509" s="97">
        <v>101549</v>
      </c>
      <c r="B1509" s="1031">
        <v>101549</v>
      </c>
      <c r="C1509" s="978" t="s">
        <v>883</v>
      </c>
      <c r="D1509" s="595" t="s">
        <v>1728</v>
      </c>
      <c r="E1509" s="596"/>
      <c r="F1509" s="671"/>
      <c r="G1509" s="597"/>
      <c r="H1509" s="682"/>
      <c r="I1509" s="592">
        <v>12.27</v>
      </c>
      <c r="J1509" s="592">
        <f t="shared" si="1042"/>
        <v>12.27</v>
      </c>
      <c r="K1509" s="593">
        <f t="shared" si="1041"/>
        <v>14.93</v>
      </c>
      <c r="L1509" s="594" t="s">
        <v>21</v>
      </c>
      <c r="M1509" s="92"/>
      <c r="N1509" s="92"/>
      <c r="O1509" s="93">
        <f t="shared" si="1043"/>
        <v>0</v>
      </c>
      <c r="P1509" s="93">
        <f t="shared" si="1044"/>
        <v>0</v>
      </c>
      <c r="Q1509" s="94"/>
      <c r="R1509" s="92">
        <f t="shared" si="1045"/>
        <v>0</v>
      </c>
      <c r="S1509" s="92">
        <f t="shared" si="1046"/>
        <v>0</v>
      </c>
      <c r="T1509" s="93">
        <f t="shared" si="1047"/>
        <v>0</v>
      </c>
      <c r="U1509" s="95">
        <f t="shared" si="1048"/>
        <v>0</v>
      </c>
      <c r="V1509" s="94"/>
      <c r="X1509" s="580" t="str">
        <f t="shared" si="1049"/>
        <v/>
      </c>
      <c r="Y1509" s="580" t="str">
        <f t="shared" si="1050"/>
        <v/>
      </c>
      <c r="Z1509" s="580" t="str">
        <f t="shared" si="1051"/>
        <v/>
      </c>
    </row>
    <row r="1510" spans="1:26" ht="25.5" hidden="1" x14ac:dyDescent="0.2">
      <c r="A1510" s="97">
        <v>101553</v>
      </c>
      <c r="B1510" s="1031">
        <v>101553</v>
      </c>
      <c r="C1510" s="978" t="s">
        <v>883</v>
      </c>
      <c r="D1510" s="595" t="s">
        <v>1729</v>
      </c>
      <c r="E1510" s="596"/>
      <c r="F1510" s="671"/>
      <c r="G1510" s="597"/>
      <c r="H1510" s="682"/>
      <c r="I1510" s="592">
        <v>10.67</v>
      </c>
      <c r="J1510" s="592">
        <f t="shared" si="1042"/>
        <v>10.67</v>
      </c>
      <c r="K1510" s="593">
        <f t="shared" si="1041"/>
        <v>12.99</v>
      </c>
      <c r="L1510" s="594" t="s">
        <v>21</v>
      </c>
      <c r="M1510" s="92"/>
      <c r="N1510" s="92"/>
      <c r="O1510" s="93">
        <f t="shared" si="1043"/>
        <v>0</v>
      </c>
      <c r="P1510" s="93">
        <f t="shared" si="1044"/>
        <v>0</v>
      </c>
      <c r="Q1510" s="94"/>
      <c r="R1510" s="92">
        <f t="shared" si="1045"/>
        <v>0</v>
      </c>
      <c r="S1510" s="92">
        <f t="shared" si="1046"/>
        <v>0</v>
      </c>
      <c r="T1510" s="93">
        <f t="shared" si="1047"/>
        <v>0</v>
      </c>
      <c r="U1510" s="95">
        <f t="shared" si="1048"/>
        <v>0</v>
      </c>
      <c r="V1510" s="94"/>
      <c r="X1510" s="580" t="str">
        <f t="shared" si="1049"/>
        <v/>
      </c>
      <c r="Y1510" s="580" t="str">
        <f t="shared" si="1050"/>
        <v/>
      </c>
      <c r="Z1510" s="580" t="str">
        <f t="shared" si="1051"/>
        <v/>
      </c>
    </row>
    <row r="1511" spans="1:26" ht="25.5" hidden="1" x14ac:dyDescent="0.2">
      <c r="A1511" s="97">
        <v>101554</v>
      </c>
      <c r="B1511" s="1031">
        <v>101554</v>
      </c>
      <c r="C1511" s="978" t="s">
        <v>883</v>
      </c>
      <c r="D1511" s="595" t="s">
        <v>1730</v>
      </c>
      <c r="E1511" s="596"/>
      <c r="F1511" s="671"/>
      <c r="G1511" s="597"/>
      <c r="H1511" s="682"/>
      <c r="I1511" s="592">
        <v>8.16</v>
      </c>
      <c r="J1511" s="592">
        <f t="shared" si="1042"/>
        <v>8.16</v>
      </c>
      <c r="K1511" s="593">
        <f t="shared" si="1041"/>
        <v>9.93</v>
      </c>
      <c r="L1511" s="594" t="s">
        <v>21</v>
      </c>
      <c r="M1511" s="92"/>
      <c r="N1511" s="92"/>
      <c r="O1511" s="93">
        <f t="shared" si="1043"/>
        <v>0</v>
      </c>
      <c r="P1511" s="93">
        <f t="shared" si="1044"/>
        <v>0</v>
      </c>
      <c r="Q1511" s="94"/>
      <c r="R1511" s="92">
        <f t="shared" si="1045"/>
        <v>0</v>
      </c>
      <c r="S1511" s="92">
        <f t="shared" si="1046"/>
        <v>0</v>
      </c>
      <c r="T1511" s="93">
        <f t="shared" si="1047"/>
        <v>0</v>
      </c>
      <c r="U1511" s="95">
        <f t="shared" si="1048"/>
        <v>0</v>
      </c>
      <c r="V1511" s="94"/>
      <c r="X1511" s="580" t="str">
        <f t="shared" si="1049"/>
        <v/>
      </c>
      <c r="Y1511" s="580" t="str">
        <f t="shared" si="1050"/>
        <v/>
      </c>
      <c r="Z1511" s="580" t="str">
        <f t="shared" si="1051"/>
        <v/>
      </c>
    </row>
    <row r="1512" spans="1:26" ht="25.5" hidden="1" x14ac:dyDescent="0.2">
      <c r="A1512" s="97">
        <v>101555</v>
      </c>
      <c r="B1512" s="1031">
        <v>101555</v>
      </c>
      <c r="C1512" s="978" t="s">
        <v>883</v>
      </c>
      <c r="D1512" s="595" t="s">
        <v>1731</v>
      </c>
      <c r="E1512" s="596"/>
      <c r="F1512" s="671"/>
      <c r="G1512" s="597"/>
      <c r="H1512" s="682"/>
      <c r="I1512" s="592">
        <v>5.86</v>
      </c>
      <c r="J1512" s="592">
        <f t="shared" si="1042"/>
        <v>5.86</v>
      </c>
      <c r="K1512" s="593">
        <f t="shared" si="1041"/>
        <v>7.13</v>
      </c>
      <c r="L1512" s="594" t="s">
        <v>21</v>
      </c>
      <c r="M1512" s="92"/>
      <c r="N1512" s="92"/>
      <c r="O1512" s="93">
        <f t="shared" si="1043"/>
        <v>0</v>
      </c>
      <c r="P1512" s="93">
        <f t="shared" si="1044"/>
        <v>0</v>
      </c>
      <c r="Q1512" s="94"/>
      <c r="R1512" s="92">
        <f t="shared" si="1045"/>
        <v>0</v>
      </c>
      <c r="S1512" s="92">
        <f t="shared" si="1046"/>
        <v>0</v>
      </c>
      <c r="T1512" s="93">
        <f t="shared" si="1047"/>
        <v>0</v>
      </c>
      <c r="U1512" s="95">
        <f t="shared" si="1048"/>
        <v>0</v>
      </c>
      <c r="V1512" s="94"/>
      <c r="X1512" s="580" t="str">
        <f t="shared" si="1049"/>
        <v/>
      </c>
      <c r="Y1512" s="580" t="str">
        <f t="shared" si="1050"/>
        <v/>
      </c>
      <c r="Z1512" s="580" t="str">
        <f t="shared" si="1051"/>
        <v/>
      </c>
    </row>
    <row r="1513" spans="1:26" ht="25.5" hidden="1" x14ac:dyDescent="0.2">
      <c r="A1513" s="97">
        <v>101556</v>
      </c>
      <c r="B1513" s="1031">
        <v>101556</v>
      </c>
      <c r="C1513" s="978" t="s">
        <v>883</v>
      </c>
      <c r="D1513" s="595" t="s">
        <v>1732</v>
      </c>
      <c r="E1513" s="596"/>
      <c r="F1513" s="671"/>
      <c r="G1513" s="597"/>
      <c r="H1513" s="682"/>
      <c r="I1513" s="592">
        <v>5.5</v>
      </c>
      <c r="J1513" s="592">
        <f t="shared" si="1042"/>
        <v>5.5</v>
      </c>
      <c r="K1513" s="593">
        <f t="shared" si="1041"/>
        <v>6.69</v>
      </c>
      <c r="L1513" s="594" t="s">
        <v>21</v>
      </c>
      <c r="M1513" s="92"/>
      <c r="N1513" s="92"/>
      <c r="O1513" s="93">
        <f t="shared" si="1043"/>
        <v>0</v>
      </c>
      <c r="P1513" s="93">
        <f t="shared" si="1044"/>
        <v>0</v>
      </c>
      <c r="Q1513" s="94"/>
      <c r="R1513" s="92">
        <f t="shared" si="1045"/>
        <v>0</v>
      </c>
      <c r="S1513" s="92">
        <f t="shared" si="1046"/>
        <v>0</v>
      </c>
      <c r="T1513" s="93">
        <f t="shared" si="1047"/>
        <v>0</v>
      </c>
      <c r="U1513" s="95">
        <f t="shared" si="1048"/>
        <v>0</v>
      </c>
      <c r="V1513" s="94"/>
      <c r="X1513" s="580" t="str">
        <f t="shared" si="1049"/>
        <v/>
      </c>
      <c r="Y1513" s="580" t="str">
        <f t="shared" si="1050"/>
        <v/>
      </c>
      <c r="Z1513" s="580" t="str">
        <f t="shared" si="1051"/>
        <v/>
      </c>
    </row>
    <row r="1514" spans="1:26" ht="25.5" hidden="1" x14ac:dyDescent="0.2">
      <c r="A1514" s="97">
        <v>101626</v>
      </c>
      <c r="B1514" s="1031">
        <v>101626</v>
      </c>
      <c r="C1514" s="978" t="s">
        <v>883</v>
      </c>
      <c r="D1514" s="595" t="s">
        <v>1733</v>
      </c>
      <c r="E1514" s="596"/>
      <c r="F1514" s="671"/>
      <c r="G1514" s="597"/>
      <c r="H1514" s="682"/>
      <c r="I1514" s="592">
        <v>88.65</v>
      </c>
      <c r="J1514" s="592">
        <f t="shared" si="1042"/>
        <v>88.65</v>
      </c>
      <c r="K1514" s="593">
        <f t="shared" si="1041"/>
        <v>107.9</v>
      </c>
      <c r="L1514" s="594" t="s">
        <v>21</v>
      </c>
      <c r="M1514" s="92"/>
      <c r="N1514" s="92"/>
      <c r="O1514" s="93">
        <f t="shared" si="1043"/>
        <v>0</v>
      </c>
      <c r="P1514" s="93">
        <f t="shared" si="1044"/>
        <v>0</v>
      </c>
      <c r="Q1514" s="94"/>
      <c r="R1514" s="92">
        <f t="shared" si="1045"/>
        <v>0</v>
      </c>
      <c r="S1514" s="92">
        <f t="shared" si="1046"/>
        <v>0</v>
      </c>
      <c r="T1514" s="93">
        <f t="shared" si="1047"/>
        <v>0</v>
      </c>
      <c r="U1514" s="95">
        <f t="shared" si="1048"/>
        <v>0</v>
      </c>
      <c r="V1514" s="94"/>
      <c r="X1514" s="580" t="str">
        <f t="shared" si="1049"/>
        <v/>
      </c>
      <c r="Y1514" s="580" t="str">
        <f t="shared" si="1050"/>
        <v/>
      </c>
      <c r="Z1514" s="580" t="str">
        <f t="shared" si="1051"/>
        <v/>
      </c>
    </row>
    <row r="1515" spans="1:26" ht="25.5" hidden="1" x14ac:dyDescent="0.2">
      <c r="A1515" s="97">
        <v>101627</v>
      </c>
      <c r="B1515" s="1031">
        <v>101627</v>
      </c>
      <c r="C1515" s="978" t="s">
        <v>883</v>
      </c>
      <c r="D1515" s="595" t="s">
        <v>1734</v>
      </c>
      <c r="E1515" s="596"/>
      <c r="F1515" s="671"/>
      <c r="G1515" s="597"/>
      <c r="H1515" s="682"/>
      <c r="I1515" s="592">
        <v>135.6</v>
      </c>
      <c r="J1515" s="592">
        <f t="shared" si="1042"/>
        <v>135.6</v>
      </c>
      <c r="K1515" s="593">
        <f t="shared" si="1041"/>
        <v>165.04</v>
      </c>
      <c r="L1515" s="594" t="s">
        <v>21</v>
      </c>
      <c r="M1515" s="92"/>
      <c r="N1515" s="92"/>
      <c r="O1515" s="93">
        <f t="shared" si="1043"/>
        <v>0</v>
      </c>
      <c r="P1515" s="93">
        <f t="shared" si="1044"/>
        <v>0</v>
      </c>
      <c r="Q1515" s="94"/>
      <c r="R1515" s="92">
        <f t="shared" si="1045"/>
        <v>0</v>
      </c>
      <c r="S1515" s="92">
        <f t="shared" si="1046"/>
        <v>0</v>
      </c>
      <c r="T1515" s="93">
        <f t="shared" si="1047"/>
        <v>0</v>
      </c>
      <c r="U1515" s="95">
        <f t="shared" si="1048"/>
        <v>0</v>
      </c>
      <c r="V1515" s="94"/>
      <c r="X1515" s="580" t="str">
        <f t="shared" si="1049"/>
        <v/>
      </c>
      <c r="Y1515" s="580" t="str">
        <f t="shared" si="1050"/>
        <v/>
      </c>
      <c r="Z1515" s="580" t="str">
        <f t="shared" si="1051"/>
        <v/>
      </c>
    </row>
    <row r="1516" spans="1:26" ht="25.5" hidden="1" x14ac:dyDescent="0.2">
      <c r="A1516" s="97">
        <v>101628</v>
      </c>
      <c r="B1516" s="1031">
        <v>101628</v>
      </c>
      <c r="C1516" s="978" t="s">
        <v>883</v>
      </c>
      <c r="D1516" s="595" t="s">
        <v>1735</v>
      </c>
      <c r="E1516" s="596"/>
      <c r="F1516" s="671"/>
      <c r="G1516" s="597"/>
      <c r="H1516" s="682"/>
      <c r="I1516" s="592">
        <v>66.930000000000007</v>
      </c>
      <c r="J1516" s="592">
        <f t="shared" si="1042"/>
        <v>66.930000000000007</v>
      </c>
      <c r="K1516" s="593">
        <f t="shared" si="1041"/>
        <v>81.459999999999994</v>
      </c>
      <c r="L1516" s="594" t="s">
        <v>21</v>
      </c>
      <c r="M1516" s="92"/>
      <c r="N1516" s="92"/>
      <c r="O1516" s="93">
        <f t="shared" si="1043"/>
        <v>0</v>
      </c>
      <c r="P1516" s="93">
        <f t="shared" si="1044"/>
        <v>0</v>
      </c>
      <c r="Q1516" s="94"/>
      <c r="R1516" s="92">
        <f t="shared" si="1045"/>
        <v>0</v>
      </c>
      <c r="S1516" s="92">
        <f t="shared" si="1046"/>
        <v>0</v>
      </c>
      <c r="T1516" s="93">
        <f t="shared" si="1047"/>
        <v>0</v>
      </c>
      <c r="U1516" s="95">
        <f t="shared" si="1048"/>
        <v>0</v>
      </c>
      <c r="V1516" s="94"/>
      <c r="X1516" s="580" t="str">
        <f t="shared" si="1049"/>
        <v/>
      </c>
      <c r="Y1516" s="580" t="str">
        <f t="shared" si="1050"/>
        <v/>
      </c>
      <c r="Z1516" s="580" t="str">
        <f t="shared" si="1051"/>
        <v/>
      </c>
    </row>
    <row r="1517" spans="1:26" ht="25.5" hidden="1" x14ac:dyDescent="0.2">
      <c r="A1517" s="97">
        <v>101629</v>
      </c>
      <c r="B1517" s="1031">
        <v>101629</v>
      </c>
      <c r="C1517" s="978" t="s">
        <v>883</v>
      </c>
      <c r="D1517" s="595" t="s">
        <v>1736</v>
      </c>
      <c r="E1517" s="596"/>
      <c r="F1517" s="671"/>
      <c r="G1517" s="597"/>
      <c r="H1517" s="682"/>
      <c r="I1517" s="592">
        <v>78.12</v>
      </c>
      <c r="J1517" s="592">
        <f t="shared" si="1042"/>
        <v>78.12</v>
      </c>
      <c r="K1517" s="593">
        <f t="shared" si="1041"/>
        <v>95.08</v>
      </c>
      <c r="L1517" s="594" t="s">
        <v>21</v>
      </c>
      <c r="M1517" s="92"/>
      <c r="N1517" s="92"/>
      <c r="O1517" s="93">
        <f t="shared" si="1043"/>
        <v>0</v>
      </c>
      <c r="P1517" s="93">
        <f t="shared" si="1044"/>
        <v>0</v>
      </c>
      <c r="Q1517" s="94"/>
      <c r="R1517" s="92">
        <f t="shared" si="1045"/>
        <v>0</v>
      </c>
      <c r="S1517" s="92">
        <f t="shared" si="1046"/>
        <v>0</v>
      </c>
      <c r="T1517" s="93">
        <f t="shared" si="1047"/>
        <v>0</v>
      </c>
      <c r="U1517" s="95">
        <f t="shared" si="1048"/>
        <v>0</v>
      </c>
      <c r="V1517" s="94"/>
      <c r="X1517" s="580" t="str">
        <f t="shared" si="1049"/>
        <v/>
      </c>
      <c r="Y1517" s="580" t="str">
        <f t="shared" si="1050"/>
        <v/>
      </c>
      <c r="Z1517" s="580" t="str">
        <f t="shared" si="1051"/>
        <v/>
      </c>
    </row>
    <row r="1518" spans="1:26" ht="25.5" hidden="1" x14ac:dyDescent="0.2">
      <c r="A1518" s="97">
        <v>100921</v>
      </c>
      <c r="B1518" s="1031">
        <v>100921</v>
      </c>
      <c r="C1518" s="978" t="s">
        <v>883</v>
      </c>
      <c r="D1518" s="595" t="s">
        <v>1737</v>
      </c>
      <c r="E1518" s="596"/>
      <c r="F1518" s="671"/>
      <c r="G1518" s="597"/>
      <c r="H1518" s="682"/>
      <c r="I1518" s="592">
        <v>43.29</v>
      </c>
      <c r="J1518" s="592">
        <f t="shared" si="1042"/>
        <v>43.29</v>
      </c>
      <c r="K1518" s="593">
        <f t="shared" si="1041"/>
        <v>52.69</v>
      </c>
      <c r="L1518" s="594" t="s">
        <v>21</v>
      </c>
      <c r="M1518" s="92"/>
      <c r="N1518" s="92"/>
      <c r="O1518" s="93">
        <f t="shared" si="1043"/>
        <v>0</v>
      </c>
      <c r="P1518" s="93">
        <f t="shared" si="1044"/>
        <v>0</v>
      </c>
      <c r="Q1518" s="94"/>
      <c r="R1518" s="92">
        <f t="shared" si="1045"/>
        <v>0</v>
      </c>
      <c r="S1518" s="92">
        <f t="shared" si="1046"/>
        <v>0</v>
      </c>
      <c r="T1518" s="93">
        <f t="shared" si="1047"/>
        <v>0</v>
      </c>
      <c r="U1518" s="95">
        <f t="shared" si="1048"/>
        <v>0</v>
      </c>
      <c r="V1518" s="94"/>
      <c r="X1518" s="580" t="str">
        <f t="shared" si="1049"/>
        <v/>
      </c>
      <c r="Y1518" s="580" t="str">
        <f t="shared" si="1050"/>
        <v/>
      </c>
      <c r="Z1518" s="580" t="str">
        <f t="shared" si="1051"/>
        <v/>
      </c>
    </row>
    <row r="1519" spans="1:26" ht="25.5" hidden="1" x14ac:dyDescent="0.2">
      <c r="A1519" s="97">
        <v>100922</v>
      </c>
      <c r="B1519" s="1031">
        <v>100922</v>
      </c>
      <c r="C1519" s="978" t="s">
        <v>883</v>
      </c>
      <c r="D1519" s="595" t="s">
        <v>1738</v>
      </c>
      <c r="E1519" s="596"/>
      <c r="F1519" s="671"/>
      <c r="G1519" s="597"/>
      <c r="H1519" s="682"/>
      <c r="I1519" s="592">
        <v>30.78</v>
      </c>
      <c r="J1519" s="592">
        <f t="shared" si="1042"/>
        <v>30.78</v>
      </c>
      <c r="K1519" s="593">
        <f t="shared" si="1041"/>
        <v>37.46</v>
      </c>
      <c r="L1519" s="594" t="s">
        <v>21</v>
      </c>
      <c r="M1519" s="92"/>
      <c r="N1519" s="92"/>
      <c r="O1519" s="93">
        <f t="shared" si="1043"/>
        <v>0</v>
      </c>
      <c r="P1519" s="93">
        <f t="shared" si="1044"/>
        <v>0</v>
      </c>
      <c r="Q1519" s="94"/>
      <c r="R1519" s="92">
        <f t="shared" si="1045"/>
        <v>0</v>
      </c>
      <c r="S1519" s="92">
        <f t="shared" si="1046"/>
        <v>0</v>
      </c>
      <c r="T1519" s="93">
        <f t="shared" si="1047"/>
        <v>0</v>
      </c>
      <c r="U1519" s="95">
        <f t="shared" si="1048"/>
        <v>0</v>
      </c>
      <c r="V1519" s="94"/>
      <c r="X1519" s="580" t="str">
        <f t="shared" si="1049"/>
        <v/>
      </c>
      <c r="Y1519" s="580" t="str">
        <f t="shared" si="1050"/>
        <v/>
      </c>
      <c r="Z1519" s="580" t="str">
        <f t="shared" si="1051"/>
        <v/>
      </c>
    </row>
    <row r="1520" spans="1:26" ht="25.5" hidden="1" x14ac:dyDescent="0.2">
      <c r="A1520" s="97">
        <v>100923</v>
      </c>
      <c r="B1520" s="1031">
        <v>100923</v>
      </c>
      <c r="C1520" s="978" t="s">
        <v>883</v>
      </c>
      <c r="D1520" s="595" t="s">
        <v>1739</v>
      </c>
      <c r="E1520" s="596"/>
      <c r="F1520" s="671"/>
      <c r="G1520" s="597"/>
      <c r="H1520" s="682"/>
      <c r="I1520" s="592">
        <v>34.479999999999997</v>
      </c>
      <c r="J1520" s="592">
        <f t="shared" si="1042"/>
        <v>34.479999999999997</v>
      </c>
      <c r="K1520" s="593">
        <f t="shared" si="1041"/>
        <v>41.97</v>
      </c>
      <c r="L1520" s="594" t="s">
        <v>21</v>
      </c>
      <c r="M1520" s="92"/>
      <c r="N1520" s="92"/>
      <c r="O1520" s="93">
        <f t="shared" si="1043"/>
        <v>0</v>
      </c>
      <c r="P1520" s="93">
        <f t="shared" si="1044"/>
        <v>0</v>
      </c>
      <c r="Q1520" s="94"/>
      <c r="R1520" s="92">
        <f t="shared" si="1045"/>
        <v>0</v>
      </c>
      <c r="S1520" s="92">
        <f t="shared" si="1046"/>
        <v>0</v>
      </c>
      <c r="T1520" s="93">
        <f t="shared" si="1047"/>
        <v>0</v>
      </c>
      <c r="U1520" s="95">
        <f t="shared" si="1048"/>
        <v>0</v>
      </c>
      <c r="V1520" s="94"/>
      <c r="X1520" s="580" t="str">
        <f t="shared" si="1049"/>
        <v/>
      </c>
      <c r="Y1520" s="580" t="str">
        <f t="shared" si="1050"/>
        <v/>
      </c>
      <c r="Z1520" s="580" t="str">
        <f t="shared" si="1051"/>
        <v/>
      </c>
    </row>
    <row r="1521" spans="1:26" ht="25.5" hidden="1" x14ac:dyDescent="0.2">
      <c r="A1521" s="97">
        <v>101661</v>
      </c>
      <c r="B1521" s="1031">
        <v>101661</v>
      </c>
      <c r="C1521" s="978" t="s">
        <v>883</v>
      </c>
      <c r="D1521" s="595" t="s">
        <v>1740</v>
      </c>
      <c r="E1521" s="596"/>
      <c r="F1521" s="671"/>
      <c r="G1521" s="597"/>
      <c r="H1521" s="682"/>
      <c r="I1521" s="592">
        <v>85.59</v>
      </c>
      <c r="J1521" s="592">
        <f t="shared" si="1042"/>
        <v>85.59</v>
      </c>
      <c r="K1521" s="593">
        <f t="shared" si="1041"/>
        <v>104.17</v>
      </c>
      <c r="L1521" s="594" t="s">
        <v>21</v>
      </c>
      <c r="M1521" s="92"/>
      <c r="N1521" s="92"/>
      <c r="O1521" s="93">
        <f t="shared" si="1043"/>
        <v>0</v>
      </c>
      <c r="P1521" s="93">
        <f t="shared" si="1044"/>
        <v>0</v>
      </c>
      <c r="Q1521" s="94"/>
      <c r="R1521" s="92">
        <f t="shared" si="1045"/>
        <v>0</v>
      </c>
      <c r="S1521" s="92">
        <f t="shared" si="1046"/>
        <v>0</v>
      </c>
      <c r="T1521" s="93">
        <f t="shared" si="1047"/>
        <v>0</v>
      </c>
      <c r="U1521" s="95">
        <f t="shared" si="1048"/>
        <v>0</v>
      </c>
      <c r="V1521" s="94"/>
      <c r="X1521" s="580" t="str">
        <f t="shared" si="1049"/>
        <v/>
      </c>
      <c r="Y1521" s="580" t="str">
        <f t="shared" si="1050"/>
        <v/>
      </c>
      <c r="Z1521" s="580" t="str">
        <f t="shared" si="1051"/>
        <v/>
      </c>
    </row>
    <row r="1522" spans="1:26" ht="25.5" hidden="1" x14ac:dyDescent="0.2">
      <c r="A1522" s="97">
        <v>101651</v>
      </c>
      <c r="B1522" s="1031">
        <v>101651</v>
      </c>
      <c r="C1522" s="978" t="s">
        <v>883</v>
      </c>
      <c r="D1522" s="595" t="s">
        <v>1741</v>
      </c>
      <c r="E1522" s="596"/>
      <c r="F1522" s="671"/>
      <c r="G1522" s="597"/>
      <c r="H1522" s="682"/>
      <c r="I1522" s="592">
        <v>41.03</v>
      </c>
      <c r="J1522" s="592">
        <f t="shared" si="1042"/>
        <v>41.03</v>
      </c>
      <c r="K1522" s="593">
        <f t="shared" si="1041"/>
        <v>49.94</v>
      </c>
      <c r="L1522" s="594" t="s">
        <v>21</v>
      </c>
      <c r="M1522" s="92"/>
      <c r="N1522" s="92"/>
      <c r="O1522" s="93">
        <f t="shared" si="1043"/>
        <v>0</v>
      </c>
      <c r="P1522" s="93">
        <f t="shared" si="1044"/>
        <v>0</v>
      </c>
      <c r="Q1522" s="94"/>
      <c r="R1522" s="92">
        <f t="shared" si="1045"/>
        <v>0</v>
      </c>
      <c r="S1522" s="92">
        <f t="shared" si="1046"/>
        <v>0</v>
      </c>
      <c r="T1522" s="93">
        <f t="shared" si="1047"/>
        <v>0</v>
      </c>
      <c r="U1522" s="95">
        <f t="shared" si="1048"/>
        <v>0</v>
      </c>
      <c r="V1522" s="94"/>
      <c r="X1522" s="580" t="str">
        <f t="shared" si="1049"/>
        <v/>
      </c>
      <c r="Y1522" s="580" t="str">
        <f t="shared" si="1050"/>
        <v/>
      </c>
      <c r="Z1522" s="580" t="str">
        <f t="shared" si="1051"/>
        <v/>
      </c>
    </row>
    <row r="1523" spans="1:26" ht="25.5" hidden="1" x14ac:dyDescent="0.2">
      <c r="A1523" s="97">
        <v>101630</v>
      </c>
      <c r="B1523" s="1031">
        <v>101630</v>
      </c>
      <c r="C1523" s="978" t="s">
        <v>883</v>
      </c>
      <c r="D1523" s="595" t="s">
        <v>1742</v>
      </c>
      <c r="E1523" s="596"/>
      <c r="F1523" s="671"/>
      <c r="G1523" s="597"/>
      <c r="H1523" s="682"/>
      <c r="I1523" s="592">
        <v>50.89</v>
      </c>
      <c r="J1523" s="592">
        <f t="shared" si="1042"/>
        <v>50.89</v>
      </c>
      <c r="K1523" s="593">
        <f t="shared" si="1041"/>
        <v>61.94</v>
      </c>
      <c r="L1523" s="594" t="s">
        <v>21</v>
      </c>
      <c r="M1523" s="92"/>
      <c r="N1523" s="92"/>
      <c r="O1523" s="93">
        <f t="shared" si="1043"/>
        <v>0</v>
      </c>
      <c r="P1523" s="93">
        <f t="shared" si="1044"/>
        <v>0</v>
      </c>
      <c r="Q1523" s="94"/>
      <c r="R1523" s="92">
        <f t="shared" si="1045"/>
        <v>0</v>
      </c>
      <c r="S1523" s="92">
        <f t="shared" si="1046"/>
        <v>0</v>
      </c>
      <c r="T1523" s="93">
        <f t="shared" si="1047"/>
        <v>0</v>
      </c>
      <c r="U1523" s="95">
        <f t="shared" si="1048"/>
        <v>0</v>
      </c>
      <c r="V1523" s="94"/>
      <c r="X1523" s="580" t="str">
        <f t="shared" si="1049"/>
        <v/>
      </c>
      <c r="Y1523" s="580" t="str">
        <f t="shared" si="1050"/>
        <v/>
      </c>
      <c r="Z1523" s="580" t="str">
        <f t="shared" si="1051"/>
        <v/>
      </c>
    </row>
    <row r="1524" spans="1:26" ht="25.5" hidden="1" x14ac:dyDescent="0.2">
      <c r="A1524" s="97">
        <v>101631</v>
      </c>
      <c r="B1524" s="1031">
        <v>101631</v>
      </c>
      <c r="C1524" s="978" t="s">
        <v>883</v>
      </c>
      <c r="D1524" s="595" t="s">
        <v>1743</v>
      </c>
      <c r="E1524" s="596"/>
      <c r="F1524" s="671"/>
      <c r="G1524" s="597"/>
      <c r="H1524" s="682"/>
      <c r="I1524" s="592">
        <v>27.9</v>
      </c>
      <c r="J1524" s="592">
        <f t="shared" si="1042"/>
        <v>27.9</v>
      </c>
      <c r="K1524" s="593">
        <f t="shared" si="1041"/>
        <v>33.96</v>
      </c>
      <c r="L1524" s="594" t="s">
        <v>21</v>
      </c>
      <c r="M1524" s="92"/>
      <c r="N1524" s="92"/>
      <c r="O1524" s="93">
        <f t="shared" si="1043"/>
        <v>0</v>
      </c>
      <c r="P1524" s="93">
        <f t="shared" si="1044"/>
        <v>0</v>
      </c>
      <c r="Q1524" s="94"/>
      <c r="R1524" s="92">
        <f t="shared" si="1045"/>
        <v>0</v>
      </c>
      <c r="S1524" s="92">
        <f t="shared" si="1046"/>
        <v>0</v>
      </c>
      <c r="T1524" s="93">
        <f t="shared" si="1047"/>
        <v>0</v>
      </c>
      <c r="U1524" s="95">
        <f t="shared" si="1048"/>
        <v>0</v>
      </c>
      <c r="V1524" s="94"/>
      <c r="X1524" s="580" t="str">
        <f t="shared" si="1049"/>
        <v/>
      </c>
      <c r="Y1524" s="580" t="str">
        <f t="shared" si="1050"/>
        <v/>
      </c>
      <c r="Z1524" s="580" t="str">
        <f t="shared" si="1051"/>
        <v/>
      </c>
    </row>
    <row r="1525" spans="1:26" ht="25.5" hidden="1" x14ac:dyDescent="0.2">
      <c r="A1525" s="97">
        <v>101632</v>
      </c>
      <c r="B1525" s="1031">
        <v>101632</v>
      </c>
      <c r="C1525" s="978" t="s">
        <v>883</v>
      </c>
      <c r="D1525" s="595" t="s">
        <v>1744</v>
      </c>
      <c r="E1525" s="596"/>
      <c r="F1525" s="671"/>
      <c r="G1525" s="597"/>
      <c r="H1525" s="682"/>
      <c r="I1525" s="592">
        <v>19.170000000000002</v>
      </c>
      <c r="J1525" s="592">
        <f t="shared" si="1042"/>
        <v>19.170000000000002</v>
      </c>
      <c r="K1525" s="593">
        <f t="shared" si="1041"/>
        <v>23.33</v>
      </c>
      <c r="L1525" s="594" t="s">
        <v>21</v>
      </c>
      <c r="M1525" s="92"/>
      <c r="N1525" s="92"/>
      <c r="O1525" s="93">
        <f t="shared" si="1043"/>
        <v>0</v>
      </c>
      <c r="P1525" s="93">
        <f t="shared" si="1044"/>
        <v>0</v>
      </c>
      <c r="Q1525" s="94"/>
      <c r="R1525" s="92">
        <f t="shared" si="1045"/>
        <v>0</v>
      </c>
      <c r="S1525" s="92">
        <f t="shared" si="1046"/>
        <v>0</v>
      </c>
      <c r="T1525" s="93">
        <f t="shared" si="1047"/>
        <v>0</v>
      </c>
      <c r="U1525" s="95">
        <f t="shared" si="1048"/>
        <v>0</v>
      </c>
      <c r="V1525" s="94"/>
      <c r="X1525" s="580" t="str">
        <f t="shared" si="1049"/>
        <v/>
      </c>
      <c r="Y1525" s="580" t="str">
        <f t="shared" si="1050"/>
        <v/>
      </c>
      <c r="Z1525" s="580" t="str">
        <f t="shared" si="1051"/>
        <v/>
      </c>
    </row>
    <row r="1526" spans="1:26" ht="25.5" hidden="1" x14ac:dyDescent="0.2">
      <c r="A1526" s="97">
        <v>101633</v>
      </c>
      <c r="B1526" s="1031">
        <v>101633</v>
      </c>
      <c r="C1526" s="978" t="s">
        <v>883</v>
      </c>
      <c r="D1526" s="595" t="s">
        <v>1745</v>
      </c>
      <c r="E1526" s="596"/>
      <c r="F1526" s="671"/>
      <c r="G1526" s="597"/>
      <c r="H1526" s="682"/>
      <c r="I1526" s="592">
        <v>58.34</v>
      </c>
      <c r="J1526" s="592">
        <f t="shared" si="1042"/>
        <v>58.34</v>
      </c>
      <c r="K1526" s="593">
        <f t="shared" si="1041"/>
        <v>71.010000000000005</v>
      </c>
      <c r="L1526" s="594" t="s">
        <v>21</v>
      </c>
      <c r="M1526" s="92"/>
      <c r="N1526" s="92"/>
      <c r="O1526" s="93">
        <f t="shared" si="1043"/>
        <v>0</v>
      </c>
      <c r="P1526" s="93">
        <f t="shared" si="1044"/>
        <v>0</v>
      </c>
      <c r="Q1526" s="94"/>
      <c r="R1526" s="92">
        <f t="shared" si="1045"/>
        <v>0</v>
      </c>
      <c r="S1526" s="92">
        <f t="shared" si="1046"/>
        <v>0</v>
      </c>
      <c r="T1526" s="93">
        <f t="shared" si="1047"/>
        <v>0</v>
      </c>
      <c r="U1526" s="95">
        <f t="shared" si="1048"/>
        <v>0</v>
      </c>
      <c r="V1526" s="94"/>
      <c r="X1526" s="580" t="str">
        <f t="shared" si="1049"/>
        <v/>
      </c>
      <c r="Y1526" s="580" t="str">
        <f t="shared" si="1050"/>
        <v/>
      </c>
      <c r="Z1526" s="580" t="str">
        <f t="shared" si="1051"/>
        <v/>
      </c>
    </row>
    <row r="1527" spans="1:26" ht="38.25" hidden="1" x14ac:dyDescent="0.2">
      <c r="A1527" s="97">
        <v>101636</v>
      </c>
      <c r="B1527" s="1031">
        <v>101636</v>
      </c>
      <c r="C1527" s="978" t="s">
        <v>883</v>
      </c>
      <c r="D1527" s="595" t="s">
        <v>1746</v>
      </c>
      <c r="E1527" s="596"/>
      <c r="F1527" s="671"/>
      <c r="G1527" s="597"/>
      <c r="H1527" s="682"/>
      <c r="I1527" s="592">
        <v>102.27</v>
      </c>
      <c r="J1527" s="592">
        <f t="shared" si="1042"/>
        <v>102.27</v>
      </c>
      <c r="K1527" s="593">
        <f t="shared" si="1041"/>
        <v>124.47</v>
      </c>
      <c r="L1527" s="594" t="s">
        <v>21</v>
      </c>
      <c r="M1527" s="92"/>
      <c r="N1527" s="92"/>
      <c r="O1527" s="93">
        <f t="shared" si="1043"/>
        <v>0</v>
      </c>
      <c r="P1527" s="93">
        <f t="shared" si="1044"/>
        <v>0</v>
      </c>
      <c r="Q1527" s="94"/>
      <c r="R1527" s="92">
        <f t="shared" si="1045"/>
        <v>0</v>
      </c>
      <c r="S1527" s="92">
        <f t="shared" si="1046"/>
        <v>0</v>
      </c>
      <c r="T1527" s="93">
        <f t="shared" si="1047"/>
        <v>0</v>
      </c>
      <c r="U1527" s="95">
        <f t="shared" si="1048"/>
        <v>0</v>
      </c>
      <c r="V1527" s="94"/>
      <c r="X1527" s="580" t="str">
        <f t="shared" si="1049"/>
        <v/>
      </c>
      <c r="Y1527" s="580" t="str">
        <f t="shared" si="1050"/>
        <v/>
      </c>
      <c r="Z1527" s="580" t="str">
        <f t="shared" si="1051"/>
        <v/>
      </c>
    </row>
    <row r="1528" spans="1:26" ht="25.5" hidden="1" x14ac:dyDescent="0.2">
      <c r="A1528" s="97">
        <v>101637</v>
      </c>
      <c r="B1528" s="1031">
        <v>101637</v>
      </c>
      <c r="C1528" s="978" t="s">
        <v>883</v>
      </c>
      <c r="D1528" s="595" t="s">
        <v>1747</v>
      </c>
      <c r="E1528" s="596"/>
      <c r="F1528" s="671"/>
      <c r="G1528" s="597"/>
      <c r="H1528" s="682"/>
      <c r="I1528" s="592">
        <v>96.91</v>
      </c>
      <c r="J1528" s="592">
        <f t="shared" si="1042"/>
        <v>96.91</v>
      </c>
      <c r="K1528" s="593">
        <f t="shared" si="1041"/>
        <v>117.95</v>
      </c>
      <c r="L1528" s="594" t="s">
        <v>21</v>
      </c>
      <c r="M1528" s="92"/>
      <c r="N1528" s="92"/>
      <c r="O1528" s="93">
        <f t="shared" si="1043"/>
        <v>0</v>
      </c>
      <c r="P1528" s="93">
        <f t="shared" si="1044"/>
        <v>0</v>
      </c>
      <c r="Q1528" s="94"/>
      <c r="R1528" s="92">
        <f t="shared" si="1045"/>
        <v>0</v>
      </c>
      <c r="S1528" s="92">
        <f t="shared" si="1046"/>
        <v>0</v>
      </c>
      <c r="T1528" s="93">
        <f t="shared" si="1047"/>
        <v>0</v>
      </c>
      <c r="U1528" s="95">
        <f t="shared" si="1048"/>
        <v>0</v>
      </c>
      <c r="V1528" s="94"/>
      <c r="X1528" s="580" t="str">
        <f t="shared" si="1049"/>
        <v/>
      </c>
      <c r="Y1528" s="580" t="str">
        <f t="shared" si="1050"/>
        <v/>
      </c>
      <c r="Z1528" s="580" t="str">
        <f t="shared" si="1051"/>
        <v/>
      </c>
    </row>
    <row r="1529" spans="1:26" hidden="1" x14ac:dyDescent="0.2">
      <c r="A1529" s="97">
        <v>96985</v>
      </c>
      <c r="B1529" s="1031">
        <v>96985</v>
      </c>
      <c r="C1529" s="978" t="s">
        <v>883</v>
      </c>
      <c r="D1529" s="595" t="s">
        <v>1748</v>
      </c>
      <c r="E1529" s="596"/>
      <c r="F1529" s="671"/>
      <c r="G1529" s="597"/>
      <c r="H1529" s="682"/>
      <c r="I1529" s="592">
        <v>46.09</v>
      </c>
      <c r="J1529" s="592">
        <f t="shared" si="1042"/>
        <v>46.09</v>
      </c>
      <c r="K1529" s="593">
        <f t="shared" si="1041"/>
        <v>56.1</v>
      </c>
      <c r="L1529" s="594" t="s">
        <v>21</v>
      </c>
      <c r="M1529" s="92"/>
      <c r="N1529" s="92"/>
      <c r="O1529" s="93">
        <f t="shared" si="1043"/>
        <v>0</v>
      </c>
      <c r="P1529" s="93">
        <f t="shared" si="1044"/>
        <v>0</v>
      </c>
      <c r="Q1529" s="94"/>
      <c r="R1529" s="92">
        <f t="shared" si="1045"/>
        <v>0</v>
      </c>
      <c r="S1529" s="92">
        <f t="shared" si="1046"/>
        <v>0</v>
      </c>
      <c r="T1529" s="93">
        <f t="shared" si="1047"/>
        <v>0</v>
      </c>
      <c r="U1529" s="95">
        <f t="shared" si="1048"/>
        <v>0</v>
      </c>
      <c r="V1529" s="94"/>
      <c r="X1529" s="580" t="str">
        <f t="shared" si="1049"/>
        <v/>
      </c>
      <c r="Y1529" s="580" t="str">
        <f t="shared" si="1050"/>
        <v/>
      </c>
      <c r="Z1529" s="580" t="str">
        <f t="shared" si="1051"/>
        <v/>
      </c>
    </row>
    <row r="1530" spans="1:26" hidden="1" x14ac:dyDescent="0.2">
      <c r="A1530" s="97">
        <v>96986</v>
      </c>
      <c r="B1530" s="1031">
        <v>96986</v>
      </c>
      <c r="C1530" s="978" t="s">
        <v>883</v>
      </c>
      <c r="D1530" s="595" t="s">
        <v>1749</v>
      </c>
      <c r="E1530" s="596"/>
      <c r="F1530" s="671"/>
      <c r="G1530" s="597"/>
      <c r="H1530" s="682"/>
      <c r="I1530" s="592">
        <v>69.14</v>
      </c>
      <c r="J1530" s="592">
        <f t="shared" si="1042"/>
        <v>69.14</v>
      </c>
      <c r="K1530" s="593">
        <f t="shared" si="1041"/>
        <v>84.15</v>
      </c>
      <c r="L1530" s="594" t="s">
        <v>21</v>
      </c>
      <c r="M1530" s="92"/>
      <c r="N1530" s="92"/>
      <c r="O1530" s="93">
        <f t="shared" si="1043"/>
        <v>0</v>
      </c>
      <c r="P1530" s="93">
        <f t="shared" si="1044"/>
        <v>0</v>
      </c>
      <c r="Q1530" s="94"/>
      <c r="R1530" s="92">
        <f t="shared" si="1045"/>
        <v>0</v>
      </c>
      <c r="S1530" s="92">
        <f t="shared" si="1046"/>
        <v>0</v>
      </c>
      <c r="T1530" s="93">
        <f t="shared" si="1047"/>
        <v>0</v>
      </c>
      <c r="U1530" s="95">
        <f t="shared" si="1048"/>
        <v>0</v>
      </c>
      <c r="V1530" s="94"/>
      <c r="X1530" s="580" t="str">
        <f t="shared" si="1049"/>
        <v/>
      </c>
      <c r="Y1530" s="580" t="str">
        <f t="shared" si="1050"/>
        <v/>
      </c>
      <c r="Z1530" s="580" t="str">
        <f t="shared" si="1051"/>
        <v/>
      </c>
    </row>
    <row r="1531" spans="1:26" ht="25.5" hidden="1" x14ac:dyDescent="0.2">
      <c r="A1531" s="97">
        <v>96987</v>
      </c>
      <c r="B1531" s="1031">
        <v>96987</v>
      </c>
      <c r="C1531" s="978" t="s">
        <v>883</v>
      </c>
      <c r="D1531" s="595" t="s">
        <v>1750</v>
      </c>
      <c r="E1531" s="596"/>
      <c r="F1531" s="671"/>
      <c r="G1531" s="597"/>
      <c r="H1531" s="682"/>
      <c r="I1531" s="592">
        <v>101.74</v>
      </c>
      <c r="J1531" s="592">
        <f t="shared" si="1042"/>
        <v>101.74</v>
      </c>
      <c r="K1531" s="593">
        <f t="shared" si="1041"/>
        <v>123.83</v>
      </c>
      <c r="L1531" s="594" t="s">
        <v>21</v>
      </c>
      <c r="M1531" s="92"/>
      <c r="N1531" s="92"/>
      <c r="O1531" s="93">
        <f t="shared" si="1043"/>
        <v>0</v>
      </c>
      <c r="P1531" s="93">
        <f t="shared" si="1044"/>
        <v>0</v>
      </c>
      <c r="Q1531" s="94"/>
      <c r="R1531" s="92">
        <f t="shared" si="1045"/>
        <v>0</v>
      </c>
      <c r="S1531" s="92">
        <f t="shared" si="1046"/>
        <v>0</v>
      </c>
      <c r="T1531" s="93">
        <f t="shared" si="1047"/>
        <v>0</v>
      </c>
      <c r="U1531" s="95">
        <f t="shared" si="1048"/>
        <v>0</v>
      </c>
      <c r="V1531" s="94"/>
      <c r="X1531" s="580" t="str">
        <f t="shared" si="1049"/>
        <v/>
      </c>
      <c r="Y1531" s="580" t="str">
        <f t="shared" si="1050"/>
        <v/>
      </c>
      <c r="Z1531" s="580" t="str">
        <f t="shared" si="1051"/>
        <v/>
      </c>
    </row>
    <row r="1532" spans="1:26" hidden="1" x14ac:dyDescent="0.2">
      <c r="A1532" s="97">
        <v>96988</v>
      </c>
      <c r="B1532" s="1031">
        <v>96988</v>
      </c>
      <c r="C1532" s="978" t="s">
        <v>883</v>
      </c>
      <c r="D1532" s="595" t="s">
        <v>1751</v>
      </c>
      <c r="E1532" s="596"/>
      <c r="F1532" s="671"/>
      <c r="G1532" s="597"/>
      <c r="H1532" s="682"/>
      <c r="I1532" s="592">
        <v>123.46</v>
      </c>
      <c r="J1532" s="592">
        <f t="shared" si="1042"/>
        <v>123.46</v>
      </c>
      <c r="K1532" s="593">
        <f t="shared" si="1041"/>
        <v>150.26</v>
      </c>
      <c r="L1532" s="594" t="s">
        <v>21</v>
      </c>
      <c r="M1532" s="92"/>
      <c r="N1532" s="92"/>
      <c r="O1532" s="93">
        <f t="shared" si="1043"/>
        <v>0</v>
      </c>
      <c r="P1532" s="93">
        <f t="shared" si="1044"/>
        <v>0</v>
      </c>
      <c r="Q1532" s="94"/>
      <c r="R1532" s="92">
        <f t="shared" si="1045"/>
        <v>0</v>
      </c>
      <c r="S1532" s="92">
        <f t="shared" si="1046"/>
        <v>0</v>
      </c>
      <c r="T1532" s="93">
        <f t="shared" si="1047"/>
        <v>0</v>
      </c>
      <c r="U1532" s="95">
        <f t="shared" si="1048"/>
        <v>0</v>
      </c>
      <c r="V1532" s="94"/>
      <c r="X1532" s="580" t="str">
        <f t="shared" si="1049"/>
        <v/>
      </c>
      <c r="Y1532" s="580" t="str">
        <f t="shared" si="1050"/>
        <v/>
      </c>
      <c r="Z1532" s="580" t="str">
        <f t="shared" si="1051"/>
        <v/>
      </c>
    </row>
    <row r="1533" spans="1:26" ht="25.5" hidden="1" x14ac:dyDescent="0.2">
      <c r="A1533" s="97">
        <v>96971</v>
      </c>
      <c r="B1533" s="1031">
        <v>96971</v>
      </c>
      <c r="C1533" s="978" t="s">
        <v>883</v>
      </c>
      <c r="D1533" s="595" t="s">
        <v>1752</v>
      </c>
      <c r="E1533" s="596"/>
      <c r="F1533" s="671"/>
      <c r="G1533" s="597"/>
      <c r="H1533" s="682"/>
      <c r="I1533" s="592">
        <v>28.01</v>
      </c>
      <c r="J1533" s="592">
        <f t="shared" si="1042"/>
        <v>28.01</v>
      </c>
      <c r="K1533" s="593">
        <f t="shared" si="1041"/>
        <v>34.090000000000003</v>
      </c>
      <c r="L1533" s="594" t="s">
        <v>19</v>
      </c>
      <c r="M1533" s="92"/>
      <c r="N1533" s="92"/>
      <c r="O1533" s="93">
        <f t="shared" si="1043"/>
        <v>0</v>
      </c>
      <c r="P1533" s="93">
        <f t="shared" si="1044"/>
        <v>0</v>
      </c>
      <c r="Q1533" s="94"/>
      <c r="R1533" s="92">
        <f t="shared" si="1045"/>
        <v>0</v>
      </c>
      <c r="S1533" s="92">
        <f t="shared" si="1046"/>
        <v>0</v>
      </c>
      <c r="T1533" s="93">
        <f t="shared" si="1047"/>
        <v>0</v>
      </c>
      <c r="U1533" s="95">
        <f t="shared" si="1048"/>
        <v>0</v>
      </c>
      <c r="V1533" s="94"/>
      <c r="X1533" s="580" t="str">
        <f t="shared" si="1049"/>
        <v/>
      </c>
      <c r="Y1533" s="580" t="str">
        <f t="shared" si="1050"/>
        <v/>
      </c>
      <c r="Z1533" s="580" t="str">
        <f t="shared" si="1051"/>
        <v/>
      </c>
    </row>
    <row r="1534" spans="1:26" ht="25.5" hidden="1" x14ac:dyDescent="0.2">
      <c r="A1534" s="97">
        <v>96972</v>
      </c>
      <c r="B1534" s="1031">
        <v>96972</v>
      </c>
      <c r="C1534" s="978" t="s">
        <v>883</v>
      </c>
      <c r="D1534" s="595" t="s">
        <v>1753</v>
      </c>
      <c r="E1534" s="596"/>
      <c r="F1534" s="671"/>
      <c r="G1534" s="597"/>
      <c r="H1534" s="682"/>
      <c r="I1534" s="592">
        <v>39.19</v>
      </c>
      <c r="J1534" s="592">
        <f t="shared" si="1042"/>
        <v>39.19</v>
      </c>
      <c r="K1534" s="593">
        <f t="shared" si="1041"/>
        <v>47.7</v>
      </c>
      <c r="L1534" s="594" t="s">
        <v>19</v>
      </c>
      <c r="M1534" s="92"/>
      <c r="N1534" s="92"/>
      <c r="O1534" s="93">
        <f t="shared" si="1043"/>
        <v>0</v>
      </c>
      <c r="P1534" s="93">
        <f t="shared" si="1044"/>
        <v>0</v>
      </c>
      <c r="Q1534" s="94"/>
      <c r="R1534" s="92">
        <f t="shared" si="1045"/>
        <v>0</v>
      </c>
      <c r="S1534" s="92">
        <f t="shared" si="1046"/>
        <v>0</v>
      </c>
      <c r="T1534" s="93">
        <f t="shared" si="1047"/>
        <v>0</v>
      </c>
      <c r="U1534" s="95">
        <f t="shared" si="1048"/>
        <v>0</v>
      </c>
      <c r="V1534" s="94"/>
      <c r="X1534" s="580" t="str">
        <f t="shared" si="1049"/>
        <v/>
      </c>
      <c r="Y1534" s="580" t="str">
        <f t="shared" si="1050"/>
        <v/>
      </c>
      <c r="Z1534" s="580" t="str">
        <f t="shared" si="1051"/>
        <v/>
      </c>
    </row>
    <row r="1535" spans="1:26" ht="25.5" hidden="1" x14ac:dyDescent="0.2">
      <c r="A1535" s="97">
        <v>96973</v>
      </c>
      <c r="B1535" s="1031">
        <v>96973</v>
      </c>
      <c r="C1535" s="978" t="s">
        <v>883</v>
      </c>
      <c r="D1535" s="595" t="s">
        <v>1754</v>
      </c>
      <c r="E1535" s="596"/>
      <c r="F1535" s="671"/>
      <c r="G1535" s="597"/>
      <c r="H1535" s="682"/>
      <c r="I1535" s="592">
        <v>49.97</v>
      </c>
      <c r="J1535" s="592">
        <f t="shared" si="1042"/>
        <v>49.97</v>
      </c>
      <c r="K1535" s="593">
        <f t="shared" si="1041"/>
        <v>60.82</v>
      </c>
      <c r="L1535" s="594" t="s">
        <v>19</v>
      </c>
      <c r="M1535" s="92"/>
      <c r="N1535" s="92"/>
      <c r="O1535" s="93">
        <f t="shared" si="1043"/>
        <v>0</v>
      </c>
      <c r="P1535" s="93">
        <f t="shared" si="1044"/>
        <v>0</v>
      </c>
      <c r="Q1535" s="94"/>
      <c r="R1535" s="92">
        <f t="shared" si="1045"/>
        <v>0</v>
      </c>
      <c r="S1535" s="92">
        <f t="shared" si="1046"/>
        <v>0</v>
      </c>
      <c r="T1535" s="93">
        <f t="shared" si="1047"/>
        <v>0</v>
      </c>
      <c r="U1535" s="95">
        <f t="shared" si="1048"/>
        <v>0</v>
      </c>
      <c r="V1535" s="94"/>
      <c r="X1535" s="580" t="str">
        <f t="shared" si="1049"/>
        <v/>
      </c>
      <c r="Y1535" s="580" t="str">
        <f t="shared" si="1050"/>
        <v/>
      </c>
      <c r="Z1535" s="580" t="str">
        <f t="shared" si="1051"/>
        <v/>
      </c>
    </row>
    <row r="1536" spans="1:26" ht="25.5" hidden="1" x14ac:dyDescent="0.2">
      <c r="A1536" s="97">
        <v>96974</v>
      </c>
      <c r="B1536" s="1031">
        <v>96974</v>
      </c>
      <c r="C1536" s="978" t="s">
        <v>883</v>
      </c>
      <c r="D1536" s="595" t="s">
        <v>1755</v>
      </c>
      <c r="E1536" s="596"/>
      <c r="F1536" s="671"/>
      <c r="G1536" s="597"/>
      <c r="H1536" s="682"/>
      <c r="I1536" s="592">
        <v>64.2</v>
      </c>
      <c r="J1536" s="592">
        <f t="shared" si="1042"/>
        <v>64.2</v>
      </c>
      <c r="K1536" s="593">
        <f t="shared" si="1041"/>
        <v>78.14</v>
      </c>
      <c r="L1536" s="594" t="s">
        <v>19</v>
      </c>
      <c r="M1536" s="92"/>
      <c r="N1536" s="92"/>
      <c r="O1536" s="93">
        <f t="shared" si="1043"/>
        <v>0</v>
      </c>
      <c r="P1536" s="93">
        <f t="shared" si="1044"/>
        <v>0</v>
      </c>
      <c r="Q1536" s="94"/>
      <c r="R1536" s="92">
        <f t="shared" si="1045"/>
        <v>0</v>
      </c>
      <c r="S1536" s="92">
        <f t="shared" si="1046"/>
        <v>0</v>
      </c>
      <c r="T1536" s="93">
        <f t="shared" si="1047"/>
        <v>0</v>
      </c>
      <c r="U1536" s="95">
        <f t="shared" si="1048"/>
        <v>0</v>
      </c>
      <c r="V1536" s="94"/>
      <c r="X1536" s="580" t="str">
        <f t="shared" si="1049"/>
        <v/>
      </c>
      <c r="Y1536" s="580" t="str">
        <f t="shared" si="1050"/>
        <v/>
      </c>
      <c r="Z1536" s="580" t="str">
        <f t="shared" si="1051"/>
        <v/>
      </c>
    </row>
    <row r="1537" spans="1:26" ht="25.5" hidden="1" x14ac:dyDescent="0.2">
      <c r="A1537" s="97">
        <v>96975</v>
      </c>
      <c r="B1537" s="1031">
        <v>96975</v>
      </c>
      <c r="C1537" s="978" t="s">
        <v>883</v>
      </c>
      <c r="D1537" s="595" t="s">
        <v>1756</v>
      </c>
      <c r="E1537" s="596"/>
      <c r="F1537" s="671"/>
      <c r="G1537" s="597"/>
      <c r="H1537" s="682"/>
      <c r="I1537" s="592">
        <v>83.2</v>
      </c>
      <c r="J1537" s="592">
        <f t="shared" si="1042"/>
        <v>83.2</v>
      </c>
      <c r="K1537" s="593">
        <f t="shared" si="1041"/>
        <v>101.26</v>
      </c>
      <c r="L1537" s="594" t="s">
        <v>19</v>
      </c>
      <c r="M1537" s="92"/>
      <c r="N1537" s="92"/>
      <c r="O1537" s="93">
        <f t="shared" si="1043"/>
        <v>0</v>
      </c>
      <c r="P1537" s="93">
        <f t="shared" si="1044"/>
        <v>0</v>
      </c>
      <c r="Q1537" s="94"/>
      <c r="R1537" s="92">
        <f t="shared" si="1045"/>
        <v>0</v>
      </c>
      <c r="S1537" s="92">
        <f t="shared" si="1046"/>
        <v>0</v>
      </c>
      <c r="T1537" s="93">
        <f t="shared" si="1047"/>
        <v>0</v>
      </c>
      <c r="U1537" s="95">
        <f t="shared" si="1048"/>
        <v>0</v>
      </c>
      <c r="V1537" s="94"/>
      <c r="X1537" s="580" t="str">
        <f t="shared" si="1049"/>
        <v/>
      </c>
      <c r="Y1537" s="580" t="str">
        <f t="shared" si="1050"/>
        <v/>
      </c>
      <c r="Z1537" s="580" t="str">
        <f t="shared" si="1051"/>
        <v/>
      </c>
    </row>
    <row r="1538" spans="1:26" ht="25.5" hidden="1" x14ac:dyDescent="0.2">
      <c r="A1538" s="97">
        <v>96976</v>
      </c>
      <c r="B1538" s="1031">
        <v>96976</v>
      </c>
      <c r="C1538" s="978" t="s">
        <v>883</v>
      </c>
      <c r="D1538" s="595" t="s">
        <v>1757</v>
      </c>
      <c r="E1538" s="596"/>
      <c r="F1538" s="671"/>
      <c r="G1538" s="597"/>
      <c r="H1538" s="682"/>
      <c r="I1538" s="592">
        <v>108.41</v>
      </c>
      <c r="J1538" s="592">
        <f t="shared" si="1042"/>
        <v>108.41</v>
      </c>
      <c r="K1538" s="593">
        <f t="shared" si="1041"/>
        <v>131.94999999999999</v>
      </c>
      <c r="L1538" s="594" t="s">
        <v>19</v>
      </c>
      <c r="M1538" s="92"/>
      <c r="N1538" s="92"/>
      <c r="O1538" s="93">
        <f t="shared" si="1043"/>
        <v>0</v>
      </c>
      <c r="P1538" s="93">
        <f t="shared" si="1044"/>
        <v>0</v>
      </c>
      <c r="Q1538" s="94"/>
      <c r="R1538" s="92">
        <f t="shared" si="1045"/>
        <v>0</v>
      </c>
      <c r="S1538" s="92">
        <f t="shared" si="1046"/>
        <v>0</v>
      </c>
      <c r="T1538" s="93">
        <f t="shared" si="1047"/>
        <v>0</v>
      </c>
      <c r="U1538" s="95">
        <f t="shared" si="1048"/>
        <v>0</v>
      </c>
      <c r="V1538" s="94"/>
      <c r="X1538" s="580" t="str">
        <f t="shared" si="1049"/>
        <v/>
      </c>
      <c r="Y1538" s="580" t="str">
        <f t="shared" si="1050"/>
        <v/>
      </c>
      <c r="Z1538" s="580" t="str">
        <f t="shared" si="1051"/>
        <v/>
      </c>
    </row>
    <row r="1539" spans="1:26" ht="25.5" hidden="1" x14ac:dyDescent="0.2">
      <c r="A1539" s="97">
        <v>96977</v>
      </c>
      <c r="B1539" s="1031">
        <v>96977</v>
      </c>
      <c r="C1539" s="978" t="s">
        <v>883</v>
      </c>
      <c r="D1539" s="595" t="s">
        <v>1758</v>
      </c>
      <c r="E1539" s="596"/>
      <c r="F1539" s="671"/>
      <c r="G1539" s="597"/>
      <c r="H1539" s="682"/>
      <c r="I1539" s="592">
        <v>42.35</v>
      </c>
      <c r="J1539" s="592">
        <f t="shared" si="1042"/>
        <v>42.35</v>
      </c>
      <c r="K1539" s="593">
        <f t="shared" si="1041"/>
        <v>51.54</v>
      </c>
      <c r="L1539" s="594" t="s">
        <v>19</v>
      </c>
      <c r="M1539" s="92"/>
      <c r="N1539" s="92"/>
      <c r="O1539" s="93">
        <f t="shared" si="1043"/>
        <v>0</v>
      </c>
      <c r="P1539" s="93">
        <f t="shared" si="1044"/>
        <v>0</v>
      </c>
      <c r="Q1539" s="94"/>
      <c r="R1539" s="92">
        <f t="shared" si="1045"/>
        <v>0</v>
      </c>
      <c r="S1539" s="92">
        <f t="shared" si="1046"/>
        <v>0</v>
      </c>
      <c r="T1539" s="93">
        <f t="shared" si="1047"/>
        <v>0</v>
      </c>
      <c r="U1539" s="95">
        <f t="shared" si="1048"/>
        <v>0</v>
      </c>
      <c r="V1539" s="94"/>
      <c r="X1539" s="580" t="str">
        <f t="shared" si="1049"/>
        <v/>
      </c>
      <c r="Y1539" s="580" t="str">
        <f t="shared" si="1050"/>
        <v/>
      </c>
      <c r="Z1539" s="580" t="str">
        <f t="shared" si="1051"/>
        <v/>
      </c>
    </row>
    <row r="1540" spans="1:26" ht="25.5" hidden="1" x14ac:dyDescent="0.2">
      <c r="A1540" s="97">
        <v>96978</v>
      </c>
      <c r="B1540" s="1031">
        <v>96978</v>
      </c>
      <c r="C1540" s="978" t="s">
        <v>883</v>
      </c>
      <c r="D1540" s="595" t="s">
        <v>1759</v>
      </c>
      <c r="E1540" s="596"/>
      <c r="F1540" s="671"/>
      <c r="G1540" s="597"/>
      <c r="H1540" s="682"/>
      <c r="I1540" s="592">
        <v>59.38</v>
      </c>
      <c r="J1540" s="592">
        <f t="shared" si="1042"/>
        <v>59.38</v>
      </c>
      <c r="K1540" s="593">
        <f t="shared" si="1041"/>
        <v>72.27</v>
      </c>
      <c r="L1540" s="594" t="s">
        <v>19</v>
      </c>
      <c r="M1540" s="92"/>
      <c r="N1540" s="92"/>
      <c r="O1540" s="93">
        <f t="shared" si="1043"/>
        <v>0</v>
      </c>
      <c r="P1540" s="93">
        <f t="shared" si="1044"/>
        <v>0</v>
      </c>
      <c r="Q1540" s="94"/>
      <c r="R1540" s="92">
        <f t="shared" si="1045"/>
        <v>0</v>
      </c>
      <c r="S1540" s="92">
        <f t="shared" si="1046"/>
        <v>0</v>
      </c>
      <c r="T1540" s="93">
        <f t="shared" si="1047"/>
        <v>0</v>
      </c>
      <c r="U1540" s="95">
        <f t="shared" si="1048"/>
        <v>0</v>
      </c>
      <c r="V1540" s="94"/>
      <c r="X1540" s="580" t="str">
        <f t="shared" si="1049"/>
        <v/>
      </c>
      <c r="Y1540" s="580" t="str">
        <f t="shared" si="1050"/>
        <v/>
      </c>
      <c r="Z1540" s="580" t="str">
        <f t="shared" si="1051"/>
        <v/>
      </c>
    </row>
    <row r="1541" spans="1:26" ht="25.5" hidden="1" x14ac:dyDescent="0.2">
      <c r="A1541" s="97">
        <v>96979</v>
      </c>
      <c r="B1541" s="1031">
        <v>96979</v>
      </c>
      <c r="C1541" s="978" t="s">
        <v>883</v>
      </c>
      <c r="D1541" s="595" t="s">
        <v>1760</v>
      </c>
      <c r="E1541" s="596"/>
      <c r="F1541" s="671"/>
      <c r="G1541" s="597"/>
      <c r="H1541" s="682"/>
      <c r="I1541" s="592">
        <v>83.19</v>
      </c>
      <c r="J1541" s="592">
        <f t="shared" si="1042"/>
        <v>83.19</v>
      </c>
      <c r="K1541" s="593">
        <f t="shared" si="1041"/>
        <v>101.25</v>
      </c>
      <c r="L1541" s="594" t="s">
        <v>19</v>
      </c>
      <c r="M1541" s="92"/>
      <c r="N1541" s="92"/>
      <c r="O1541" s="93">
        <f t="shared" si="1043"/>
        <v>0</v>
      </c>
      <c r="P1541" s="93">
        <f t="shared" si="1044"/>
        <v>0</v>
      </c>
      <c r="Q1541" s="94"/>
      <c r="R1541" s="92">
        <f t="shared" si="1045"/>
        <v>0</v>
      </c>
      <c r="S1541" s="92">
        <f t="shared" si="1046"/>
        <v>0</v>
      </c>
      <c r="T1541" s="93">
        <f t="shared" si="1047"/>
        <v>0</v>
      </c>
      <c r="U1541" s="95">
        <f t="shared" si="1048"/>
        <v>0</v>
      </c>
      <c r="V1541" s="94"/>
      <c r="X1541" s="580" t="str">
        <f t="shared" si="1049"/>
        <v/>
      </c>
      <c r="Y1541" s="580" t="str">
        <f t="shared" si="1050"/>
        <v/>
      </c>
      <c r="Z1541" s="580" t="str">
        <f t="shared" si="1051"/>
        <v/>
      </c>
    </row>
    <row r="1542" spans="1:26" hidden="1" x14ac:dyDescent="0.2">
      <c r="A1542" s="97">
        <v>96989</v>
      </c>
      <c r="B1542" s="1031">
        <v>96989</v>
      </c>
      <c r="C1542" s="978" t="s">
        <v>883</v>
      </c>
      <c r="D1542" s="595" t="s">
        <v>1761</v>
      </c>
      <c r="E1542" s="596"/>
      <c r="F1542" s="671"/>
      <c r="G1542" s="597"/>
      <c r="H1542" s="682"/>
      <c r="I1542" s="592">
        <v>81.63</v>
      </c>
      <c r="J1542" s="592">
        <f t="shared" si="1042"/>
        <v>81.63</v>
      </c>
      <c r="K1542" s="593">
        <f t="shared" si="1041"/>
        <v>99.35</v>
      </c>
      <c r="L1542" s="594" t="s">
        <v>21</v>
      </c>
      <c r="M1542" s="92"/>
      <c r="N1542" s="92"/>
      <c r="O1542" s="93">
        <f t="shared" si="1043"/>
        <v>0</v>
      </c>
      <c r="P1542" s="93">
        <f t="shared" si="1044"/>
        <v>0</v>
      </c>
      <c r="Q1542" s="94"/>
      <c r="R1542" s="92">
        <f t="shared" si="1045"/>
        <v>0</v>
      </c>
      <c r="S1542" s="92">
        <f t="shared" si="1046"/>
        <v>0</v>
      </c>
      <c r="T1542" s="93">
        <f t="shared" si="1047"/>
        <v>0</v>
      </c>
      <c r="U1542" s="95">
        <f t="shared" si="1048"/>
        <v>0</v>
      </c>
      <c r="V1542" s="94"/>
      <c r="X1542" s="580" t="str">
        <f t="shared" si="1049"/>
        <v/>
      </c>
      <c r="Y1542" s="580" t="str">
        <f t="shared" si="1050"/>
        <v/>
      </c>
      <c r="Z1542" s="580" t="str">
        <f t="shared" si="1051"/>
        <v/>
      </c>
    </row>
    <row r="1543" spans="1:26" ht="25.5" hidden="1" x14ac:dyDescent="0.2">
      <c r="A1543" s="97">
        <v>98463</v>
      </c>
      <c r="B1543" s="1031">
        <v>98463</v>
      </c>
      <c r="C1543" s="978" t="s">
        <v>883</v>
      </c>
      <c r="D1543" s="595" t="s">
        <v>1762</v>
      </c>
      <c r="E1543" s="596"/>
      <c r="F1543" s="671"/>
      <c r="G1543" s="597"/>
      <c r="H1543" s="682"/>
      <c r="I1543" s="592">
        <v>21.19</v>
      </c>
      <c r="J1543" s="592">
        <f t="shared" si="1042"/>
        <v>21.19</v>
      </c>
      <c r="K1543" s="593">
        <f t="shared" si="1041"/>
        <v>25.79</v>
      </c>
      <c r="L1543" s="594" t="s">
        <v>21</v>
      </c>
      <c r="M1543" s="92"/>
      <c r="N1543" s="92"/>
      <c r="O1543" s="93">
        <f t="shared" si="1043"/>
        <v>0</v>
      </c>
      <c r="P1543" s="93">
        <f t="shared" si="1044"/>
        <v>0</v>
      </c>
      <c r="Q1543" s="94"/>
      <c r="R1543" s="92">
        <f t="shared" si="1045"/>
        <v>0</v>
      </c>
      <c r="S1543" s="92">
        <f t="shared" si="1046"/>
        <v>0</v>
      </c>
      <c r="T1543" s="93">
        <f t="shared" si="1047"/>
        <v>0</v>
      </c>
      <c r="U1543" s="95">
        <f t="shared" si="1048"/>
        <v>0</v>
      </c>
      <c r="V1543" s="94"/>
      <c r="X1543" s="580" t="str">
        <f t="shared" si="1049"/>
        <v/>
      </c>
      <c r="Y1543" s="580" t="str">
        <f t="shared" si="1050"/>
        <v/>
      </c>
      <c r="Z1543" s="580" t="str">
        <f t="shared" si="1051"/>
        <v/>
      </c>
    </row>
    <row r="1544" spans="1:26" ht="38.25" hidden="1" x14ac:dyDescent="0.2">
      <c r="A1544" s="97">
        <v>100560</v>
      </c>
      <c r="B1544" s="1031">
        <v>100560</v>
      </c>
      <c r="C1544" s="978" t="s">
        <v>883</v>
      </c>
      <c r="D1544" s="595" t="s">
        <v>1763</v>
      </c>
      <c r="E1544" s="596"/>
      <c r="F1544" s="671"/>
      <c r="G1544" s="597"/>
      <c r="H1544" s="682"/>
      <c r="I1544" s="592">
        <v>112.4</v>
      </c>
      <c r="J1544" s="592">
        <f t="shared" si="1042"/>
        <v>112.4</v>
      </c>
      <c r="K1544" s="593">
        <f t="shared" si="1041"/>
        <v>136.80000000000001</v>
      </c>
      <c r="L1544" s="594" t="s">
        <v>21</v>
      </c>
      <c r="M1544" s="92"/>
      <c r="N1544" s="92"/>
      <c r="O1544" s="93">
        <f t="shared" si="1043"/>
        <v>0</v>
      </c>
      <c r="P1544" s="93">
        <f t="shared" si="1044"/>
        <v>0</v>
      </c>
      <c r="Q1544" s="94"/>
      <c r="R1544" s="92">
        <f t="shared" si="1045"/>
        <v>0</v>
      </c>
      <c r="S1544" s="92">
        <f t="shared" si="1046"/>
        <v>0</v>
      </c>
      <c r="T1544" s="93">
        <f t="shared" si="1047"/>
        <v>0</v>
      </c>
      <c r="U1544" s="95">
        <f t="shared" si="1048"/>
        <v>0</v>
      </c>
      <c r="V1544" s="94"/>
      <c r="X1544" s="580" t="str">
        <f t="shared" si="1049"/>
        <v/>
      </c>
      <c r="Y1544" s="580" t="str">
        <f t="shared" si="1050"/>
        <v/>
      </c>
      <c r="Z1544" s="580" t="str">
        <f t="shared" si="1051"/>
        <v/>
      </c>
    </row>
    <row r="1545" spans="1:26" ht="38.25" hidden="1" x14ac:dyDescent="0.2">
      <c r="A1545" s="97">
        <v>100561</v>
      </c>
      <c r="B1545" s="1031">
        <v>100561</v>
      </c>
      <c r="C1545" s="978" t="s">
        <v>883</v>
      </c>
      <c r="D1545" s="595" t="s">
        <v>1764</v>
      </c>
      <c r="E1545" s="596"/>
      <c r="F1545" s="671"/>
      <c r="G1545" s="597"/>
      <c r="H1545" s="682"/>
      <c r="I1545" s="592">
        <v>206.89</v>
      </c>
      <c r="J1545" s="592">
        <f t="shared" si="1042"/>
        <v>206.89</v>
      </c>
      <c r="K1545" s="593">
        <f t="shared" si="1041"/>
        <v>251.81</v>
      </c>
      <c r="L1545" s="594" t="s">
        <v>21</v>
      </c>
      <c r="M1545" s="92"/>
      <c r="N1545" s="92"/>
      <c r="O1545" s="93">
        <f t="shared" si="1043"/>
        <v>0</v>
      </c>
      <c r="P1545" s="93">
        <f t="shared" si="1044"/>
        <v>0</v>
      </c>
      <c r="Q1545" s="94"/>
      <c r="R1545" s="92">
        <f t="shared" si="1045"/>
        <v>0</v>
      </c>
      <c r="S1545" s="92">
        <f t="shared" si="1046"/>
        <v>0</v>
      </c>
      <c r="T1545" s="93">
        <f t="shared" si="1047"/>
        <v>0</v>
      </c>
      <c r="U1545" s="95">
        <f t="shared" si="1048"/>
        <v>0</v>
      </c>
      <c r="V1545" s="94"/>
      <c r="X1545" s="580" t="str">
        <f t="shared" si="1049"/>
        <v/>
      </c>
      <c r="Y1545" s="580" t="str">
        <f t="shared" si="1050"/>
        <v/>
      </c>
      <c r="Z1545" s="580" t="str">
        <f t="shared" si="1051"/>
        <v/>
      </c>
    </row>
    <row r="1546" spans="1:26" ht="38.25" hidden="1" x14ac:dyDescent="0.2">
      <c r="A1546" s="97">
        <v>100562</v>
      </c>
      <c r="B1546" s="1031">
        <v>100562</v>
      </c>
      <c r="C1546" s="978" t="s">
        <v>883</v>
      </c>
      <c r="D1546" s="595" t="s">
        <v>1765</v>
      </c>
      <c r="E1546" s="596"/>
      <c r="F1546" s="671"/>
      <c r="G1546" s="597"/>
      <c r="H1546" s="682"/>
      <c r="I1546" s="592">
        <v>320.70999999999998</v>
      </c>
      <c r="J1546" s="592">
        <f t="shared" si="1042"/>
        <v>320.70999999999998</v>
      </c>
      <c r="K1546" s="593">
        <f t="shared" si="1041"/>
        <v>390.34</v>
      </c>
      <c r="L1546" s="594" t="s">
        <v>21</v>
      </c>
      <c r="M1546" s="92"/>
      <c r="N1546" s="92"/>
      <c r="O1546" s="93">
        <f t="shared" si="1043"/>
        <v>0</v>
      </c>
      <c r="P1546" s="93">
        <f t="shared" si="1044"/>
        <v>0</v>
      </c>
      <c r="Q1546" s="94"/>
      <c r="R1546" s="92">
        <f t="shared" si="1045"/>
        <v>0</v>
      </c>
      <c r="S1546" s="92">
        <f t="shared" si="1046"/>
        <v>0</v>
      </c>
      <c r="T1546" s="93">
        <f t="shared" si="1047"/>
        <v>0</v>
      </c>
      <c r="U1546" s="95">
        <f t="shared" si="1048"/>
        <v>0</v>
      </c>
      <c r="V1546" s="94"/>
      <c r="X1546" s="580" t="str">
        <f t="shared" si="1049"/>
        <v/>
      </c>
      <c r="Y1546" s="580" t="str">
        <f t="shared" si="1050"/>
        <v/>
      </c>
      <c r="Z1546" s="580" t="str">
        <f t="shared" si="1051"/>
        <v/>
      </c>
    </row>
    <row r="1547" spans="1:26" ht="25.5" hidden="1" x14ac:dyDescent="0.2">
      <c r="A1547" s="97">
        <v>100563</v>
      </c>
      <c r="B1547" s="1031">
        <v>100563</v>
      </c>
      <c r="C1547" s="978" t="s">
        <v>883</v>
      </c>
      <c r="D1547" s="595" t="s">
        <v>1766</v>
      </c>
      <c r="E1547" s="596"/>
      <c r="F1547" s="671"/>
      <c r="G1547" s="597"/>
      <c r="H1547" s="682"/>
      <c r="I1547" s="592">
        <v>462.44</v>
      </c>
      <c r="J1547" s="592">
        <f t="shared" si="1042"/>
        <v>462.44</v>
      </c>
      <c r="K1547" s="593">
        <f t="shared" si="1041"/>
        <v>562.84</v>
      </c>
      <c r="L1547" s="594" t="s">
        <v>21</v>
      </c>
      <c r="M1547" s="92"/>
      <c r="N1547" s="92"/>
      <c r="O1547" s="93">
        <f t="shared" si="1043"/>
        <v>0</v>
      </c>
      <c r="P1547" s="93">
        <f t="shared" si="1044"/>
        <v>0</v>
      </c>
      <c r="Q1547" s="94"/>
      <c r="R1547" s="92">
        <f t="shared" si="1045"/>
        <v>0</v>
      </c>
      <c r="S1547" s="92">
        <f t="shared" si="1046"/>
        <v>0</v>
      </c>
      <c r="T1547" s="93">
        <f t="shared" si="1047"/>
        <v>0</v>
      </c>
      <c r="U1547" s="95">
        <f t="shared" si="1048"/>
        <v>0</v>
      </c>
      <c r="V1547" s="94"/>
      <c r="X1547" s="580" t="str">
        <f t="shared" si="1049"/>
        <v/>
      </c>
      <c r="Y1547" s="580" t="str">
        <f t="shared" si="1050"/>
        <v/>
      </c>
      <c r="Z1547" s="580" t="str">
        <f t="shared" si="1051"/>
        <v/>
      </c>
    </row>
    <row r="1548" spans="1:26" ht="25.5" hidden="1" x14ac:dyDescent="0.2">
      <c r="A1548" s="97">
        <v>100556</v>
      </c>
      <c r="B1548" s="1031">
        <v>100556</v>
      </c>
      <c r="C1548" s="978" t="s">
        <v>883</v>
      </c>
      <c r="D1548" s="595" t="s">
        <v>1767</v>
      </c>
      <c r="E1548" s="596"/>
      <c r="F1548" s="671"/>
      <c r="G1548" s="597"/>
      <c r="H1548" s="682"/>
      <c r="I1548" s="592">
        <v>41.57</v>
      </c>
      <c r="J1548" s="592">
        <f t="shared" si="1042"/>
        <v>41.57</v>
      </c>
      <c r="K1548" s="593">
        <f t="shared" ref="K1548:K1605" si="1052">IF(ISBLANK(I1548),0,ROUND(J1548*(1+$F$10)*(1+$F$11*E1548),2))</f>
        <v>50.59</v>
      </c>
      <c r="L1548" s="594" t="s">
        <v>21</v>
      </c>
      <c r="M1548" s="92"/>
      <c r="N1548" s="92"/>
      <c r="O1548" s="93">
        <f t="shared" si="1043"/>
        <v>0</v>
      </c>
      <c r="P1548" s="93">
        <f t="shared" si="1044"/>
        <v>0</v>
      </c>
      <c r="Q1548" s="94"/>
      <c r="R1548" s="92">
        <f t="shared" si="1045"/>
        <v>0</v>
      </c>
      <c r="S1548" s="92">
        <f t="shared" si="1046"/>
        <v>0</v>
      </c>
      <c r="T1548" s="93">
        <f t="shared" si="1047"/>
        <v>0</v>
      </c>
      <c r="U1548" s="95">
        <f t="shared" si="1048"/>
        <v>0</v>
      </c>
      <c r="V1548" s="94"/>
      <c r="X1548" s="580" t="str">
        <f t="shared" si="1049"/>
        <v/>
      </c>
      <c r="Y1548" s="580" t="str">
        <f t="shared" si="1050"/>
        <v/>
      </c>
      <c r="Z1548" s="580" t="str">
        <f t="shared" si="1051"/>
        <v/>
      </c>
    </row>
    <row r="1549" spans="1:26" ht="25.5" hidden="1" x14ac:dyDescent="0.2">
      <c r="A1549" s="97">
        <v>100557</v>
      </c>
      <c r="B1549" s="1031">
        <v>100557</v>
      </c>
      <c r="C1549" s="978" t="s">
        <v>883</v>
      </c>
      <c r="D1549" s="595" t="s">
        <v>1768</v>
      </c>
      <c r="E1549" s="596"/>
      <c r="F1549" s="671"/>
      <c r="G1549" s="597"/>
      <c r="H1549" s="682"/>
      <c r="I1549" s="592">
        <v>532.6</v>
      </c>
      <c r="J1549" s="592">
        <f t="shared" si="1042"/>
        <v>532.6</v>
      </c>
      <c r="K1549" s="593">
        <f t="shared" si="1052"/>
        <v>648.23</v>
      </c>
      <c r="L1549" s="594" t="s">
        <v>21</v>
      </c>
      <c r="M1549" s="92"/>
      <c r="N1549" s="92"/>
      <c r="O1549" s="93">
        <f t="shared" si="1043"/>
        <v>0</v>
      </c>
      <c r="P1549" s="93">
        <f t="shared" si="1044"/>
        <v>0</v>
      </c>
      <c r="Q1549" s="94"/>
      <c r="R1549" s="92">
        <f t="shared" si="1045"/>
        <v>0</v>
      </c>
      <c r="S1549" s="92">
        <f t="shared" si="1046"/>
        <v>0</v>
      </c>
      <c r="T1549" s="93">
        <f t="shared" si="1047"/>
        <v>0</v>
      </c>
      <c r="U1549" s="95">
        <f t="shared" si="1048"/>
        <v>0</v>
      </c>
      <c r="V1549" s="94"/>
      <c r="X1549" s="580" t="str">
        <f t="shared" si="1049"/>
        <v/>
      </c>
      <c r="Y1549" s="580" t="str">
        <f t="shared" si="1050"/>
        <v/>
      </c>
      <c r="Z1549" s="580" t="str">
        <f t="shared" si="1051"/>
        <v/>
      </c>
    </row>
    <row r="1550" spans="1:26" ht="25.5" hidden="1" x14ac:dyDescent="0.2">
      <c r="A1550" s="97">
        <v>98294</v>
      </c>
      <c r="B1550" s="1031">
        <v>98294</v>
      </c>
      <c r="C1550" s="978" t="s">
        <v>883</v>
      </c>
      <c r="D1550" s="595" t="s">
        <v>1769</v>
      </c>
      <c r="E1550" s="596"/>
      <c r="F1550" s="671"/>
      <c r="G1550" s="597"/>
      <c r="H1550" s="682"/>
      <c r="I1550" s="592">
        <v>2.0299999999999998</v>
      </c>
      <c r="J1550" s="592">
        <f t="shared" si="1042"/>
        <v>2.0299999999999998</v>
      </c>
      <c r="K1550" s="593">
        <f t="shared" si="1052"/>
        <v>2.4700000000000002</v>
      </c>
      <c r="L1550" s="594" t="s">
        <v>19</v>
      </c>
      <c r="M1550" s="92"/>
      <c r="N1550" s="92"/>
      <c r="O1550" s="93">
        <f t="shared" si="1043"/>
        <v>0</v>
      </c>
      <c r="P1550" s="93">
        <f t="shared" si="1044"/>
        <v>0</v>
      </c>
      <c r="Q1550" s="94"/>
      <c r="R1550" s="92">
        <f t="shared" si="1045"/>
        <v>0</v>
      </c>
      <c r="S1550" s="92">
        <f t="shared" si="1046"/>
        <v>0</v>
      </c>
      <c r="T1550" s="93">
        <f t="shared" si="1047"/>
        <v>0</v>
      </c>
      <c r="U1550" s="95">
        <f t="shared" si="1048"/>
        <v>0</v>
      </c>
      <c r="V1550" s="94"/>
      <c r="X1550" s="580" t="str">
        <f t="shared" si="1049"/>
        <v/>
      </c>
      <c r="Y1550" s="580" t="str">
        <f t="shared" si="1050"/>
        <v/>
      </c>
      <c r="Z1550" s="580" t="str">
        <f t="shared" si="1051"/>
        <v/>
      </c>
    </row>
    <row r="1551" spans="1:26" ht="25.5" hidden="1" x14ac:dyDescent="0.2">
      <c r="A1551" s="97">
        <v>98295</v>
      </c>
      <c r="B1551" s="1031">
        <v>98295</v>
      </c>
      <c r="C1551" s="978" t="s">
        <v>883</v>
      </c>
      <c r="D1551" s="595" t="s">
        <v>1770</v>
      </c>
      <c r="E1551" s="596"/>
      <c r="F1551" s="671"/>
      <c r="G1551" s="597"/>
      <c r="H1551" s="682"/>
      <c r="I1551" s="592">
        <v>1.4</v>
      </c>
      <c r="J1551" s="592">
        <f t="shared" si="1042"/>
        <v>1.4</v>
      </c>
      <c r="K1551" s="593">
        <f t="shared" si="1052"/>
        <v>1.7</v>
      </c>
      <c r="L1551" s="594" t="s">
        <v>19</v>
      </c>
      <c r="M1551" s="92"/>
      <c r="N1551" s="92"/>
      <c r="O1551" s="93">
        <f t="shared" si="1043"/>
        <v>0</v>
      </c>
      <c r="P1551" s="93">
        <f t="shared" si="1044"/>
        <v>0</v>
      </c>
      <c r="Q1551" s="94"/>
      <c r="R1551" s="92">
        <f t="shared" si="1045"/>
        <v>0</v>
      </c>
      <c r="S1551" s="92">
        <f t="shared" si="1046"/>
        <v>0</v>
      </c>
      <c r="T1551" s="93">
        <f t="shared" si="1047"/>
        <v>0</v>
      </c>
      <c r="U1551" s="95">
        <f t="shared" si="1048"/>
        <v>0</v>
      </c>
      <c r="V1551" s="94"/>
      <c r="X1551" s="580" t="str">
        <f t="shared" si="1049"/>
        <v/>
      </c>
      <c r="Y1551" s="580" t="str">
        <f t="shared" si="1050"/>
        <v/>
      </c>
      <c r="Z1551" s="580" t="str">
        <f t="shared" si="1051"/>
        <v/>
      </c>
    </row>
    <row r="1552" spans="1:26" ht="25.5" hidden="1" x14ac:dyDescent="0.2">
      <c r="A1552" s="97">
        <v>98296</v>
      </c>
      <c r="B1552" s="1031">
        <v>98296</v>
      </c>
      <c r="C1552" s="978" t="s">
        <v>883</v>
      </c>
      <c r="D1552" s="595" t="s">
        <v>1771</v>
      </c>
      <c r="E1552" s="596"/>
      <c r="F1552" s="671"/>
      <c r="G1552" s="597"/>
      <c r="H1552" s="682"/>
      <c r="I1552" s="592">
        <v>3.13</v>
      </c>
      <c r="J1552" s="592">
        <f t="shared" ref="J1552:J1604" si="1053">IF(ISBLANK(I1552),"",SUM(H1552:I1552))</f>
        <v>3.13</v>
      </c>
      <c r="K1552" s="593">
        <f t="shared" si="1052"/>
        <v>3.81</v>
      </c>
      <c r="L1552" s="594" t="s">
        <v>19</v>
      </c>
      <c r="M1552" s="92"/>
      <c r="N1552" s="92"/>
      <c r="O1552" s="93">
        <f t="shared" ref="O1552:O1604" si="1054">IF(ISBLANK(M1552),0,ROUND(K1552*M1552,2))</f>
        <v>0</v>
      </c>
      <c r="P1552" s="93">
        <f t="shared" ref="P1552:P1604" si="1055">IF(ISBLANK(N1552),0,ROUND(M1552*N1552,2))</f>
        <v>0</v>
      </c>
      <c r="Q1552" s="94"/>
      <c r="R1552" s="92">
        <f t="shared" ref="R1552:R1604" si="1056">M1552</f>
        <v>0</v>
      </c>
      <c r="S1552" s="92">
        <f t="shared" ref="S1552:S1604" si="1057">N1552</f>
        <v>0</v>
      </c>
      <c r="T1552" s="93">
        <f t="shared" ref="T1552:T1604" si="1058">IF(ISBLANK(R1552),0,ROUND(K1552*R1552,2))</f>
        <v>0</v>
      </c>
      <c r="U1552" s="95">
        <f t="shared" ref="U1552:U1604" si="1059">IF(ISBLANK(R1552),0,ROUND(R1552*S1552,2))</f>
        <v>0</v>
      </c>
      <c r="V1552" s="94"/>
      <c r="X1552" s="580" t="str">
        <f t="shared" ref="X1552:X1604" si="1060">IF(W1552="X","x",IF(W1552="xx","x",IF(W1552="xy","x",IF(W1552="y","x",IF(OR(P1552&gt;0,U1552&gt;0),"x","")))))</f>
        <v/>
      </c>
      <c r="Y1552" s="580" t="str">
        <f t="shared" ref="Y1552:Y1604" si="1061">IF(W1552="X","x",IF(W1552="y","x",IF(W1552="xx","x",IF(U1552&gt;0,"x",""))))</f>
        <v/>
      </c>
      <c r="Z1552" s="580" t="str">
        <f t="shared" ref="Z1552:Z1604" si="1062">IF(W1552="X","x",IF(U1552&gt;0,"x",""))</f>
        <v/>
      </c>
    </row>
    <row r="1553" spans="1:26" ht="25.5" hidden="1" x14ac:dyDescent="0.2">
      <c r="A1553" s="97">
        <v>98297</v>
      </c>
      <c r="B1553" s="1031">
        <v>98297</v>
      </c>
      <c r="C1553" s="978" t="s">
        <v>883</v>
      </c>
      <c r="D1553" s="595" t="s">
        <v>1772</v>
      </c>
      <c r="E1553" s="596"/>
      <c r="F1553" s="671"/>
      <c r="G1553" s="597"/>
      <c r="H1553" s="682"/>
      <c r="I1553" s="592">
        <v>2.12</v>
      </c>
      <c r="J1553" s="592">
        <f t="shared" si="1053"/>
        <v>2.12</v>
      </c>
      <c r="K1553" s="593">
        <f t="shared" si="1052"/>
        <v>2.58</v>
      </c>
      <c r="L1553" s="594" t="s">
        <v>19</v>
      </c>
      <c r="M1553" s="92"/>
      <c r="N1553" s="92"/>
      <c r="O1553" s="93">
        <f t="shared" si="1054"/>
        <v>0</v>
      </c>
      <c r="P1553" s="93">
        <f t="shared" si="1055"/>
        <v>0</v>
      </c>
      <c r="Q1553" s="94"/>
      <c r="R1553" s="92">
        <f t="shared" si="1056"/>
        <v>0</v>
      </c>
      <c r="S1553" s="92">
        <f t="shared" si="1057"/>
        <v>0</v>
      </c>
      <c r="T1553" s="93">
        <f t="shared" si="1058"/>
        <v>0</v>
      </c>
      <c r="U1553" s="95">
        <f t="shared" si="1059"/>
        <v>0</v>
      </c>
      <c r="V1553" s="94"/>
      <c r="X1553" s="580" t="str">
        <f t="shared" si="1060"/>
        <v/>
      </c>
      <c r="Y1553" s="580" t="str">
        <f t="shared" si="1061"/>
        <v/>
      </c>
      <c r="Z1553" s="580" t="str">
        <f t="shared" si="1062"/>
        <v/>
      </c>
    </row>
    <row r="1554" spans="1:26" hidden="1" x14ac:dyDescent="0.2">
      <c r="A1554" s="97">
        <v>98301</v>
      </c>
      <c r="B1554" s="1031">
        <v>98301</v>
      </c>
      <c r="C1554" s="978" t="s">
        <v>883</v>
      </c>
      <c r="D1554" s="595" t="s">
        <v>1773</v>
      </c>
      <c r="E1554" s="596"/>
      <c r="F1554" s="671"/>
      <c r="G1554" s="597"/>
      <c r="H1554" s="682"/>
      <c r="I1554" s="592">
        <v>476.02</v>
      </c>
      <c r="J1554" s="592">
        <f t="shared" si="1053"/>
        <v>476.02</v>
      </c>
      <c r="K1554" s="593">
        <f t="shared" si="1052"/>
        <v>579.36</v>
      </c>
      <c r="L1554" s="594" t="s">
        <v>21</v>
      </c>
      <c r="M1554" s="92"/>
      <c r="N1554" s="92"/>
      <c r="O1554" s="93">
        <f t="shared" si="1054"/>
        <v>0</v>
      </c>
      <c r="P1554" s="93">
        <f t="shared" si="1055"/>
        <v>0</v>
      </c>
      <c r="Q1554" s="94"/>
      <c r="R1554" s="92">
        <f t="shared" si="1056"/>
        <v>0</v>
      </c>
      <c r="S1554" s="92">
        <f t="shared" si="1057"/>
        <v>0</v>
      </c>
      <c r="T1554" s="93">
        <f t="shared" si="1058"/>
        <v>0</v>
      </c>
      <c r="U1554" s="95">
        <f t="shared" si="1059"/>
        <v>0</v>
      </c>
      <c r="V1554" s="94"/>
      <c r="X1554" s="580" t="str">
        <f t="shared" si="1060"/>
        <v/>
      </c>
      <c r="Y1554" s="580" t="str">
        <f t="shared" si="1061"/>
        <v/>
      </c>
      <c r="Z1554" s="580" t="str">
        <f t="shared" si="1062"/>
        <v/>
      </c>
    </row>
    <row r="1555" spans="1:26" hidden="1" x14ac:dyDescent="0.2">
      <c r="A1555" s="97">
        <v>98302</v>
      </c>
      <c r="B1555" s="1031">
        <v>98302</v>
      </c>
      <c r="C1555" s="978" t="s">
        <v>883</v>
      </c>
      <c r="D1555" s="595" t="s">
        <v>1774</v>
      </c>
      <c r="E1555" s="596"/>
      <c r="F1555" s="671"/>
      <c r="G1555" s="597"/>
      <c r="H1555" s="682"/>
      <c r="I1555" s="592">
        <v>622.38</v>
      </c>
      <c r="J1555" s="592">
        <f t="shared" si="1053"/>
        <v>622.38</v>
      </c>
      <c r="K1555" s="593">
        <f t="shared" si="1052"/>
        <v>757.5</v>
      </c>
      <c r="L1555" s="594" t="s">
        <v>21</v>
      </c>
      <c r="M1555" s="92"/>
      <c r="N1555" s="92"/>
      <c r="O1555" s="93">
        <f t="shared" si="1054"/>
        <v>0</v>
      </c>
      <c r="P1555" s="93">
        <f t="shared" si="1055"/>
        <v>0</v>
      </c>
      <c r="Q1555" s="94"/>
      <c r="R1555" s="92">
        <f t="shared" si="1056"/>
        <v>0</v>
      </c>
      <c r="S1555" s="92">
        <f t="shared" si="1057"/>
        <v>0</v>
      </c>
      <c r="T1555" s="93">
        <f t="shared" si="1058"/>
        <v>0</v>
      </c>
      <c r="U1555" s="95">
        <f t="shared" si="1059"/>
        <v>0</v>
      </c>
      <c r="V1555" s="94"/>
      <c r="X1555" s="580" t="str">
        <f t="shared" si="1060"/>
        <v/>
      </c>
      <c r="Y1555" s="580" t="str">
        <f t="shared" si="1061"/>
        <v/>
      </c>
      <c r="Z1555" s="580" t="str">
        <f t="shared" si="1062"/>
        <v/>
      </c>
    </row>
    <row r="1556" spans="1:26" hidden="1" x14ac:dyDescent="0.2">
      <c r="A1556" s="97">
        <v>98304</v>
      </c>
      <c r="B1556" s="1031">
        <v>98304</v>
      </c>
      <c r="C1556" s="978" t="s">
        <v>883</v>
      </c>
      <c r="D1556" s="595" t="s">
        <v>1775</v>
      </c>
      <c r="E1556" s="596"/>
      <c r="F1556" s="671"/>
      <c r="G1556" s="597"/>
      <c r="H1556" s="682"/>
      <c r="I1556" s="592">
        <v>1017.59</v>
      </c>
      <c r="J1556" s="592">
        <f t="shared" si="1053"/>
        <v>1017.59</v>
      </c>
      <c r="K1556" s="593">
        <f t="shared" si="1052"/>
        <v>1238.51</v>
      </c>
      <c r="L1556" s="594" t="s">
        <v>21</v>
      </c>
      <c r="M1556" s="92"/>
      <c r="N1556" s="92"/>
      <c r="O1556" s="93">
        <f t="shared" si="1054"/>
        <v>0</v>
      </c>
      <c r="P1556" s="93">
        <f t="shared" si="1055"/>
        <v>0</v>
      </c>
      <c r="Q1556" s="94"/>
      <c r="R1556" s="92">
        <f t="shared" si="1056"/>
        <v>0</v>
      </c>
      <c r="S1556" s="92">
        <f t="shared" si="1057"/>
        <v>0</v>
      </c>
      <c r="T1556" s="93">
        <f t="shared" si="1058"/>
        <v>0</v>
      </c>
      <c r="U1556" s="95">
        <f t="shared" si="1059"/>
        <v>0</v>
      </c>
      <c r="V1556" s="94"/>
      <c r="X1556" s="580" t="str">
        <f t="shared" si="1060"/>
        <v/>
      </c>
      <c r="Y1556" s="580" t="str">
        <f t="shared" si="1061"/>
        <v/>
      </c>
      <c r="Z1556" s="580" t="str">
        <f t="shared" si="1062"/>
        <v/>
      </c>
    </row>
    <row r="1557" spans="1:26" hidden="1" x14ac:dyDescent="0.2">
      <c r="A1557" s="97">
        <v>98307</v>
      </c>
      <c r="B1557" s="1031">
        <v>98307</v>
      </c>
      <c r="C1557" s="978" t="s">
        <v>883</v>
      </c>
      <c r="D1557" s="595" t="s">
        <v>1776</v>
      </c>
      <c r="E1557" s="596"/>
      <c r="F1557" s="671"/>
      <c r="G1557" s="597"/>
      <c r="H1557" s="682"/>
      <c r="I1557" s="592">
        <v>46.22</v>
      </c>
      <c r="J1557" s="592">
        <f t="shared" si="1053"/>
        <v>46.22</v>
      </c>
      <c r="K1557" s="593">
        <f t="shared" si="1052"/>
        <v>56.25</v>
      </c>
      <c r="L1557" s="594" t="s">
        <v>21</v>
      </c>
      <c r="M1557" s="92"/>
      <c r="N1557" s="92"/>
      <c r="O1557" s="93">
        <f t="shared" si="1054"/>
        <v>0</v>
      </c>
      <c r="P1557" s="93">
        <f t="shared" si="1055"/>
        <v>0</v>
      </c>
      <c r="Q1557" s="94"/>
      <c r="R1557" s="92">
        <f t="shared" si="1056"/>
        <v>0</v>
      </c>
      <c r="S1557" s="92">
        <f t="shared" si="1057"/>
        <v>0</v>
      </c>
      <c r="T1557" s="93">
        <f t="shared" si="1058"/>
        <v>0</v>
      </c>
      <c r="U1557" s="95">
        <f t="shared" si="1059"/>
        <v>0</v>
      </c>
      <c r="V1557" s="94"/>
      <c r="X1557" s="580" t="str">
        <f t="shared" si="1060"/>
        <v/>
      </c>
      <c r="Y1557" s="580" t="str">
        <f t="shared" si="1061"/>
        <v/>
      </c>
      <c r="Z1557" s="580" t="str">
        <f t="shared" si="1062"/>
        <v/>
      </c>
    </row>
    <row r="1558" spans="1:26" hidden="1" x14ac:dyDescent="0.2">
      <c r="A1558" s="97">
        <v>98308</v>
      </c>
      <c r="B1558" s="1031">
        <v>98308</v>
      </c>
      <c r="C1558" s="978" t="s">
        <v>883</v>
      </c>
      <c r="D1558" s="595" t="s">
        <v>1777</v>
      </c>
      <c r="E1558" s="596"/>
      <c r="F1558" s="671"/>
      <c r="G1558" s="597"/>
      <c r="H1558" s="682"/>
      <c r="I1558" s="592">
        <v>30.21</v>
      </c>
      <c r="J1558" s="592">
        <f t="shared" si="1053"/>
        <v>30.21</v>
      </c>
      <c r="K1558" s="593">
        <f t="shared" si="1052"/>
        <v>36.770000000000003</v>
      </c>
      <c r="L1558" s="594" t="s">
        <v>21</v>
      </c>
      <c r="M1558" s="92"/>
      <c r="N1558" s="92"/>
      <c r="O1558" s="93">
        <f t="shared" si="1054"/>
        <v>0</v>
      </c>
      <c r="P1558" s="93">
        <f t="shared" si="1055"/>
        <v>0</v>
      </c>
      <c r="Q1558" s="94"/>
      <c r="R1558" s="92">
        <f t="shared" si="1056"/>
        <v>0</v>
      </c>
      <c r="S1558" s="92">
        <f t="shared" si="1057"/>
        <v>0</v>
      </c>
      <c r="T1558" s="93">
        <f t="shared" si="1058"/>
        <v>0</v>
      </c>
      <c r="U1558" s="95">
        <f t="shared" si="1059"/>
        <v>0</v>
      </c>
      <c r="V1558" s="94"/>
      <c r="X1558" s="580" t="str">
        <f t="shared" si="1060"/>
        <v/>
      </c>
      <c r="Y1558" s="580" t="str">
        <f t="shared" si="1061"/>
        <v/>
      </c>
      <c r="Z1558" s="580" t="str">
        <f t="shared" si="1062"/>
        <v/>
      </c>
    </row>
    <row r="1559" spans="1:26" hidden="1" x14ac:dyDescent="0.2">
      <c r="A1559" s="97">
        <v>98593</v>
      </c>
      <c r="B1559" s="1031">
        <v>98593</v>
      </c>
      <c r="C1559" s="978" t="s">
        <v>883</v>
      </c>
      <c r="D1559" s="595" t="s">
        <v>1778</v>
      </c>
      <c r="E1559" s="596"/>
      <c r="F1559" s="671"/>
      <c r="G1559" s="597"/>
      <c r="H1559" s="682"/>
      <c r="I1559" s="592">
        <v>842.77</v>
      </c>
      <c r="J1559" s="592">
        <f t="shared" si="1053"/>
        <v>842.77</v>
      </c>
      <c r="K1559" s="593">
        <f t="shared" si="1052"/>
        <v>1025.74</v>
      </c>
      <c r="L1559" s="594" t="s">
        <v>21</v>
      </c>
      <c r="M1559" s="92"/>
      <c r="N1559" s="92"/>
      <c r="O1559" s="93">
        <f t="shared" si="1054"/>
        <v>0</v>
      </c>
      <c r="P1559" s="93">
        <f t="shared" si="1055"/>
        <v>0</v>
      </c>
      <c r="Q1559" s="94"/>
      <c r="R1559" s="92">
        <f t="shared" si="1056"/>
        <v>0</v>
      </c>
      <c r="S1559" s="92">
        <f t="shared" si="1057"/>
        <v>0</v>
      </c>
      <c r="T1559" s="93">
        <f t="shared" si="1058"/>
        <v>0</v>
      </c>
      <c r="U1559" s="95">
        <f t="shared" si="1059"/>
        <v>0</v>
      </c>
      <c r="V1559" s="94"/>
      <c r="X1559" s="580" t="str">
        <f t="shared" si="1060"/>
        <v/>
      </c>
      <c r="Y1559" s="580" t="str">
        <f t="shared" si="1061"/>
        <v/>
      </c>
      <c r="Z1559" s="580" t="str">
        <f t="shared" si="1062"/>
        <v/>
      </c>
    </row>
    <row r="1560" spans="1:26" ht="25.5" hidden="1" x14ac:dyDescent="0.2">
      <c r="A1560" s="97">
        <v>98400</v>
      </c>
      <c r="B1560" s="1031">
        <v>98400</v>
      </c>
      <c r="C1560" s="978" t="s">
        <v>883</v>
      </c>
      <c r="D1560" s="595" t="s">
        <v>1779</v>
      </c>
      <c r="E1560" s="596"/>
      <c r="F1560" s="671"/>
      <c r="G1560" s="597"/>
      <c r="H1560" s="682"/>
      <c r="I1560" s="592">
        <v>11.35</v>
      </c>
      <c r="J1560" s="592">
        <f t="shared" si="1053"/>
        <v>11.35</v>
      </c>
      <c r="K1560" s="593">
        <f t="shared" si="1052"/>
        <v>13.81</v>
      </c>
      <c r="L1560" s="594" t="s">
        <v>19</v>
      </c>
      <c r="M1560" s="92"/>
      <c r="N1560" s="92"/>
      <c r="O1560" s="93">
        <f t="shared" si="1054"/>
        <v>0</v>
      </c>
      <c r="P1560" s="93">
        <f t="shared" si="1055"/>
        <v>0</v>
      </c>
      <c r="Q1560" s="94"/>
      <c r="R1560" s="92">
        <f t="shared" si="1056"/>
        <v>0</v>
      </c>
      <c r="S1560" s="92">
        <f t="shared" si="1057"/>
        <v>0</v>
      </c>
      <c r="T1560" s="93">
        <f t="shared" si="1058"/>
        <v>0</v>
      </c>
      <c r="U1560" s="95">
        <f t="shared" si="1059"/>
        <v>0</v>
      </c>
      <c r="V1560" s="94"/>
      <c r="X1560" s="580" t="str">
        <f t="shared" si="1060"/>
        <v/>
      </c>
      <c r="Y1560" s="580" t="str">
        <f t="shared" si="1061"/>
        <v/>
      </c>
      <c r="Z1560" s="580" t="str">
        <f t="shared" si="1062"/>
        <v/>
      </c>
    </row>
    <row r="1561" spans="1:26" ht="25.5" hidden="1" x14ac:dyDescent="0.2">
      <c r="A1561" s="97">
        <v>98401</v>
      </c>
      <c r="B1561" s="1031">
        <v>98401</v>
      </c>
      <c r="C1561" s="978" t="s">
        <v>883</v>
      </c>
      <c r="D1561" s="595" t="s">
        <v>1780</v>
      </c>
      <c r="E1561" s="596"/>
      <c r="F1561" s="671"/>
      <c r="G1561" s="597"/>
      <c r="H1561" s="682"/>
      <c r="I1561" s="592">
        <v>17.27</v>
      </c>
      <c r="J1561" s="592">
        <f t="shared" si="1053"/>
        <v>17.27</v>
      </c>
      <c r="K1561" s="593">
        <f t="shared" si="1052"/>
        <v>21.02</v>
      </c>
      <c r="L1561" s="594" t="s">
        <v>19</v>
      </c>
      <c r="M1561" s="92"/>
      <c r="N1561" s="92"/>
      <c r="O1561" s="93">
        <f t="shared" si="1054"/>
        <v>0</v>
      </c>
      <c r="P1561" s="93">
        <f t="shared" si="1055"/>
        <v>0</v>
      </c>
      <c r="Q1561" s="94"/>
      <c r="R1561" s="92">
        <f t="shared" si="1056"/>
        <v>0</v>
      </c>
      <c r="S1561" s="92">
        <f t="shared" si="1057"/>
        <v>0</v>
      </c>
      <c r="T1561" s="93">
        <f t="shared" si="1058"/>
        <v>0</v>
      </c>
      <c r="U1561" s="95">
        <f t="shared" si="1059"/>
        <v>0</v>
      </c>
      <c r="V1561" s="94"/>
      <c r="X1561" s="580" t="str">
        <f t="shared" si="1060"/>
        <v/>
      </c>
      <c r="Y1561" s="580" t="str">
        <f t="shared" si="1061"/>
        <v/>
      </c>
      <c r="Z1561" s="580" t="str">
        <f t="shared" si="1062"/>
        <v/>
      </c>
    </row>
    <row r="1562" spans="1:26" ht="25.5" hidden="1" x14ac:dyDescent="0.2">
      <c r="A1562" s="97">
        <v>98402</v>
      </c>
      <c r="B1562" s="1031">
        <v>98402</v>
      </c>
      <c r="C1562" s="978" t="s">
        <v>883</v>
      </c>
      <c r="D1562" s="595" t="s">
        <v>1781</v>
      </c>
      <c r="E1562" s="596"/>
      <c r="F1562" s="671"/>
      <c r="G1562" s="597"/>
      <c r="H1562" s="682"/>
      <c r="I1562" s="592">
        <v>22.22</v>
      </c>
      <c r="J1562" s="592">
        <f t="shared" si="1053"/>
        <v>22.22</v>
      </c>
      <c r="K1562" s="593">
        <f t="shared" si="1052"/>
        <v>27.04</v>
      </c>
      <c r="L1562" s="594" t="s">
        <v>19</v>
      </c>
      <c r="M1562" s="92"/>
      <c r="N1562" s="92"/>
      <c r="O1562" s="93">
        <f t="shared" si="1054"/>
        <v>0</v>
      </c>
      <c r="P1562" s="93">
        <f t="shared" si="1055"/>
        <v>0</v>
      </c>
      <c r="Q1562" s="94"/>
      <c r="R1562" s="92">
        <f t="shared" si="1056"/>
        <v>0</v>
      </c>
      <c r="S1562" s="92">
        <f t="shared" si="1057"/>
        <v>0</v>
      </c>
      <c r="T1562" s="93">
        <f t="shared" si="1058"/>
        <v>0</v>
      </c>
      <c r="U1562" s="95">
        <f t="shared" si="1059"/>
        <v>0</v>
      </c>
      <c r="V1562" s="94"/>
      <c r="X1562" s="580" t="str">
        <f t="shared" si="1060"/>
        <v/>
      </c>
      <c r="Y1562" s="580" t="str">
        <f t="shared" si="1061"/>
        <v/>
      </c>
      <c r="Z1562" s="580" t="str">
        <f t="shared" si="1062"/>
        <v/>
      </c>
    </row>
    <row r="1563" spans="1:26" ht="25.5" hidden="1" x14ac:dyDescent="0.2">
      <c r="A1563" s="97">
        <v>98267</v>
      </c>
      <c r="B1563" s="1031">
        <v>98267</v>
      </c>
      <c r="C1563" s="978" t="s">
        <v>883</v>
      </c>
      <c r="D1563" s="595" t="s">
        <v>1782</v>
      </c>
      <c r="E1563" s="596"/>
      <c r="F1563" s="671"/>
      <c r="G1563" s="597"/>
      <c r="H1563" s="682"/>
      <c r="I1563" s="592">
        <v>9.69</v>
      </c>
      <c r="J1563" s="592">
        <f t="shared" si="1053"/>
        <v>9.69</v>
      </c>
      <c r="K1563" s="593">
        <f t="shared" si="1052"/>
        <v>11.79</v>
      </c>
      <c r="L1563" s="594" t="s">
        <v>19</v>
      </c>
      <c r="M1563" s="92"/>
      <c r="N1563" s="92"/>
      <c r="O1563" s="93">
        <f t="shared" si="1054"/>
        <v>0</v>
      </c>
      <c r="P1563" s="93">
        <f t="shared" si="1055"/>
        <v>0</v>
      </c>
      <c r="Q1563" s="94"/>
      <c r="R1563" s="92">
        <f t="shared" si="1056"/>
        <v>0</v>
      </c>
      <c r="S1563" s="92">
        <f t="shared" si="1057"/>
        <v>0</v>
      </c>
      <c r="T1563" s="93">
        <f t="shared" si="1058"/>
        <v>0</v>
      </c>
      <c r="U1563" s="95">
        <f t="shared" si="1059"/>
        <v>0</v>
      </c>
      <c r="V1563" s="94"/>
      <c r="X1563" s="580" t="str">
        <f t="shared" si="1060"/>
        <v/>
      </c>
      <c r="Y1563" s="580" t="str">
        <f t="shared" si="1061"/>
        <v/>
      </c>
      <c r="Z1563" s="580" t="str">
        <f t="shared" si="1062"/>
        <v/>
      </c>
    </row>
    <row r="1564" spans="1:26" ht="25.5" hidden="1" x14ac:dyDescent="0.2">
      <c r="A1564" s="97">
        <v>98268</v>
      </c>
      <c r="B1564" s="1031">
        <v>98268</v>
      </c>
      <c r="C1564" s="978" t="s">
        <v>883</v>
      </c>
      <c r="D1564" s="595" t="s">
        <v>1783</v>
      </c>
      <c r="E1564" s="596"/>
      <c r="F1564" s="671"/>
      <c r="G1564" s="597"/>
      <c r="H1564" s="682"/>
      <c r="I1564" s="592">
        <v>15.47</v>
      </c>
      <c r="J1564" s="592">
        <f t="shared" si="1053"/>
        <v>15.47</v>
      </c>
      <c r="K1564" s="593">
        <f t="shared" si="1052"/>
        <v>18.829999999999998</v>
      </c>
      <c r="L1564" s="594" t="s">
        <v>19</v>
      </c>
      <c r="M1564" s="92"/>
      <c r="N1564" s="92"/>
      <c r="O1564" s="93">
        <f t="shared" si="1054"/>
        <v>0</v>
      </c>
      <c r="P1564" s="93">
        <f t="shared" si="1055"/>
        <v>0</v>
      </c>
      <c r="Q1564" s="94"/>
      <c r="R1564" s="92">
        <f t="shared" si="1056"/>
        <v>0</v>
      </c>
      <c r="S1564" s="92">
        <f t="shared" si="1057"/>
        <v>0</v>
      </c>
      <c r="T1564" s="93">
        <f t="shared" si="1058"/>
        <v>0</v>
      </c>
      <c r="U1564" s="95">
        <f t="shared" si="1059"/>
        <v>0</v>
      </c>
      <c r="V1564" s="94"/>
      <c r="X1564" s="580" t="str">
        <f t="shared" si="1060"/>
        <v/>
      </c>
      <c r="Y1564" s="580" t="str">
        <f t="shared" si="1061"/>
        <v/>
      </c>
      <c r="Z1564" s="580" t="str">
        <f t="shared" si="1062"/>
        <v/>
      </c>
    </row>
    <row r="1565" spans="1:26" ht="25.5" hidden="1" x14ac:dyDescent="0.2">
      <c r="A1565" s="97">
        <v>98269</v>
      </c>
      <c r="B1565" s="1031">
        <v>98269</v>
      </c>
      <c r="C1565" s="978" t="s">
        <v>883</v>
      </c>
      <c r="D1565" s="595" t="s">
        <v>1784</v>
      </c>
      <c r="E1565" s="596"/>
      <c r="F1565" s="671"/>
      <c r="G1565" s="597"/>
      <c r="H1565" s="682"/>
      <c r="I1565" s="592">
        <v>19.84</v>
      </c>
      <c r="J1565" s="592">
        <f t="shared" si="1053"/>
        <v>19.84</v>
      </c>
      <c r="K1565" s="593">
        <f t="shared" si="1052"/>
        <v>24.15</v>
      </c>
      <c r="L1565" s="594" t="s">
        <v>19</v>
      </c>
      <c r="M1565" s="92"/>
      <c r="N1565" s="92"/>
      <c r="O1565" s="93">
        <f t="shared" si="1054"/>
        <v>0</v>
      </c>
      <c r="P1565" s="93">
        <f t="shared" si="1055"/>
        <v>0</v>
      </c>
      <c r="Q1565" s="94"/>
      <c r="R1565" s="92">
        <f t="shared" si="1056"/>
        <v>0</v>
      </c>
      <c r="S1565" s="92">
        <f t="shared" si="1057"/>
        <v>0</v>
      </c>
      <c r="T1565" s="93">
        <f t="shared" si="1058"/>
        <v>0</v>
      </c>
      <c r="U1565" s="95">
        <f t="shared" si="1059"/>
        <v>0</v>
      </c>
      <c r="V1565" s="94"/>
      <c r="X1565" s="580" t="str">
        <f t="shared" si="1060"/>
        <v/>
      </c>
      <c r="Y1565" s="580" t="str">
        <f t="shared" si="1061"/>
        <v/>
      </c>
      <c r="Z1565" s="580" t="str">
        <f t="shared" si="1062"/>
        <v/>
      </c>
    </row>
    <row r="1566" spans="1:26" ht="25.5" hidden="1" x14ac:dyDescent="0.2">
      <c r="A1566" s="97">
        <v>98270</v>
      </c>
      <c r="B1566" s="1031">
        <v>98270</v>
      </c>
      <c r="C1566" s="978" t="s">
        <v>883</v>
      </c>
      <c r="D1566" s="595" t="s">
        <v>1785</v>
      </c>
      <c r="E1566" s="596"/>
      <c r="F1566" s="671"/>
      <c r="G1566" s="597"/>
      <c r="H1566" s="682"/>
      <c r="I1566" s="592">
        <v>31.79</v>
      </c>
      <c r="J1566" s="592">
        <f t="shared" si="1053"/>
        <v>31.79</v>
      </c>
      <c r="K1566" s="593">
        <f t="shared" si="1052"/>
        <v>38.69</v>
      </c>
      <c r="L1566" s="594" t="s">
        <v>19</v>
      </c>
      <c r="M1566" s="92"/>
      <c r="N1566" s="92"/>
      <c r="O1566" s="93">
        <f t="shared" si="1054"/>
        <v>0</v>
      </c>
      <c r="P1566" s="93">
        <f t="shared" si="1055"/>
        <v>0</v>
      </c>
      <c r="Q1566" s="94"/>
      <c r="R1566" s="92">
        <f t="shared" si="1056"/>
        <v>0</v>
      </c>
      <c r="S1566" s="92">
        <f t="shared" si="1057"/>
        <v>0</v>
      </c>
      <c r="T1566" s="93">
        <f t="shared" si="1058"/>
        <v>0</v>
      </c>
      <c r="U1566" s="95">
        <f t="shared" si="1059"/>
        <v>0</v>
      </c>
      <c r="V1566" s="94"/>
      <c r="X1566" s="580" t="str">
        <f t="shared" si="1060"/>
        <v/>
      </c>
      <c r="Y1566" s="580" t="str">
        <f t="shared" si="1061"/>
        <v/>
      </c>
      <c r="Z1566" s="580" t="str">
        <f t="shared" si="1062"/>
        <v/>
      </c>
    </row>
    <row r="1567" spans="1:26" ht="25.5" hidden="1" x14ac:dyDescent="0.2">
      <c r="A1567" s="97">
        <v>98271</v>
      </c>
      <c r="B1567" s="1031">
        <v>98271</v>
      </c>
      <c r="C1567" s="978" t="s">
        <v>883</v>
      </c>
      <c r="D1567" s="595" t="s">
        <v>1786</v>
      </c>
      <c r="E1567" s="596"/>
      <c r="F1567" s="671"/>
      <c r="G1567" s="597"/>
      <c r="H1567" s="682"/>
      <c r="I1567" s="592">
        <v>48.89</v>
      </c>
      <c r="J1567" s="592">
        <f t="shared" si="1053"/>
        <v>48.89</v>
      </c>
      <c r="K1567" s="593">
        <f t="shared" si="1052"/>
        <v>59.5</v>
      </c>
      <c r="L1567" s="594" t="s">
        <v>19</v>
      </c>
      <c r="M1567" s="92"/>
      <c r="N1567" s="92"/>
      <c r="O1567" s="93">
        <f t="shared" si="1054"/>
        <v>0</v>
      </c>
      <c r="P1567" s="93">
        <f t="shared" si="1055"/>
        <v>0</v>
      </c>
      <c r="Q1567" s="94"/>
      <c r="R1567" s="92">
        <f t="shared" si="1056"/>
        <v>0</v>
      </c>
      <c r="S1567" s="92">
        <f t="shared" si="1057"/>
        <v>0</v>
      </c>
      <c r="T1567" s="93">
        <f t="shared" si="1058"/>
        <v>0</v>
      </c>
      <c r="U1567" s="95">
        <f t="shared" si="1059"/>
        <v>0</v>
      </c>
      <c r="V1567" s="94"/>
      <c r="X1567" s="580" t="str">
        <f t="shared" si="1060"/>
        <v/>
      </c>
      <c r="Y1567" s="580" t="str">
        <f t="shared" si="1061"/>
        <v/>
      </c>
      <c r="Z1567" s="580" t="str">
        <f t="shared" si="1062"/>
        <v/>
      </c>
    </row>
    <row r="1568" spans="1:26" ht="25.5" hidden="1" x14ac:dyDescent="0.2">
      <c r="A1568" s="97">
        <v>98272</v>
      </c>
      <c r="B1568" s="1031">
        <v>98272</v>
      </c>
      <c r="C1568" s="978" t="s">
        <v>883</v>
      </c>
      <c r="D1568" s="595" t="s">
        <v>1787</v>
      </c>
      <c r="E1568" s="596"/>
      <c r="F1568" s="671"/>
      <c r="G1568" s="597"/>
      <c r="H1568" s="682"/>
      <c r="I1568" s="592">
        <v>113.61</v>
      </c>
      <c r="J1568" s="592">
        <f t="shared" si="1053"/>
        <v>113.61</v>
      </c>
      <c r="K1568" s="593">
        <f t="shared" si="1052"/>
        <v>138.27000000000001</v>
      </c>
      <c r="L1568" s="594" t="s">
        <v>19</v>
      </c>
      <c r="M1568" s="92"/>
      <c r="N1568" s="92"/>
      <c r="O1568" s="93">
        <f t="shared" si="1054"/>
        <v>0</v>
      </c>
      <c r="P1568" s="93">
        <f t="shared" si="1055"/>
        <v>0</v>
      </c>
      <c r="Q1568" s="94"/>
      <c r="R1568" s="92">
        <f t="shared" si="1056"/>
        <v>0</v>
      </c>
      <c r="S1568" s="92">
        <f t="shared" si="1057"/>
        <v>0</v>
      </c>
      <c r="T1568" s="93">
        <f t="shared" si="1058"/>
        <v>0</v>
      </c>
      <c r="U1568" s="95">
        <f t="shared" si="1059"/>
        <v>0</v>
      </c>
      <c r="V1568" s="94"/>
      <c r="X1568" s="580" t="str">
        <f t="shared" si="1060"/>
        <v/>
      </c>
      <c r="Y1568" s="580" t="str">
        <f t="shared" si="1061"/>
        <v/>
      </c>
      <c r="Z1568" s="580" t="str">
        <f t="shared" si="1062"/>
        <v/>
      </c>
    </row>
    <row r="1569" spans="1:26" ht="25.5" hidden="1" x14ac:dyDescent="0.2">
      <c r="A1569" s="97">
        <v>98276</v>
      </c>
      <c r="B1569" s="1031">
        <v>98276</v>
      </c>
      <c r="C1569" s="978" t="s">
        <v>883</v>
      </c>
      <c r="D1569" s="595" t="s">
        <v>1788</v>
      </c>
      <c r="E1569" s="596"/>
      <c r="F1569" s="671"/>
      <c r="G1569" s="597"/>
      <c r="H1569" s="682"/>
      <c r="I1569" s="592">
        <v>6.98</v>
      </c>
      <c r="J1569" s="592">
        <f t="shared" si="1053"/>
        <v>6.98</v>
      </c>
      <c r="K1569" s="593">
        <f t="shared" si="1052"/>
        <v>8.5</v>
      </c>
      <c r="L1569" s="594" t="s">
        <v>19</v>
      </c>
      <c r="M1569" s="92"/>
      <c r="N1569" s="92"/>
      <c r="O1569" s="93">
        <f t="shared" si="1054"/>
        <v>0</v>
      </c>
      <c r="P1569" s="93">
        <f t="shared" si="1055"/>
        <v>0</v>
      </c>
      <c r="Q1569" s="94"/>
      <c r="R1569" s="92">
        <f t="shared" si="1056"/>
        <v>0</v>
      </c>
      <c r="S1569" s="92">
        <f t="shared" si="1057"/>
        <v>0</v>
      </c>
      <c r="T1569" s="93">
        <f t="shared" si="1058"/>
        <v>0</v>
      </c>
      <c r="U1569" s="95">
        <f t="shared" si="1059"/>
        <v>0</v>
      </c>
      <c r="V1569" s="94"/>
      <c r="X1569" s="580" t="str">
        <f t="shared" si="1060"/>
        <v/>
      </c>
      <c r="Y1569" s="580" t="str">
        <f t="shared" si="1061"/>
        <v/>
      </c>
      <c r="Z1569" s="580" t="str">
        <f t="shared" si="1062"/>
        <v/>
      </c>
    </row>
    <row r="1570" spans="1:26" ht="25.5" hidden="1" x14ac:dyDescent="0.2">
      <c r="A1570" s="97">
        <v>98277</v>
      </c>
      <c r="B1570" s="1031">
        <v>98277</v>
      </c>
      <c r="C1570" s="978" t="s">
        <v>883</v>
      </c>
      <c r="D1570" s="595" t="s">
        <v>1789</v>
      </c>
      <c r="E1570" s="596"/>
      <c r="F1570" s="671"/>
      <c r="G1570" s="597"/>
      <c r="H1570" s="682"/>
      <c r="I1570" s="592">
        <v>12.76</v>
      </c>
      <c r="J1570" s="592">
        <f t="shared" si="1053"/>
        <v>12.76</v>
      </c>
      <c r="K1570" s="593">
        <f t="shared" si="1052"/>
        <v>15.53</v>
      </c>
      <c r="L1570" s="594" t="s">
        <v>19</v>
      </c>
      <c r="M1570" s="92"/>
      <c r="N1570" s="92"/>
      <c r="O1570" s="93">
        <f t="shared" si="1054"/>
        <v>0</v>
      </c>
      <c r="P1570" s="93">
        <f t="shared" si="1055"/>
        <v>0</v>
      </c>
      <c r="Q1570" s="94"/>
      <c r="R1570" s="92">
        <f t="shared" si="1056"/>
        <v>0</v>
      </c>
      <c r="S1570" s="92">
        <f t="shared" si="1057"/>
        <v>0</v>
      </c>
      <c r="T1570" s="93">
        <f t="shared" si="1058"/>
        <v>0</v>
      </c>
      <c r="U1570" s="95">
        <f t="shared" si="1059"/>
        <v>0</v>
      </c>
      <c r="V1570" s="94"/>
      <c r="X1570" s="580" t="str">
        <f t="shared" si="1060"/>
        <v/>
      </c>
      <c r="Y1570" s="580" t="str">
        <f t="shared" si="1061"/>
        <v/>
      </c>
      <c r="Z1570" s="580" t="str">
        <f t="shared" si="1062"/>
        <v/>
      </c>
    </row>
    <row r="1571" spans="1:26" ht="25.5" hidden="1" x14ac:dyDescent="0.2">
      <c r="A1571" s="97">
        <v>98278</v>
      </c>
      <c r="B1571" s="1031">
        <v>98278</v>
      </c>
      <c r="C1571" s="978" t="s">
        <v>883</v>
      </c>
      <c r="D1571" s="595" t="s">
        <v>1790</v>
      </c>
      <c r="E1571" s="596"/>
      <c r="F1571" s="671"/>
      <c r="G1571" s="597"/>
      <c r="H1571" s="682"/>
      <c r="I1571" s="592">
        <v>17.13</v>
      </c>
      <c r="J1571" s="592">
        <f t="shared" si="1053"/>
        <v>17.13</v>
      </c>
      <c r="K1571" s="593">
        <f t="shared" si="1052"/>
        <v>20.85</v>
      </c>
      <c r="L1571" s="594" t="s">
        <v>19</v>
      </c>
      <c r="M1571" s="92"/>
      <c r="N1571" s="92"/>
      <c r="O1571" s="93">
        <f t="shared" si="1054"/>
        <v>0</v>
      </c>
      <c r="P1571" s="93">
        <f t="shared" si="1055"/>
        <v>0</v>
      </c>
      <c r="Q1571" s="94"/>
      <c r="R1571" s="92">
        <f t="shared" si="1056"/>
        <v>0</v>
      </c>
      <c r="S1571" s="92">
        <f t="shared" si="1057"/>
        <v>0</v>
      </c>
      <c r="T1571" s="93">
        <f t="shared" si="1058"/>
        <v>0</v>
      </c>
      <c r="U1571" s="95">
        <f t="shared" si="1059"/>
        <v>0</v>
      </c>
      <c r="V1571" s="94"/>
      <c r="X1571" s="580" t="str">
        <f t="shared" si="1060"/>
        <v/>
      </c>
      <c r="Y1571" s="580" t="str">
        <f t="shared" si="1061"/>
        <v/>
      </c>
      <c r="Z1571" s="580" t="str">
        <f t="shared" si="1062"/>
        <v/>
      </c>
    </row>
    <row r="1572" spans="1:26" ht="25.5" hidden="1" x14ac:dyDescent="0.2">
      <c r="A1572" s="97">
        <v>98279</v>
      </c>
      <c r="B1572" s="1031">
        <v>98279</v>
      </c>
      <c r="C1572" s="978" t="s">
        <v>883</v>
      </c>
      <c r="D1572" s="595" t="s">
        <v>1791</v>
      </c>
      <c r="E1572" s="596"/>
      <c r="F1572" s="671"/>
      <c r="G1572" s="597"/>
      <c r="H1572" s="682"/>
      <c r="I1572" s="592">
        <v>29.08</v>
      </c>
      <c r="J1572" s="592">
        <f t="shared" si="1053"/>
        <v>29.08</v>
      </c>
      <c r="K1572" s="593">
        <f t="shared" si="1052"/>
        <v>35.39</v>
      </c>
      <c r="L1572" s="594" t="s">
        <v>19</v>
      </c>
      <c r="M1572" s="92"/>
      <c r="N1572" s="92"/>
      <c r="O1572" s="93">
        <f t="shared" si="1054"/>
        <v>0</v>
      </c>
      <c r="P1572" s="93">
        <f t="shared" si="1055"/>
        <v>0</v>
      </c>
      <c r="Q1572" s="94"/>
      <c r="R1572" s="92">
        <f t="shared" si="1056"/>
        <v>0</v>
      </c>
      <c r="S1572" s="92">
        <f t="shared" si="1057"/>
        <v>0</v>
      </c>
      <c r="T1572" s="93">
        <f t="shared" si="1058"/>
        <v>0</v>
      </c>
      <c r="U1572" s="95">
        <f t="shared" si="1059"/>
        <v>0</v>
      </c>
      <c r="V1572" s="94"/>
      <c r="X1572" s="580" t="str">
        <f t="shared" si="1060"/>
        <v/>
      </c>
      <c r="Y1572" s="580" t="str">
        <f t="shared" si="1061"/>
        <v/>
      </c>
      <c r="Z1572" s="580" t="str">
        <f t="shared" si="1062"/>
        <v/>
      </c>
    </row>
    <row r="1573" spans="1:26" ht="25.5" hidden="1" x14ac:dyDescent="0.2">
      <c r="A1573" s="97">
        <v>98286</v>
      </c>
      <c r="B1573" s="1031">
        <v>98286</v>
      </c>
      <c r="C1573" s="978" t="s">
        <v>883</v>
      </c>
      <c r="D1573" s="595" t="s">
        <v>1792</v>
      </c>
      <c r="E1573" s="596"/>
      <c r="F1573" s="671"/>
      <c r="G1573" s="597"/>
      <c r="H1573" s="682"/>
      <c r="I1573" s="592">
        <v>13.18</v>
      </c>
      <c r="J1573" s="592">
        <f t="shared" si="1053"/>
        <v>13.18</v>
      </c>
      <c r="K1573" s="593">
        <f t="shared" si="1052"/>
        <v>16.04</v>
      </c>
      <c r="L1573" s="594" t="s">
        <v>19</v>
      </c>
      <c r="M1573" s="92"/>
      <c r="N1573" s="92"/>
      <c r="O1573" s="93">
        <f t="shared" si="1054"/>
        <v>0</v>
      </c>
      <c r="P1573" s="93">
        <f t="shared" si="1055"/>
        <v>0</v>
      </c>
      <c r="Q1573" s="94"/>
      <c r="R1573" s="92">
        <f t="shared" si="1056"/>
        <v>0</v>
      </c>
      <c r="S1573" s="92">
        <f t="shared" si="1057"/>
        <v>0</v>
      </c>
      <c r="T1573" s="93">
        <f t="shared" si="1058"/>
        <v>0</v>
      </c>
      <c r="U1573" s="95">
        <f t="shared" si="1059"/>
        <v>0</v>
      </c>
      <c r="V1573" s="94"/>
      <c r="X1573" s="580" t="str">
        <f t="shared" si="1060"/>
        <v/>
      </c>
      <c r="Y1573" s="580" t="str">
        <f t="shared" si="1061"/>
        <v/>
      </c>
      <c r="Z1573" s="580" t="str">
        <f t="shared" si="1062"/>
        <v/>
      </c>
    </row>
    <row r="1574" spans="1:26" ht="25.5" hidden="1" x14ac:dyDescent="0.2">
      <c r="A1574" s="97">
        <v>98293</v>
      </c>
      <c r="B1574" s="1031">
        <v>98293</v>
      </c>
      <c r="C1574" s="978" t="s">
        <v>883</v>
      </c>
      <c r="D1574" s="595" t="s">
        <v>1793</v>
      </c>
      <c r="E1574" s="596"/>
      <c r="F1574" s="671"/>
      <c r="G1574" s="597"/>
      <c r="H1574" s="682"/>
      <c r="I1574" s="592">
        <v>7.6</v>
      </c>
      <c r="J1574" s="592">
        <f t="shared" si="1053"/>
        <v>7.6</v>
      </c>
      <c r="K1574" s="593">
        <f t="shared" si="1052"/>
        <v>9.25</v>
      </c>
      <c r="L1574" s="594" t="s">
        <v>19</v>
      </c>
      <c r="M1574" s="92"/>
      <c r="N1574" s="92"/>
      <c r="O1574" s="93">
        <f t="shared" si="1054"/>
        <v>0</v>
      </c>
      <c r="P1574" s="93">
        <f t="shared" si="1055"/>
        <v>0</v>
      </c>
      <c r="Q1574" s="94"/>
      <c r="R1574" s="92">
        <f t="shared" si="1056"/>
        <v>0</v>
      </c>
      <c r="S1574" s="92">
        <f t="shared" si="1057"/>
        <v>0</v>
      </c>
      <c r="T1574" s="93">
        <f t="shared" si="1058"/>
        <v>0</v>
      </c>
      <c r="U1574" s="95">
        <f t="shared" si="1059"/>
        <v>0</v>
      </c>
      <c r="V1574" s="94"/>
      <c r="X1574" s="580" t="str">
        <f t="shared" si="1060"/>
        <v/>
      </c>
      <c r="Y1574" s="580" t="str">
        <f t="shared" si="1061"/>
        <v/>
      </c>
      <c r="Z1574" s="580" t="str">
        <f t="shared" si="1062"/>
        <v/>
      </c>
    </row>
    <row r="1575" spans="1:26" ht="25.5" hidden="1" x14ac:dyDescent="0.2">
      <c r="A1575" s="97">
        <v>98261</v>
      </c>
      <c r="B1575" s="1031">
        <v>98261</v>
      </c>
      <c r="C1575" s="978" t="s">
        <v>883</v>
      </c>
      <c r="D1575" s="595" t="s">
        <v>1794</v>
      </c>
      <c r="E1575" s="596"/>
      <c r="F1575" s="671"/>
      <c r="G1575" s="597"/>
      <c r="H1575" s="682"/>
      <c r="I1575" s="592">
        <v>3.28</v>
      </c>
      <c r="J1575" s="592">
        <f t="shared" si="1053"/>
        <v>3.28</v>
      </c>
      <c r="K1575" s="593">
        <f t="shared" si="1052"/>
        <v>3.99</v>
      </c>
      <c r="L1575" s="594" t="s">
        <v>19</v>
      </c>
      <c r="M1575" s="92"/>
      <c r="N1575" s="92"/>
      <c r="O1575" s="93">
        <f t="shared" si="1054"/>
        <v>0</v>
      </c>
      <c r="P1575" s="93">
        <f t="shared" si="1055"/>
        <v>0</v>
      </c>
      <c r="Q1575" s="94"/>
      <c r="R1575" s="92">
        <f t="shared" si="1056"/>
        <v>0</v>
      </c>
      <c r="S1575" s="92">
        <f t="shared" si="1057"/>
        <v>0</v>
      </c>
      <c r="T1575" s="93">
        <f t="shared" si="1058"/>
        <v>0</v>
      </c>
      <c r="U1575" s="95">
        <f t="shared" si="1059"/>
        <v>0</v>
      </c>
      <c r="V1575" s="94"/>
      <c r="X1575" s="580" t="str">
        <f t="shared" si="1060"/>
        <v/>
      </c>
      <c r="Y1575" s="580" t="str">
        <f t="shared" si="1061"/>
        <v/>
      </c>
      <c r="Z1575" s="580" t="str">
        <f t="shared" si="1062"/>
        <v/>
      </c>
    </row>
    <row r="1576" spans="1:26" ht="25.5" hidden="1" x14ac:dyDescent="0.2">
      <c r="A1576" s="97">
        <v>98262</v>
      </c>
      <c r="B1576" s="1031">
        <v>98262</v>
      </c>
      <c r="C1576" s="978" t="s">
        <v>883</v>
      </c>
      <c r="D1576" s="595" t="s">
        <v>1795</v>
      </c>
      <c r="E1576" s="596"/>
      <c r="F1576" s="671"/>
      <c r="G1576" s="597"/>
      <c r="H1576" s="682"/>
      <c r="I1576" s="592">
        <v>3.8</v>
      </c>
      <c r="J1576" s="592">
        <f t="shared" si="1053"/>
        <v>3.8</v>
      </c>
      <c r="K1576" s="593">
        <f t="shared" si="1052"/>
        <v>4.62</v>
      </c>
      <c r="L1576" s="594" t="s">
        <v>19</v>
      </c>
      <c r="M1576" s="92"/>
      <c r="N1576" s="92"/>
      <c r="O1576" s="93">
        <f t="shared" si="1054"/>
        <v>0</v>
      </c>
      <c r="P1576" s="93">
        <f t="shared" si="1055"/>
        <v>0</v>
      </c>
      <c r="Q1576" s="94"/>
      <c r="R1576" s="92">
        <f t="shared" si="1056"/>
        <v>0</v>
      </c>
      <c r="S1576" s="92">
        <f t="shared" si="1057"/>
        <v>0</v>
      </c>
      <c r="T1576" s="93">
        <f t="shared" si="1058"/>
        <v>0</v>
      </c>
      <c r="U1576" s="95">
        <f t="shared" si="1059"/>
        <v>0</v>
      </c>
      <c r="V1576" s="94"/>
      <c r="X1576" s="580" t="str">
        <f t="shared" si="1060"/>
        <v/>
      </c>
      <c r="Y1576" s="580" t="str">
        <f t="shared" si="1061"/>
        <v/>
      </c>
      <c r="Z1576" s="580" t="str">
        <f t="shared" si="1062"/>
        <v/>
      </c>
    </row>
    <row r="1577" spans="1:26" ht="25.5" hidden="1" x14ac:dyDescent="0.2">
      <c r="A1577" s="97">
        <v>98263</v>
      </c>
      <c r="B1577" s="1031">
        <v>98263</v>
      </c>
      <c r="C1577" s="978" t="s">
        <v>883</v>
      </c>
      <c r="D1577" s="595" t="s">
        <v>1796</v>
      </c>
      <c r="E1577" s="596"/>
      <c r="F1577" s="671"/>
      <c r="G1577" s="597"/>
      <c r="H1577" s="682"/>
      <c r="I1577" s="592">
        <v>4.42</v>
      </c>
      <c r="J1577" s="592">
        <f t="shared" si="1053"/>
        <v>4.42</v>
      </c>
      <c r="K1577" s="593">
        <f t="shared" si="1052"/>
        <v>5.38</v>
      </c>
      <c r="L1577" s="594" t="s">
        <v>19</v>
      </c>
      <c r="M1577" s="92"/>
      <c r="N1577" s="92"/>
      <c r="O1577" s="93">
        <f t="shared" si="1054"/>
        <v>0</v>
      </c>
      <c r="P1577" s="93">
        <f t="shared" si="1055"/>
        <v>0</v>
      </c>
      <c r="Q1577" s="94"/>
      <c r="R1577" s="92">
        <f t="shared" si="1056"/>
        <v>0</v>
      </c>
      <c r="S1577" s="92">
        <f t="shared" si="1057"/>
        <v>0</v>
      </c>
      <c r="T1577" s="93">
        <f t="shared" si="1058"/>
        <v>0</v>
      </c>
      <c r="U1577" s="95">
        <f t="shared" si="1059"/>
        <v>0</v>
      </c>
      <c r="V1577" s="94"/>
      <c r="X1577" s="580" t="str">
        <f t="shared" si="1060"/>
        <v/>
      </c>
      <c r="Y1577" s="580" t="str">
        <f t="shared" si="1061"/>
        <v/>
      </c>
      <c r="Z1577" s="580" t="str">
        <f t="shared" si="1062"/>
        <v/>
      </c>
    </row>
    <row r="1578" spans="1:26" ht="25.5" hidden="1" x14ac:dyDescent="0.2">
      <c r="A1578" s="97">
        <v>98264</v>
      </c>
      <c r="B1578" s="1031">
        <v>98264</v>
      </c>
      <c r="C1578" s="978" t="s">
        <v>883</v>
      </c>
      <c r="D1578" s="595" t="s">
        <v>1797</v>
      </c>
      <c r="E1578" s="596"/>
      <c r="F1578" s="671"/>
      <c r="G1578" s="597"/>
      <c r="H1578" s="682"/>
      <c r="I1578" s="592">
        <v>4.91</v>
      </c>
      <c r="J1578" s="592">
        <f t="shared" si="1053"/>
        <v>4.91</v>
      </c>
      <c r="K1578" s="593">
        <f t="shared" si="1052"/>
        <v>5.98</v>
      </c>
      <c r="L1578" s="594" t="s">
        <v>19</v>
      </c>
      <c r="M1578" s="92"/>
      <c r="N1578" s="92"/>
      <c r="O1578" s="93">
        <f t="shared" si="1054"/>
        <v>0</v>
      </c>
      <c r="P1578" s="93">
        <f t="shared" si="1055"/>
        <v>0</v>
      </c>
      <c r="Q1578" s="94"/>
      <c r="R1578" s="92">
        <f t="shared" si="1056"/>
        <v>0</v>
      </c>
      <c r="S1578" s="92">
        <f t="shared" si="1057"/>
        <v>0</v>
      </c>
      <c r="T1578" s="93">
        <f t="shared" si="1058"/>
        <v>0</v>
      </c>
      <c r="U1578" s="95">
        <f t="shared" si="1059"/>
        <v>0</v>
      </c>
      <c r="V1578" s="94"/>
      <c r="X1578" s="580" t="str">
        <f t="shared" si="1060"/>
        <v/>
      </c>
      <c r="Y1578" s="580" t="str">
        <f t="shared" si="1061"/>
        <v/>
      </c>
      <c r="Z1578" s="580" t="str">
        <f t="shared" si="1062"/>
        <v/>
      </c>
    </row>
    <row r="1579" spans="1:26" ht="25.5" hidden="1" x14ac:dyDescent="0.2">
      <c r="A1579" s="97">
        <v>98265</v>
      </c>
      <c r="B1579" s="1031">
        <v>98265</v>
      </c>
      <c r="C1579" s="978" t="s">
        <v>883</v>
      </c>
      <c r="D1579" s="595" t="s">
        <v>1798</v>
      </c>
      <c r="E1579" s="596"/>
      <c r="F1579" s="671"/>
      <c r="G1579" s="597"/>
      <c r="H1579" s="682"/>
      <c r="I1579" s="592">
        <v>5.61</v>
      </c>
      <c r="J1579" s="592">
        <f t="shared" si="1053"/>
        <v>5.61</v>
      </c>
      <c r="K1579" s="593">
        <f t="shared" si="1052"/>
        <v>6.83</v>
      </c>
      <c r="L1579" s="594" t="s">
        <v>19</v>
      </c>
      <c r="M1579" s="92"/>
      <c r="N1579" s="92"/>
      <c r="O1579" s="93">
        <f t="shared" si="1054"/>
        <v>0</v>
      </c>
      <c r="P1579" s="93">
        <f t="shared" si="1055"/>
        <v>0</v>
      </c>
      <c r="Q1579" s="94"/>
      <c r="R1579" s="92">
        <f t="shared" si="1056"/>
        <v>0</v>
      </c>
      <c r="S1579" s="92">
        <f t="shared" si="1057"/>
        <v>0</v>
      </c>
      <c r="T1579" s="93">
        <f t="shared" si="1058"/>
        <v>0</v>
      </c>
      <c r="U1579" s="95">
        <f t="shared" si="1059"/>
        <v>0</v>
      </c>
      <c r="V1579" s="94"/>
      <c r="X1579" s="580" t="str">
        <f t="shared" si="1060"/>
        <v/>
      </c>
      <c r="Y1579" s="580" t="str">
        <f t="shared" si="1061"/>
        <v/>
      </c>
      <c r="Z1579" s="580" t="str">
        <f t="shared" si="1062"/>
        <v/>
      </c>
    </row>
    <row r="1580" spans="1:26" ht="25.5" hidden="1" x14ac:dyDescent="0.2">
      <c r="A1580" s="97">
        <v>98266</v>
      </c>
      <c r="B1580" s="1031">
        <v>98266</v>
      </c>
      <c r="C1580" s="978" t="s">
        <v>883</v>
      </c>
      <c r="D1580" s="595" t="s">
        <v>1799</v>
      </c>
      <c r="E1580" s="596"/>
      <c r="F1580" s="671"/>
      <c r="G1580" s="597"/>
      <c r="H1580" s="682"/>
      <c r="I1580" s="592">
        <v>6.02</v>
      </c>
      <c r="J1580" s="592">
        <f t="shared" si="1053"/>
        <v>6.02</v>
      </c>
      <c r="K1580" s="593">
        <f t="shared" si="1052"/>
        <v>7.33</v>
      </c>
      <c r="L1580" s="594" t="s">
        <v>19</v>
      </c>
      <c r="M1580" s="92"/>
      <c r="N1580" s="92"/>
      <c r="O1580" s="93">
        <f t="shared" si="1054"/>
        <v>0</v>
      </c>
      <c r="P1580" s="93">
        <f t="shared" si="1055"/>
        <v>0</v>
      </c>
      <c r="Q1580" s="94"/>
      <c r="R1580" s="92">
        <f t="shared" si="1056"/>
        <v>0</v>
      </c>
      <c r="S1580" s="92">
        <f t="shared" si="1057"/>
        <v>0</v>
      </c>
      <c r="T1580" s="93">
        <f t="shared" si="1058"/>
        <v>0</v>
      </c>
      <c r="U1580" s="95">
        <f t="shared" si="1059"/>
        <v>0</v>
      </c>
      <c r="V1580" s="94"/>
      <c r="X1580" s="580" t="str">
        <f t="shared" si="1060"/>
        <v/>
      </c>
      <c r="Y1580" s="580" t="str">
        <f t="shared" si="1061"/>
        <v/>
      </c>
      <c r="Z1580" s="580" t="str">
        <f t="shared" si="1062"/>
        <v/>
      </c>
    </row>
    <row r="1581" spans="1:26" ht="25.5" hidden="1" x14ac:dyDescent="0.2">
      <c r="A1581" s="97">
        <v>98273</v>
      </c>
      <c r="B1581" s="1031">
        <v>98273</v>
      </c>
      <c r="C1581" s="978" t="s">
        <v>883</v>
      </c>
      <c r="D1581" s="595" t="s">
        <v>1800</v>
      </c>
      <c r="E1581" s="596"/>
      <c r="F1581" s="671"/>
      <c r="G1581" s="597"/>
      <c r="H1581" s="682"/>
      <c r="I1581" s="592">
        <v>2.2000000000000002</v>
      </c>
      <c r="J1581" s="592">
        <f t="shared" si="1053"/>
        <v>2.2000000000000002</v>
      </c>
      <c r="K1581" s="593">
        <f t="shared" si="1052"/>
        <v>2.68</v>
      </c>
      <c r="L1581" s="594" t="s">
        <v>19</v>
      </c>
      <c r="M1581" s="92"/>
      <c r="N1581" s="92"/>
      <c r="O1581" s="93">
        <f t="shared" si="1054"/>
        <v>0</v>
      </c>
      <c r="P1581" s="93">
        <f t="shared" si="1055"/>
        <v>0</v>
      </c>
      <c r="Q1581" s="94"/>
      <c r="R1581" s="92">
        <f t="shared" si="1056"/>
        <v>0</v>
      </c>
      <c r="S1581" s="92">
        <f t="shared" si="1057"/>
        <v>0</v>
      </c>
      <c r="T1581" s="93">
        <f t="shared" si="1058"/>
        <v>0</v>
      </c>
      <c r="U1581" s="95">
        <f t="shared" si="1059"/>
        <v>0</v>
      </c>
      <c r="V1581" s="94"/>
      <c r="X1581" s="580" t="str">
        <f t="shared" si="1060"/>
        <v/>
      </c>
      <c r="Y1581" s="580" t="str">
        <f t="shared" si="1061"/>
        <v/>
      </c>
      <c r="Z1581" s="580" t="str">
        <f t="shared" si="1062"/>
        <v/>
      </c>
    </row>
    <row r="1582" spans="1:26" ht="25.5" hidden="1" x14ac:dyDescent="0.2">
      <c r="A1582" s="97">
        <v>98274</v>
      </c>
      <c r="B1582" s="1031">
        <v>98274</v>
      </c>
      <c r="C1582" s="978" t="s">
        <v>883</v>
      </c>
      <c r="D1582" s="595" t="s">
        <v>1801</v>
      </c>
      <c r="E1582" s="596"/>
      <c r="F1582" s="671"/>
      <c r="G1582" s="597"/>
      <c r="H1582" s="682"/>
      <c r="I1582" s="592">
        <v>2.9</v>
      </c>
      <c r="J1582" s="592">
        <f t="shared" si="1053"/>
        <v>2.9</v>
      </c>
      <c r="K1582" s="593">
        <f t="shared" si="1052"/>
        <v>3.53</v>
      </c>
      <c r="L1582" s="594" t="s">
        <v>19</v>
      </c>
      <c r="M1582" s="92"/>
      <c r="N1582" s="92"/>
      <c r="O1582" s="93">
        <f t="shared" si="1054"/>
        <v>0</v>
      </c>
      <c r="P1582" s="93">
        <f t="shared" si="1055"/>
        <v>0</v>
      </c>
      <c r="Q1582" s="94"/>
      <c r="R1582" s="92">
        <f t="shared" si="1056"/>
        <v>0</v>
      </c>
      <c r="S1582" s="92">
        <f t="shared" si="1057"/>
        <v>0</v>
      </c>
      <c r="T1582" s="93">
        <f t="shared" si="1058"/>
        <v>0</v>
      </c>
      <c r="U1582" s="95">
        <f t="shared" si="1059"/>
        <v>0</v>
      </c>
      <c r="V1582" s="94"/>
      <c r="X1582" s="580" t="str">
        <f t="shared" si="1060"/>
        <v/>
      </c>
      <c r="Y1582" s="580" t="str">
        <f t="shared" si="1061"/>
        <v/>
      </c>
      <c r="Z1582" s="580" t="str">
        <f t="shared" si="1062"/>
        <v/>
      </c>
    </row>
    <row r="1583" spans="1:26" ht="25.5" hidden="1" x14ac:dyDescent="0.2">
      <c r="A1583" s="97">
        <v>98275</v>
      </c>
      <c r="B1583" s="1031">
        <v>98275</v>
      </c>
      <c r="C1583" s="978" t="s">
        <v>883</v>
      </c>
      <c r="D1583" s="595" t="s">
        <v>1802</v>
      </c>
      <c r="E1583" s="596"/>
      <c r="F1583" s="671"/>
      <c r="G1583" s="597"/>
      <c r="H1583" s="682"/>
      <c r="I1583" s="592">
        <v>3.31</v>
      </c>
      <c r="J1583" s="592">
        <f t="shared" si="1053"/>
        <v>3.31</v>
      </c>
      <c r="K1583" s="593">
        <f t="shared" si="1052"/>
        <v>4.03</v>
      </c>
      <c r="L1583" s="594" t="s">
        <v>19</v>
      </c>
      <c r="M1583" s="92"/>
      <c r="N1583" s="92"/>
      <c r="O1583" s="93">
        <f t="shared" si="1054"/>
        <v>0</v>
      </c>
      <c r="P1583" s="93">
        <f t="shared" si="1055"/>
        <v>0</v>
      </c>
      <c r="Q1583" s="94"/>
      <c r="R1583" s="92">
        <f t="shared" si="1056"/>
        <v>0</v>
      </c>
      <c r="S1583" s="92">
        <f t="shared" si="1057"/>
        <v>0</v>
      </c>
      <c r="T1583" s="93">
        <f t="shared" si="1058"/>
        <v>0</v>
      </c>
      <c r="U1583" s="95">
        <f t="shared" si="1059"/>
        <v>0</v>
      </c>
      <c r="V1583" s="94"/>
      <c r="X1583" s="580" t="str">
        <f t="shared" si="1060"/>
        <v/>
      </c>
      <c r="Y1583" s="580" t="str">
        <f t="shared" si="1061"/>
        <v/>
      </c>
      <c r="Z1583" s="580" t="str">
        <f t="shared" si="1062"/>
        <v/>
      </c>
    </row>
    <row r="1584" spans="1:26" ht="25.5" hidden="1" x14ac:dyDescent="0.2">
      <c r="A1584" s="97">
        <v>98280</v>
      </c>
      <c r="B1584" s="1031">
        <v>98280</v>
      </c>
      <c r="C1584" s="978" t="s">
        <v>883</v>
      </c>
      <c r="D1584" s="595" t="s">
        <v>1803</v>
      </c>
      <c r="E1584" s="596"/>
      <c r="F1584" s="671"/>
      <c r="G1584" s="597"/>
      <c r="H1584" s="682"/>
      <c r="I1584" s="592">
        <v>6.76</v>
      </c>
      <c r="J1584" s="592">
        <f t="shared" si="1053"/>
        <v>6.76</v>
      </c>
      <c r="K1584" s="593">
        <f t="shared" si="1052"/>
        <v>8.23</v>
      </c>
      <c r="L1584" s="594" t="s">
        <v>19</v>
      </c>
      <c r="M1584" s="92"/>
      <c r="N1584" s="92"/>
      <c r="O1584" s="93">
        <f t="shared" si="1054"/>
        <v>0</v>
      </c>
      <c r="P1584" s="93">
        <f t="shared" si="1055"/>
        <v>0</v>
      </c>
      <c r="Q1584" s="94"/>
      <c r="R1584" s="92">
        <f t="shared" si="1056"/>
        <v>0</v>
      </c>
      <c r="S1584" s="92">
        <f t="shared" si="1057"/>
        <v>0</v>
      </c>
      <c r="T1584" s="93">
        <f t="shared" si="1058"/>
        <v>0</v>
      </c>
      <c r="U1584" s="95">
        <f t="shared" si="1059"/>
        <v>0</v>
      </c>
      <c r="V1584" s="94"/>
      <c r="X1584" s="580" t="str">
        <f t="shared" si="1060"/>
        <v/>
      </c>
      <c r="Y1584" s="580" t="str">
        <f t="shared" si="1061"/>
        <v/>
      </c>
      <c r="Z1584" s="580" t="str">
        <f t="shared" si="1062"/>
        <v/>
      </c>
    </row>
    <row r="1585" spans="1:26" ht="25.5" hidden="1" x14ac:dyDescent="0.2">
      <c r="A1585" s="97">
        <v>98281</v>
      </c>
      <c r="B1585" s="1031">
        <v>98281</v>
      </c>
      <c r="C1585" s="978" t="s">
        <v>883</v>
      </c>
      <c r="D1585" s="595" t="s">
        <v>1804</v>
      </c>
      <c r="E1585" s="596"/>
      <c r="F1585" s="671"/>
      <c r="G1585" s="597"/>
      <c r="H1585" s="682"/>
      <c r="I1585" s="592">
        <v>7.29</v>
      </c>
      <c r="J1585" s="592">
        <f t="shared" si="1053"/>
        <v>7.29</v>
      </c>
      <c r="K1585" s="593">
        <f t="shared" si="1052"/>
        <v>8.8699999999999992</v>
      </c>
      <c r="L1585" s="594" t="s">
        <v>19</v>
      </c>
      <c r="M1585" s="92"/>
      <c r="N1585" s="92"/>
      <c r="O1585" s="93">
        <f t="shared" si="1054"/>
        <v>0</v>
      </c>
      <c r="P1585" s="93">
        <f t="shared" si="1055"/>
        <v>0</v>
      </c>
      <c r="Q1585" s="94"/>
      <c r="R1585" s="92">
        <f t="shared" si="1056"/>
        <v>0</v>
      </c>
      <c r="S1585" s="92">
        <f t="shared" si="1057"/>
        <v>0</v>
      </c>
      <c r="T1585" s="93">
        <f t="shared" si="1058"/>
        <v>0</v>
      </c>
      <c r="U1585" s="95">
        <f t="shared" si="1059"/>
        <v>0</v>
      </c>
      <c r="V1585" s="94"/>
      <c r="X1585" s="580" t="str">
        <f t="shared" si="1060"/>
        <v/>
      </c>
      <c r="Y1585" s="580" t="str">
        <f t="shared" si="1061"/>
        <v/>
      </c>
      <c r="Z1585" s="580" t="str">
        <f t="shared" si="1062"/>
        <v/>
      </c>
    </row>
    <row r="1586" spans="1:26" ht="25.5" hidden="1" x14ac:dyDescent="0.2">
      <c r="A1586" s="97">
        <v>98282</v>
      </c>
      <c r="B1586" s="1031">
        <v>98282</v>
      </c>
      <c r="C1586" s="978" t="s">
        <v>883</v>
      </c>
      <c r="D1586" s="595" t="s">
        <v>1805</v>
      </c>
      <c r="E1586" s="596"/>
      <c r="F1586" s="671"/>
      <c r="G1586" s="597"/>
      <c r="H1586" s="682"/>
      <c r="I1586" s="592">
        <v>7.91</v>
      </c>
      <c r="J1586" s="592">
        <f t="shared" si="1053"/>
        <v>7.91</v>
      </c>
      <c r="K1586" s="593">
        <f t="shared" si="1052"/>
        <v>9.6300000000000008</v>
      </c>
      <c r="L1586" s="594" t="s">
        <v>19</v>
      </c>
      <c r="M1586" s="92"/>
      <c r="N1586" s="92"/>
      <c r="O1586" s="93">
        <f t="shared" si="1054"/>
        <v>0</v>
      </c>
      <c r="P1586" s="93">
        <f t="shared" si="1055"/>
        <v>0</v>
      </c>
      <c r="Q1586" s="94"/>
      <c r="R1586" s="92">
        <f t="shared" si="1056"/>
        <v>0</v>
      </c>
      <c r="S1586" s="92">
        <f t="shared" si="1057"/>
        <v>0</v>
      </c>
      <c r="T1586" s="93">
        <f t="shared" si="1058"/>
        <v>0</v>
      </c>
      <c r="U1586" s="95">
        <f t="shared" si="1059"/>
        <v>0</v>
      </c>
      <c r="V1586" s="94"/>
      <c r="X1586" s="580" t="str">
        <f t="shared" si="1060"/>
        <v/>
      </c>
      <c r="Y1586" s="580" t="str">
        <f t="shared" si="1061"/>
        <v/>
      </c>
      <c r="Z1586" s="580" t="str">
        <f t="shared" si="1062"/>
        <v/>
      </c>
    </row>
    <row r="1587" spans="1:26" ht="25.5" hidden="1" x14ac:dyDescent="0.2">
      <c r="A1587" s="97">
        <v>98283</v>
      </c>
      <c r="B1587" s="1031">
        <v>98283</v>
      </c>
      <c r="C1587" s="978" t="s">
        <v>883</v>
      </c>
      <c r="D1587" s="595" t="s">
        <v>1806</v>
      </c>
      <c r="E1587" s="596"/>
      <c r="F1587" s="671"/>
      <c r="G1587" s="597"/>
      <c r="H1587" s="682"/>
      <c r="I1587" s="592">
        <v>8.4</v>
      </c>
      <c r="J1587" s="592">
        <f t="shared" si="1053"/>
        <v>8.4</v>
      </c>
      <c r="K1587" s="593">
        <f t="shared" si="1052"/>
        <v>10.220000000000001</v>
      </c>
      <c r="L1587" s="594" t="s">
        <v>19</v>
      </c>
      <c r="M1587" s="92"/>
      <c r="N1587" s="92"/>
      <c r="O1587" s="93">
        <f t="shared" si="1054"/>
        <v>0</v>
      </c>
      <c r="P1587" s="93">
        <f t="shared" si="1055"/>
        <v>0</v>
      </c>
      <c r="Q1587" s="94"/>
      <c r="R1587" s="92">
        <f t="shared" si="1056"/>
        <v>0</v>
      </c>
      <c r="S1587" s="92">
        <f t="shared" si="1057"/>
        <v>0</v>
      </c>
      <c r="T1587" s="93">
        <f t="shared" si="1058"/>
        <v>0</v>
      </c>
      <c r="U1587" s="95">
        <f t="shared" si="1059"/>
        <v>0</v>
      </c>
      <c r="V1587" s="94"/>
      <c r="X1587" s="580" t="str">
        <f t="shared" si="1060"/>
        <v/>
      </c>
      <c r="Y1587" s="580" t="str">
        <f t="shared" si="1061"/>
        <v/>
      </c>
      <c r="Z1587" s="580" t="str">
        <f t="shared" si="1062"/>
        <v/>
      </c>
    </row>
    <row r="1588" spans="1:26" ht="25.5" hidden="1" x14ac:dyDescent="0.2">
      <c r="A1588" s="97">
        <v>98284</v>
      </c>
      <c r="B1588" s="1031">
        <v>98284</v>
      </c>
      <c r="C1588" s="978" t="s">
        <v>883</v>
      </c>
      <c r="D1588" s="595" t="s">
        <v>1807</v>
      </c>
      <c r="E1588" s="596"/>
      <c r="F1588" s="671"/>
      <c r="G1588" s="597"/>
      <c r="H1588" s="682"/>
      <c r="I1588" s="592">
        <v>9.1</v>
      </c>
      <c r="J1588" s="592">
        <f t="shared" si="1053"/>
        <v>9.1</v>
      </c>
      <c r="K1588" s="593">
        <f t="shared" si="1052"/>
        <v>11.08</v>
      </c>
      <c r="L1588" s="594" t="s">
        <v>19</v>
      </c>
      <c r="M1588" s="92"/>
      <c r="N1588" s="92"/>
      <c r="O1588" s="93">
        <f t="shared" si="1054"/>
        <v>0</v>
      </c>
      <c r="P1588" s="93">
        <f t="shared" si="1055"/>
        <v>0</v>
      </c>
      <c r="Q1588" s="94"/>
      <c r="R1588" s="92">
        <f t="shared" si="1056"/>
        <v>0</v>
      </c>
      <c r="S1588" s="92">
        <f t="shared" si="1057"/>
        <v>0</v>
      </c>
      <c r="T1588" s="93">
        <f t="shared" si="1058"/>
        <v>0</v>
      </c>
      <c r="U1588" s="95">
        <f t="shared" si="1059"/>
        <v>0</v>
      </c>
      <c r="V1588" s="94"/>
      <c r="X1588" s="580" t="str">
        <f t="shared" si="1060"/>
        <v/>
      </c>
      <c r="Y1588" s="580" t="str">
        <f t="shared" si="1061"/>
        <v/>
      </c>
      <c r="Z1588" s="580" t="str">
        <f t="shared" si="1062"/>
        <v/>
      </c>
    </row>
    <row r="1589" spans="1:26" ht="25.5" hidden="1" x14ac:dyDescent="0.2">
      <c r="A1589" s="97">
        <v>98285</v>
      </c>
      <c r="B1589" s="1031">
        <v>98285</v>
      </c>
      <c r="C1589" s="978" t="s">
        <v>883</v>
      </c>
      <c r="D1589" s="595" t="s">
        <v>1808</v>
      </c>
      <c r="E1589" s="596"/>
      <c r="F1589" s="671"/>
      <c r="G1589" s="597"/>
      <c r="H1589" s="682"/>
      <c r="I1589" s="592">
        <v>9.5</v>
      </c>
      <c r="J1589" s="592">
        <f t="shared" si="1053"/>
        <v>9.5</v>
      </c>
      <c r="K1589" s="593">
        <f t="shared" si="1052"/>
        <v>11.56</v>
      </c>
      <c r="L1589" s="594" t="s">
        <v>19</v>
      </c>
      <c r="M1589" s="92"/>
      <c r="N1589" s="92"/>
      <c r="O1589" s="93">
        <f t="shared" si="1054"/>
        <v>0</v>
      </c>
      <c r="P1589" s="93">
        <f t="shared" si="1055"/>
        <v>0</v>
      </c>
      <c r="Q1589" s="94"/>
      <c r="R1589" s="92">
        <f t="shared" si="1056"/>
        <v>0</v>
      </c>
      <c r="S1589" s="92">
        <f t="shared" si="1057"/>
        <v>0</v>
      </c>
      <c r="T1589" s="93">
        <f t="shared" si="1058"/>
        <v>0</v>
      </c>
      <c r="U1589" s="95">
        <f t="shared" si="1059"/>
        <v>0</v>
      </c>
      <c r="V1589" s="94"/>
      <c r="X1589" s="580" t="str">
        <f t="shared" si="1060"/>
        <v/>
      </c>
      <c r="Y1589" s="580" t="str">
        <f t="shared" si="1061"/>
        <v/>
      </c>
      <c r="Z1589" s="580" t="str">
        <f t="shared" si="1062"/>
        <v/>
      </c>
    </row>
    <row r="1590" spans="1:26" ht="25.5" hidden="1" x14ac:dyDescent="0.2">
      <c r="A1590" s="97">
        <v>98287</v>
      </c>
      <c r="B1590" s="1031">
        <v>98287</v>
      </c>
      <c r="C1590" s="978" t="s">
        <v>883</v>
      </c>
      <c r="D1590" s="595" t="s">
        <v>1809</v>
      </c>
      <c r="E1590" s="596"/>
      <c r="F1590" s="671"/>
      <c r="G1590" s="597"/>
      <c r="H1590" s="682"/>
      <c r="I1590" s="592">
        <v>1.18</v>
      </c>
      <c r="J1590" s="592">
        <f t="shared" si="1053"/>
        <v>1.18</v>
      </c>
      <c r="K1590" s="593">
        <f t="shared" si="1052"/>
        <v>1.44</v>
      </c>
      <c r="L1590" s="594" t="s">
        <v>19</v>
      </c>
      <c r="M1590" s="92"/>
      <c r="N1590" s="92"/>
      <c r="O1590" s="93">
        <f t="shared" si="1054"/>
        <v>0</v>
      </c>
      <c r="P1590" s="93">
        <f t="shared" si="1055"/>
        <v>0</v>
      </c>
      <c r="Q1590" s="94"/>
      <c r="R1590" s="92">
        <f t="shared" si="1056"/>
        <v>0</v>
      </c>
      <c r="S1590" s="92">
        <f t="shared" si="1057"/>
        <v>0</v>
      </c>
      <c r="T1590" s="93">
        <f t="shared" si="1058"/>
        <v>0</v>
      </c>
      <c r="U1590" s="95">
        <f t="shared" si="1059"/>
        <v>0</v>
      </c>
      <c r="V1590" s="94"/>
      <c r="X1590" s="580" t="str">
        <f t="shared" si="1060"/>
        <v/>
      </c>
      <c r="Y1590" s="580" t="str">
        <f t="shared" si="1061"/>
        <v/>
      </c>
      <c r="Z1590" s="580" t="str">
        <f t="shared" si="1062"/>
        <v/>
      </c>
    </row>
    <row r="1591" spans="1:26" ht="25.5" hidden="1" x14ac:dyDescent="0.2">
      <c r="A1591" s="97">
        <v>98288</v>
      </c>
      <c r="B1591" s="1031">
        <v>98288</v>
      </c>
      <c r="C1591" s="978" t="s">
        <v>883</v>
      </c>
      <c r="D1591" s="595" t="s">
        <v>1810</v>
      </c>
      <c r="E1591" s="596"/>
      <c r="F1591" s="671"/>
      <c r="G1591" s="597"/>
      <c r="H1591" s="682"/>
      <c r="I1591" s="592">
        <v>1.71</v>
      </c>
      <c r="J1591" s="592">
        <f t="shared" si="1053"/>
        <v>1.71</v>
      </c>
      <c r="K1591" s="593">
        <f t="shared" si="1052"/>
        <v>2.08</v>
      </c>
      <c r="L1591" s="594" t="s">
        <v>19</v>
      </c>
      <c r="M1591" s="92"/>
      <c r="N1591" s="92"/>
      <c r="O1591" s="93">
        <f t="shared" si="1054"/>
        <v>0</v>
      </c>
      <c r="P1591" s="93">
        <f t="shared" si="1055"/>
        <v>0</v>
      </c>
      <c r="Q1591" s="94"/>
      <c r="R1591" s="92">
        <f t="shared" si="1056"/>
        <v>0</v>
      </c>
      <c r="S1591" s="92">
        <f t="shared" si="1057"/>
        <v>0</v>
      </c>
      <c r="T1591" s="93">
        <f t="shared" si="1058"/>
        <v>0</v>
      </c>
      <c r="U1591" s="95">
        <f t="shared" si="1059"/>
        <v>0</v>
      </c>
      <c r="V1591" s="94"/>
      <c r="X1591" s="580" t="str">
        <f t="shared" si="1060"/>
        <v/>
      </c>
      <c r="Y1591" s="580" t="str">
        <f t="shared" si="1061"/>
        <v/>
      </c>
      <c r="Z1591" s="580" t="str">
        <f t="shared" si="1062"/>
        <v/>
      </c>
    </row>
    <row r="1592" spans="1:26" ht="25.5" hidden="1" x14ac:dyDescent="0.2">
      <c r="A1592" s="97">
        <v>98289</v>
      </c>
      <c r="B1592" s="1031">
        <v>98289</v>
      </c>
      <c r="C1592" s="978" t="s">
        <v>883</v>
      </c>
      <c r="D1592" s="595" t="s">
        <v>1811</v>
      </c>
      <c r="E1592" s="596"/>
      <c r="F1592" s="671"/>
      <c r="G1592" s="597"/>
      <c r="H1592" s="682"/>
      <c r="I1592" s="592">
        <v>2.33</v>
      </c>
      <c r="J1592" s="592">
        <f t="shared" si="1053"/>
        <v>2.33</v>
      </c>
      <c r="K1592" s="593">
        <f t="shared" si="1052"/>
        <v>2.84</v>
      </c>
      <c r="L1592" s="594" t="s">
        <v>19</v>
      </c>
      <c r="M1592" s="92"/>
      <c r="N1592" s="92"/>
      <c r="O1592" s="93">
        <f t="shared" si="1054"/>
        <v>0</v>
      </c>
      <c r="P1592" s="93">
        <f t="shared" si="1055"/>
        <v>0</v>
      </c>
      <c r="Q1592" s="94"/>
      <c r="R1592" s="92">
        <f t="shared" si="1056"/>
        <v>0</v>
      </c>
      <c r="S1592" s="92">
        <f t="shared" si="1057"/>
        <v>0</v>
      </c>
      <c r="T1592" s="93">
        <f t="shared" si="1058"/>
        <v>0</v>
      </c>
      <c r="U1592" s="95">
        <f t="shared" si="1059"/>
        <v>0</v>
      </c>
      <c r="V1592" s="94"/>
      <c r="X1592" s="580" t="str">
        <f t="shared" si="1060"/>
        <v/>
      </c>
      <c r="Y1592" s="580" t="str">
        <f t="shared" si="1061"/>
        <v/>
      </c>
      <c r="Z1592" s="580" t="str">
        <f t="shared" si="1062"/>
        <v/>
      </c>
    </row>
    <row r="1593" spans="1:26" ht="25.5" hidden="1" x14ac:dyDescent="0.2">
      <c r="A1593" s="97">
        <v>98290</v>
      </c>
      <c r="B1593" s="1031">
        <v>98290</v>
      </c>
      <c r="C1593" s="978" t="s">
        <v>883</v>
      </c>
      <c r="D1593" s="595" t="s">
        <v>1812</v>
      </c>
      <c r="E1593" s="596"/>
      <c r="F1593" s="671"/>
      <c r="G1593" s="597"/>
      <c r="H1593" s="682"/>
      <c r="I1593" s="592">
        <v>2.82</v>
      </c>
      <c r="J1593" s="592">
        <f t="shared" si="1053"/>
        <v>2.82</v>
      </c>
      <c r="K1593" s="593">
        <f t="shared" si="1052"/>
        <v>3.43</v>
      </c>
      <c r="L1593" s="594" t="s">
        <v>19</v>
      </c>
      <c r="M1593" s="92"/>
      <c r="N1593" s="92"/>
      <c r="O1593" s="93">
        <f t="shared" si="1054"/>
        <v>0</v>
      </c>
      <c r="P1593" s="93">
        <f t="shared" si="1055"/>
        <v>0</v>
      </c>
      <c r="Q1593" s="94"/>
      <c r="R1593" s="92">
        <f t="shared" si="1056"/>
        <v>0</v>
      </c>
      <c r="S1593" s="92">
        <f t="shared" si="1057"/>
        <v>0</v>
      </c>
      <c r="T1593" s="93">
        <f t="shared" si="1058"/>
        <v>0</v>
      </c>
      <c r="U1593" s="95">
        <f t="shared" si="1059"/>
        <v>0</v>
      </c>
      <c r="V1593" s="94"/>
      <c r="X1593" s="580" t="str">
        <f t="shared" si="1060"/>
        <v/>
      </c>
      <c r="Y1593" s="580" t="str">
        <f t="shared" si="1061"/>
        <v/>
      </c>
      <c r="Z1593" s="580" t="str">
        <f t="shared" si="1062"/>
        <v/>
      </c>
    </row>
    <row r="1594" spans="1:26" ht="25.5" hidden="1" x14ac:dyDescent="0.2">
      <c r="A1594" s="97">
        <v>98291</v>
      </c>
      <c r="B1594" s="1031">
        <v>98291</v>
      </c>
      <c r="C1594" s="978" t="s">
        <v>883</v>
      </c>
      <c r="D1594" s="595" t="s">
        <v>1813</v>
      </c>
      <c r="E1594" s="596"/>
      <c r="F1594" s="671"/>
      <c r="G1594" s="597"/>
      <c r="H1594" s="682"/>
      <c r="I1594" s="592">
        <v>3.52</v>
      </c>
      <c r="J1594" s="592">
        <f t="shared" si="1053"/>
        <v>3.52</v>
      </c>
      <c r="K1594" s="593">
        <f t="shared" si="1052"/>
        <v>4.28</v>
      </c>
      <c r="L1594" s="594" t="s">
        <v>19</v>
      </c>
      <c r="M1594" s="92"/>
      <c r="N1594" s="92"/>
      <c r="O1594" s="93">
        <f t="shared" si="1054"/>
        <v>0</v>
      </c>
      <c r="P1594" s="93">
        <f t="shared" si="1055"/>
        <v>0</v>
      </c>
      <c r="Q1594" s="94"/>
      <c r="R1594" s="92">
        <f t="shared" si="1056"/>
        <v>0</v>
      </c>
      <c r="S1594" s="92">
        <f t="shared" si="1057"/>
        <v>0</v>
      </c>
      <c r="T1594" s="93">
        <f t="shared" si="1058"/>
        <v>0</v>
      </c>
      <c r="U1594" s="95">
        <f t="shared" si="1059"/>
        <v>0</v>
      </c>
      <c r="V1594" s="94"/>
      <c r="X1594" s="580" t="str">
        <f t="shared" si="1060"/>
        <v/>
      </c>
      <c r="Y1594" s="580" t="str">
        <f t="shared" si="1061"/>
        <v/>
      </c>
      <c r="Z1594" s="580" t="str">
        <f t="shared" si="1062"/>
        <v/>
      </c>
    </row>
    <row r="1595" spans="1:26" ht="25.5" hidden="1" x14ac:dyDescent="0.2">
      <c r="A1595" s="97">
        <v>98292</v>
      </c>
      <c r="B1595" s="1031">
        <v>98292</v>
      </c>
      <c r="C1595" s="978" t="s">
        <v>883</v>
      </c>
      <c r="D1595" s="595" t="s">
        <v>1814</v>
      </c>
      <c r="E1595" s="596"/>
      <c r="F1595" s="671"/>
      <c r="G1595" s="597"/>
      <c r="H1595" s="682"/>
      <c r="I1595" s="592">
        <v>3.93</v>
      </c>
      <c r="J1595" s="592">
        <f t="shared" si="1053"/>
        <v>3.93</v>
      </c>
      <c r="K1595" s="593">
        <f t="shared" si="1052"/>
        <v>4.78</v>
      </c>
      <c r="L1595" s="594" t="s">
        <v>19</v>
      </c>
      <c r="M1595" s="92"/>
      <c r="N1595" s="92"/>
      <c r="O1595" s="93">
        <f t="shared" si="1054"/>
        <v>0</v>
      </c>
      <c r="P1595" s="93">
        <f t="shared" si="1055"/>
        <v>0</v>
      </c>
      <c r="Q1595" s="94"/>
      <c r="R1595" s="92">
        <f t="shared" si="1056"/>
        <v>0</v>
      </c>
      <c r="S1595" s="92">
        <f t="shared" si="1057"/>
        <v>0</v>
      </c>
      <c r="T1595" s="93">
        <f t="shared" si="1058"/>
        <v>0</v>
      </c>
      <c r="U1595" s="95">
        <f t="shared" si="1059"/>
        <v>0</v>
      </c>
      <c r="V1595" s="94"/>
      <c r="X1595" s="580" t="str">
        <f t="shared" si="1060"/>
        <v/>
      </c>
      <c r="Y1595" s="580" t="str">
        <f t="shared" si="1061"/>
        <v/>
      </c>
      <c r="Z1595" s="580" t="str">
        <f t="shared" si="1062"/>
        <v/>
      </c>
    </row>
    <row r="1596" spans="1:26" hidden="1" x14ac:dyDescent="0.2">
      <c r="A1596" s="97">
        <v>98397</v>
      </c>
      <c r="B1596" s="1031">
        <v>98397</v>
      </c>
      <c r="C1596" s="978" t="s">
        <v>883</v>
      </c>
      <c r="D1596" s="595" t="s">
        <v>1815</v>
      </c>
      <c r="E1596" s="596"/>
      <c r="F1596" s="671"/>
      <c r="G1596" s="597"/>
      <c r="H1596" s="682"/>
      <c r="I1596" s="592">
        <v>10.02</v>
      </c>
      <c r="J1596" s="592">
        <f t="shared" si="1053"/>
        <v>10.02</v>
      </c>
      <c r="K1596" s="593">
        <f t="shared" si="1052"/>
        <v>12.2</v>
      </c>
      <c r="L1596" s="594" t="s">
        <v>18</v>
      </c>
      <c r="M1596" s="92"/>
      <c r="N1596" s="92"/>
      <c r="O1596" s="93">
        <f t="shared" si="1054"/>
        <v>0</v>
      </c>
      <c r="P1596" s="93">
        <f t="shared" si="1055"/>
        <v>0</v>
      </c>
      <c r="Q1596" s="94"/>
      <c r="R1596" s="92">
        <f t="shared" si="1056"/>
        <v>0</v>
      </c>
      <c r="S1596" s="92">
        <f t="shared" si="1057"/>
        <v>0</v>
      </c>
      <c r="T1596" s="93">
        <f t="shared" si="1058"/>
        <v>0</v>
      </c>
      <c r="U1596" s="95">
        <f t="shared" si="1059"/>
        <v>0</v>
      </c>
      <c r="V1596" s="94"/>
      <c r="X1596" s="580" t="str">
        <f t="shared" si="1060"/>
        <v/>
      </c>
      <c r="Y1596" s="580" t="str">
        <f t="shared" si="1061"/>
        <v/>
      </c>
      <c r="Z1596" s="580" t="str">
        <f t="shared" si="1062"/>
        <v/>
      </c>
    </row>
    <row r="1597" spans="1:26" ht="38.25" hidden="1" x14ac:dyDescent="0.2">
      <c r="A1597" s="97">
        <v>97327</v>
      </c>
      <c r="B1597" s="1031">
        <v>97327</v>
      </c>
      <c r="C1597" s="978" t="s">
        <v>883</v>
      </c>
      <c r="D1597" s="595" t="s">
        <v>1816</v>
      </c>
      <c r="E1597" s="596"/>
      <c r="F1597" s="671"/>
      <c r="G1597" s="597"/>
      <c r="H1597" s="682"/>
      <c r="I1597" s="592">
        <v>21.63</v>
      </c>
      <c r="J1597" s="592">
        <f t="shared" si="1053"/>
        <v>21.63</v>
      </c>
      <c r="K1597" s="593">
        <f t="shared" si="1052"/>
        <v>26.33</v>
      </c>
      <c r="L1597" s="594" t="s">
        <v>19</v>
      </c>
      <c r="M1597" s="92"/>
      <c r="N1597" s="92"/>
      <c r="O1597" s="93">
        <f t="shared" si="1054"/>
        <v>0</v>
      </c>
      <c r="P1597" s="93">
        <f t="shared" si="1055"/>
        <v>0</v>
      </c>
      <c r="Q1597" s="94"/>
      <c r="R1597" s="92">
        <f t="shared" si="1056"/>
        <v>0</v>
      </c>
      <c r="S1597" s="92">
        <f t="shared" si="1057"/>
        <v>0</v>
      </c>
      <c r="T1597" s="93">
        <f t="shared" si="1058"/>
        <v>0</v>
      </c>
      <c r="U1597" s="95">
        <f t="shared" si="1059"/>
        <v>0</v>
      </c>
      <c r="V1597" s="94"/>
      <c r="X1597" s="580" t="str">
        <f t="shared" si="1060"/>
        <v/>
      </c>
      <c r="Y1597" s="580" t="str">
        <f t="shared" si="1061"/>
        <v/>
      </c>
      <c r="Z1597" s="580" t="str">
        <f t="shared" si="1062"/>
        <v/>
      </c>
    </row>
    <row r="1598" spans="1:26" ht="38.25" hidden="1" x14ac:dyDescent="0.2">
      <c r="A1598" s="97">
        <v>97328</v>
      </c>
      <c r="B1598" s="1031">
        <v>97328</v>
      </c>
      <c r="C1598" s="978" t="s">
        <v>883</v>
      </c>
      <c r="D1598" s="595" t="s">
        <v>1817</v>
      </c>
      <c r="E1598" s="596"/>
      <c r="F1598" s="671"/>
      <c r="G1598" s="597"/>
      <c r="H1598" s="682"/>
      <c r="I1598" s="592">
        <v>37.35</v>
      </c>
      <c r="J1598" s="592">
        <f t="shared" si="1053"/>
        <v>37.35</v>
      </c>
      <c r="K1598" s="593">
        <f t="shared" si="1052"/>
        <v>45.46</v>
      </c>
      <c r="L1598" s="594" t="s">
        <v>19</v>
      </c>
      <c r="M1598" s="92"/>
      <c r="N1598" s="92"/>
      <c r="O1598" s="93">
        <f t="shared" si="1054"/>
        <v>0</v>
      </c>
      <c r="P1598" s="93">
        <f t="shared" si="1055"/>
        <v>0</v>
      </c>
      <c r="Q1598" s="94"/>
      <c r="R1598" s="92">
        <f t="shared" si="1056"/>
        <v>0</v>
      </c>
      <c r="S1598" s="92">
        <f t="shared" si="1057"/>
        <v>0</v>
      </c>
      <c r="T1598" s="93">
        <f t="shared" si="1058"/>
        <v>0</v>
      </c>
      <c r="U1598" s="95">
        <f t="shared" si="1059"/>
        <v>0</v>
      </c>
      <c r="V1598" s="94"/>
      <c r="X1598" s="580" t="str">
        <f t="shared" si="1060"/>
        <v/>
      </c>
      <c r="Y1598" s="580" t="str">
        <f t="shared" si="1061"/>
        <v/>
      </c>
      <c r="Z1598" s="580" t="str">
        <f t="shared" si="1062"/>
        <v/>
      </c>
    </row>
    <row r="1599" spans="1:26" ht="38.25" hidden="1" x14ac:dyDescent="0.2">
      <c r="A1599" s="97">
        <v>97329</v>
      </c>
      <c r="B1599" s="1031">
        <v>97329</v>
      </c>
      <c r="C1599" s="978" t="s">
        <v>883</v>
      </c>
      <c r="D1599" s="595" t="s">
        <v>1818</v>
      </c>
      <c r="E1599" s="596"/>
      <c r="F1599" s="671"/>
      <c r="G1599" s="597"/>
      <c r="H1599" s="682"/>
      <c r="I1599" s="592">
        <v>46.59</v>
      </c>
      <c r="J1599" s="592">
        <f t="shared" si="1053"/>
        <v>46.59</v>
      </c>
      <c r="K1599" s="593">
        <f t="shared" si="1052"/>
        <v>56.7</v>
      </c>
      <c r="L1599" s="594" t="s">
        <v>19</v>
      </c>
      <c r="M1599" s="92"/>
      <c r="N1599" s="92"/>
      <c r="O1599" s="93">
        <f t="shared" si="1054"/>
        <v>0</v>
      </c>
      <c r="P1599" s="93">
        <f t="shared" si="1055"/>
        <v>0</v>
      </c>
      <c r="Q1599" s="94"/>
      <c r="R1599" s="92">
        <f t="shared" si="1056"/>
        <v>0</v>
      </c>
      <c r="S1599" s="92">
        <f t="shared" si="1057"/>
        <v>0</v>
      </c>
      <c r="T1599" s="93">
        <f t="shared" si="1058"/>
        <v>0</v>
      </c>
      <c r="U1599" s="95">
        <f t="shared" si="1059"/>
        <v>0</v>
      </c>
      <c r="V1599" s="94"/>
      <c r="X1599" s="580" t="str">
        <f t="shared" si="1060"/>
        <v/>
      </c>
      <c r="Y1599" s="580" t="str">
        <f t="shared" si="1061"/>
        <v/>
      </c>
      <c r="Z1599" s="580" t="str">
        <f t="shared" si="1062"/>
        <v/>
      </c>
    </row>
    <row r="1600" spans="1:26" ht="38.25" hidden="1" x14ac:dyDescent="0.2">
      <c r="A1600" s="97">
        <v>97330</v>
      </c>
      <c r="B1600" s="1031">
        <v>97330</v>
      </c>
      <c r="C1600" s="978" t="s">
        <v>883</v>
      </c>
      <c r="D1600" s="595" t="s">
        <v>1819</v>
      </c>
      <c r="E1600" s="596"/>
      <c r="F1600" s="671"/>
      <c r="G1600" s="597"/>
      <c r="H1600" s="682"/>
      <c r="I1600" s="592">
        <v>56.73</v>
      </c>
      <c r="J1600" s="592">
        <f t="shared" si="1053"/>
        <v>56.73</v>
      </c>
      <c r="K1600" s="593">
        <f t="shared" si="1052"/>
        <v>69.05</v>
      </c>
      <c r="L1600" s="594" t="s">
        <v>19</v>
      </c>
      <c r="M1600" s="92"/>
      <c r="N1600" s="92"/>
      <c r="O1600" s="93">
        <f t="shared" si="1054"/>
        <v>0</v>
      </c>
      <c r="P1600" s="93">
        <f t="shared" si="1055"/>
        <v>0</v>
      </c>
      <c r="Q1600" s="94"/>
      <c r="R1600" s="92">
        <f t="shared" si="1056"/>
        <v>0</v>
      </c>
      <c r="S1600" s="92">
        <f t="shared" si="1057"/>
        <v>0</v>
      </c>
      <c r="T1600" s="93">
        <f t="shared" si="1058"/>
        <v>0</v>
      </c>
      <c r="U1600" s="95">
        <f t="shared" si="1059"/>
        <v>0</v>
      </c>
      <c r="V1600" s="94"/>
      <c r="X1600" s="580" t="str">
        <f t="shared" si="1060"/>
        <v/>
      </c>
      <c r="Y1600" s="580" t="str">
        <f t="shared" si="1061"/>
        <v/>
      </c>
      <c r="Z1600" s="580" t="str">
        <f t="shared" si="1062"/>
        <v/>
      </c>
    </row>
    <row r="1601" spans="1:26" ht="38.25" hidden="1" x14ac:dyDescent="0.2">
      <c r="A1601" s="97">
        <v>97331</v>
      </c>
      <c r="B1601" s="1031">
        <v>97331</v>
      </c>
      <c r="C1601" s="978" t="s">
        <v>883</v>
      </c>
      <c r="D1601" s="595" t="s">
        <v>1820</v>
      </c>
      <c r="E1601" s="596"/>
      <c r="F1601" s="671"/>
      <c r="G1601" s="597"/>
      <c r="H1601" s="682"/>
      <c r="I1601" s="592">
        <v>21.93</v>
      </c>
      <c r="J1601" s="592">
        <f t="shared" si="1053"/>
        <v>21.93</v>
      </c>
      <c r="K1601" s="593">
        <f t="shared" si="1052"/>
        <v>26.69</v>
      </c>
      <c r="L1601" s="594" t="s">
        <v>19</v>
      </c>
      <c r="M1601" s="92"/>
      <c r="N1601" s="92"/>
      <c r="O1601" s="93">
        <f t="shared" si="1054"/>
        <v>0</v>
      </c>
      <c r="P1601" s="93">
        <f t="shared" si="1055"/>
        <v>0</v>
      </c>
      <c r="Q1601" s="94"/>
      <c r="R1601" s="92">
        <f t="shared" si="1056"/>
        <v>0</v>
      </c>
      <c r="S1601" s="92">
        <f t="shared" si="1057"/>
        <v>0</v>
      </c>
      <c r="T1601" s="93">
        <f t="shared" si="1058"/>
        <v>0</v>
      </c>
      <c r="U1601" s="95">
        <f t="shared" si="1059"/>
        <v>0</v>
      </c>
      <c r="V1601" s="94"/>
      <c r="X1601" s="580" t="str">
        <f t="shared" si="1060"/>
        <v/>
      </c>
      <c r="Y1601" s="580" t="str">
        <f t="shared" si="1061"/>
        <v/>
      </c>
      <c r="Z1601" s="580" t="str">
        <f t="shared" si="1062"/>
        <v/>
      </c>
    </row>
    <row r="1602" spans="1:26" ht="38.25" hidden="1" x14ac:dyDescent="0.2">
      <c r="A1602" s="97">
        <v>97332</v>
      </c>
      <c r="B1602" s="1031">
        <v>97332</v>
      </c>
      <c r="C1602" s="978" t="s">
        <v>883</v>
      </c>
      <c r="D1602" s="595" t="s">
        <v>1821</v>
      </c>
      <c r="E1602" s="596"/>
      <c r="F1602" s="671"/>
      <c r="G1602" s="597"/>
      <c r="H1602" s="682"/>
      <c r="I1602" s="592">
        <v>37.700000000000003</v>
      </c>
      <c r="J1602" s="592">
        <f t="shared" si="1053"/>
        <v>37.700000000000003</v>
      </c>
      <c r="K1602" s="593">
        <f t="shared" si="1052"/>
        <v>45.88</v>
      </c>
      <c r="L1602" s="594" t="s">
        <v>19</v>
      </c>
      <c r="M1602" s="92"/>
      <c r="N1602" s="92"/>
      <c r="O1602" s="93">
        <f t="shared" si="1054"/>
        <v>0</v>
      </c>
      <c r="P1602" s="93">
        <f t="shared" si="1055"/>
        <v>0</v>
      </c>
      <c r="Q1602" s="94"/>
      <c r="R1602" s="92">
        <f t="shared" si="1056"/>
        <v>0</v>
      </c>
      <c r="S1602" s="92">
        <f t="shared" si="1057"/>
        <v>0</v>
      </c>
      <c r="T1602" s="93">
        <f t="shared" si="1058"/>
        <v>0</v>
      </c>
      <c r="U1602" s="95">
        <f t="shared" si="1059"/>
        <v>0</v>
      </c>
      <c r="V1602" s="94"/>
      <c r="X1602" s="580" t="str">
        <f t="shared" si="1060"/>
        <v/>
      </c>
      <c r="Y1602" s="580" t="str">
        <f t="shared" si="1061"/>
        <v/>
      </c>
      <c r="Z1602" s="580" t="str">
        <f t="shared" si="1062"/>
        <v/>
      </c>
    </row>
    <row r="1603" spans="1:26" ht="38.25" hidden="1" x14ac:dyDescent="0.2">
      <c r="A1603" s="97">
        <v>97333</v>
      </c>
      <c r="B1603" s="1031">
        <v>97333</v>
      </c>
      <c r="C1603" s="978" t="s">
        <v>883</v>
      </c>
      <c r="D1603" s="595" t="s">
        <v>1822</v>
      </c>
      <c r="E1603" s="596"/>
      <c r="F1603" s="671"/>
      <c r="G1603" s="597"/>
      <c r="H1603" s="682"/>
      <c r="I1603" s="592">
        <v>47.03</v>
      </c>
      <c r="J1603" s="592">
        <f t="shared" si="1053"/>
        <v>47.03</v>
      </c>
      <c r="K1603" s="593">
        <f t="shared" si="1052"/>
        <v>57.24</v>
      </c>
      <c r="L1603" s="594" t="s">
        <v>19</v>
      </c>
      <c r="M1603" s="92"/>
      <c r="N1603" s="92"/>
      <c r="O1603" s="93">
        <f t="shared" si="1054"/>
        <v>0</v>
      </c>
      <c r="P1603" s="93">
        <f t="shared" si="1055"/>
        <v>0</v>
      </c>
      <c r="Q1603" s="94"/>
      <c r="R1603" s="92">
        <f t="shared" si="1056"/>
        <v>0</v>
      </c>
      <c r="S1603" s="92">
        <f t="shared" si="1057"/>
        <v>0</v>
      </c>
      <c r="T1603" s="93">
        <f t="shared" si="1058"/>
        <v>0</v>
      </c>
      <c r="U1603" s="95">
        <f t="shared" si="1059"/>
        <v>0</v>
      </c>
      <c r="V1603" s="94"/>
      <c r="X1603" s="580" t="str">
        <f t="shared" si="1060"/>
        <v/>
      </c>
      <c r="Y1603" s="580" t="str">
        <f t="shared" si="1061"/>
        <v/>
      </c>
      <c r="Z1603" s="580" t="str">
        <f t="shared" si="1062"/>
        <v/>
      </c>
    </row>
    <row r="1604" spans="1:26" ht="38.25" hidden="1" x14ac:dyDescent="0.2">
      <c r="A1604" s="97">
        <v>97334</v>
      </c>
      <c r="B1604" s="1031">
        <v>97334</v>
      </c>
      <c r="C1604" s="978" t="s">
        <v>883</v>
      </c>
      <c r="D1604" s="595" t="s">
        <v>1823</v>
      </c>
      <c r="E1604" s="596"/>
      <c r="F1604" s="671"/>
      <c r="G1604" s="597"/>
      <c r="H1604" s="682"/>
      <c r="I1604" s="592">
        <v>57.21</v>
      </c>
      <c r="J1604" s="592">
        <f t="shared" si="1053"/>
        <v>57.21</v>
      </c>
      <c r="K1604" s="593">
        <f t="shared" si="1052"/>
        <v>69.63</v>
      </c>
      <c r="L1604" s="594" t="s">
        <v>19</v>
      </c>
      <c r="M1604" s="92"/>
      <c r="N1604" s="92"/>
      <c r="O1604" s="93">
        <f t="shared" si="1054"/>
        <v>0</v>
      </c>
      <c r="P1604" s="93">
        <f t="shared" si="1055"/>
        <v>0</v>
      </c>
      <c r="Q1604" s="94"/>
      <c r="R1604" s="92">
        <f t="shared" si="1056"/>
        <v>0</v>
      </c>
      <c r="S1604" s="92">
        <f t="shared" si="1057"/>
        <v>0</v>
      </c>
      <c r="T1604" s="93">
        <f t="shared" si="1058"/>
        <v>0</v>
      </c>
      <c r="U1604" s="95">
        <f t="shared" si="1059"/>
        <v>0</v>
      </c>
      <c r="V1604" s="94"/>
      <c r="X1604" s="680" t="str">
        <f t="shared" si="1060"/>
        <v/>
      </c>
      <c r="Y1604" s="680" t="str">
        <f t="shared" si="1061"/>
        <v/>
      </c>
      <c r="Z1604" s="680" t="str">
        <f t="shared" si="1062"/>
        <v/>
      </c>
    </row>
    <row r="1605" spans="1:26" ht="13.5" thickBot="1" x14ac:dyDescent="0.25">
      <c r="A1605" s="97">
        <v>844000</v>
      </c>
      <c r="B1605" s="1107">
        <v>844000</v>
      </c>
      <c r="C1605" s="1108" t="s">
        <v>212</v>
      </c>
      <c r="D1605" s="1109" t="s">
        <v>763</v>
      </c>
      <c r="E1605" s="1110"/>
      <c r="F1605" s="671"/>
      <c r="G1605" s="597"/>
      <c r="H1605" s="682"/>
      <c r="I1605" s="592">
        <v>3953.92</v>
      </c>
      <c r="J1605" s="592">
        <f>IF(ISBLANK(I1605),"",SUM(H1605:I1605))</f>
        <v>3953.92</v>
      </c>
      <c r="K1605" s="593">
        <f t="shared" si="1052"/>
        <v>4812.32</v>
      </c>
      <c r="L1605" s="594" t="s">
        <v>21</v>
      </c>
      <c r="M1605" s="92">
        <v>11</v>
      </c>
      <c r="N1605" s="92">
        <v>4896.1400000000003</v>
      </c>
      <c r="O1605" s="93">
        <f t="shared" ref="O1605" si="1063">IF(ISBLANK(M1605),0,ROUND(K1605*M1605,2))</f>
        <v>52935.519999999997</v>
      </c>
      <c r="P1605" s="93">
        <f t="shared" ref="P1605" si="1064">IF(ISBLANK(N1605),0,ROUND(M1605*N1605,2))</f>
        <v>53857.54</v>
      </c>
      <c r="Q1605" s="94"/>
      <c r="R1605" s="1111">
        <f t="shared" ref="R1605" si="1065">M1605</f>
        <v>11</v>
      </c>
      <c r="S1605" s="1111">
        <f>K1605</f>
        <v>4812.32</v>
      </c>
      <c r="T1605" s="1112">
        <f t="shared" ref="T1605" si="1066">IF(ISBLANK(R1605),0,ROUND(K1605*R1605,2))</f>
        <v>52935.519999999997</v>
      </c>
      <c r="U1605" s="1113">
        <f t="shared" ref="U1605" si="1067">IF(ISBLANK(R1605),0,ROUND(R1605*S1605,2))</f>
        <v>52935.519999999997</v>
      </c>
      <c r="V1605" s="1114"/>
      <c r="X1605" s="580" t="str">
        <f t="shared" ref="X1605:X1628" si="1068">IF(W1605="X","x",IF(W1605="xx","x",IF(W1605="xy","x",IF(W1605="y","x",IF(OR(P1605&gt;0,U1605&gt;0),"x","")))))</f>
        <v>x</v>
      </c>
      <c r="Y1605" s="580" t="str">
        <f t="shared" si="811"/>
        <v>x</v>
      </c>
      <c r="Z1605" s="580" t="str">
        <f t="shared" si="862"/>
        <v>x</v>
      </c>
    </row>
    <row r="1606" spans="1:26" ht="13.5" hidden="1" thickBot="1" x14ac:dyDescent="0.25">
      <c r="A1606" s="602" t="s">
        <v>187</v>
      </c>
      <c r="B1606" s="1013" t="s">
        <v>187</v>
      </c>
      <c r="C1606" s="1014"/>
      <c r="D1606" s="603" t="s">
        <v>744</v>
      </c>
      <c r="E1606" s="910"/>
      <c r="F1606" s="676"/>
      <c r="G1606" s="604"/>
      <c r="H1606" s="911"/>
      <c r="I1606" s="605"/>
      <c r="J1606" s="605"/>
      <c r="K1606" s="605"/>
      <c r="L1606" s="605" t="s">
        <v>783</v>
      </c>
      <c r="M1606" s="606"/>
      <c r="N1606" s="605"/>
      <c r="O1606" s="605"/>
      <c r="P1606" s="607"/>
      <c r="Q1606" s="94"/>
      <c r="R1606" s="606"/>
      <c r="S1606" s="605"/>
      <c r="T1606" s="605"/>
      <c r="U1606" s="607"/>
      <c r="V1606" s="94"/>
      <c r="W1606" s="579" t="str">
        <f>IF(OR(SUM(P1607:P1638)&gt;0,SUM(U1607:U1638)&gt;0),"y","")</f>
        <v/>
      </c>
      <c r="X1606" s="580" t="str">
        <f t="shared" si="1068"/>
        <v/>
      </c>
      <c r="Y1606" s="580" t="str">
        <f t="shared" si="811"/>
        <v/>
      </c>
      <c r="Z1606" s="580" t="str">
        <f t="shared" si="862"/>
        <v/>
      </c>
    </row>
    <row r="1607" spans="1:26" ht="13.5" hidden="1" thickBot="1" x14ac:dyDescent="0.25">
      <c r="A1607" s="602" t="s">
        <v>187</v>
      </c>
      <c r="B1607" s="1015" t="s">
        <v>187</v>
      </c>
      <c r="C1607" s="1016" t="s">
        <v>187</v>
      </c>
      <c r="D1607" s="616"/>
      <c r="E1607" s="609"/>
      <c r="F1607" s="677"/>
      <c r="G1607" s="610"/>
      <c r="H1607" s="611"/>
      <c r="I1607" s="612"/>
      <c r="J1607" s="613"/>
      <c r="K1607" s="614">
        <f t="shared" ref="K1607:K1638" si="1069">IF(ISBLANK(J1607),0,ROUND(J1607*(1+$F$10)*(1+$F$11*E1607),2))</f>
        <v>0</v>
      </c>
      <c r="L1607" s="615" t="s">
        <v>783</v>
      </c>
      <c r="M1607" s="599"/>
      <c r="N1607" s="599"/>
      <c r="O1607" s="93">
        <f t="shared" ref="O1607" si="1070">IF(ISBLANK(M1607),0,ROUND(K1607*M1607,2))</f>
        <v>0</v>
      </c>
      <c r="P1607" s="95">
        <f t="shared" ref="P1607:P1638" si="1071">IF(ISBLANK(N1607),0,ROUND(M1607*N1607,2))</f>
        <v>0</v>
      </c>
      <c r="Q1607" s="94"/>
      <c r="R1607" s="598">
        <f t="shared" ref="R1607:R1638" si="1072">M1607</f>
        <v>0</v>
      </c>
      <c r="S1607" s="599">
        <f t="shared" ref="S1607:S1638" si="1073">N1607</f>
        <v>0</v>
      </c>
      <c r="T1607" s="93">
        <f t="shared" ref="T1607:T1638" si="1074">IF(ISBLANK(R1607),0,ROUND(K1607*R1607,2))</f>
        <v>0</v>
      </c>
      <c r="U1607" s="95">
        <f t="shared" ref="U1607:U1638" si="1075">IF(ISBLANK(R1607),0,ROUND(R1607*S1607,2))</f>
        <v>0</v>
      </c>
      <c r="V1607" s="94"/>
      <c r="X1607" s="580" t="str">
        <f t="shared" si="1068"/>
        <v/>
      </c>
      <c r="Y1607" s="580" t="str">
        <f t="shared" si="811"/>
        <v/>
      </c>
      <c r="Z1607" s="580" t="str">
        <f t="shared" si="862"/>
        <v/>
      </c>
    </row>
    <row r="1608" spans="1:26" ht="13.5" hidden="1" thickBot="1" x14ac:dyDescent="0.25">
      <c r="A1608" s="602" t="s">
        <v>187</v>
      </c>
      <c r="B1608" s="1015" t="s">
        <v>187</v>
      </c>
      <c r="C1608" s="1016" t="s">
        <v>187</v>
      </c>
      <c r="D1608" s="616"/>
      <c r="E1608" s="609"/>
      <c r="F1608" s="677"/>
      <c r="G1608" s="610"/>
      <c r="H1608" s="611"/>
      <c r="I1608" s="612"/>
      <c r="J1608" s="613"/>
      <c r="K1608" s="617">
        <f t="shared" si="1069"/>
        <v>0</v>
      </c>
      <c r="L1608" s="615" t="s">
        <v>783</v>
      </c>
      <c r="M1608" s="92"/>
      <c r="N1608" s="92"/>
      <c r="O1608" s="93">
        <f>IF(ISBLANK(M1608),0,ROUND(K1608*M1608,2))</f>
        <v>0</v>
      </c>
      <c r="P1608" s="93">
        <f t="shared" si="1071"/>
        <v>0</v>
      </c>
      <c r="Q1608" s="94"/>
      <c r="R1608" s="92">
        <f t="shared" si="1072"/>
        <v>0</v>
      </c>
      <c r="S1608" s="92">
        <f t="shared" si="1073"/>
        <v>0</v>
      </c>
      <c r="T1608" s="93">
        <f t="shared" si="1074"/>
        <v>0</v>
      </c>
      <c r="U1608" s="618">
        <f t="shared" si="1075"/>
        <v>0</v>
      </c>
      <c r="V1608" s="94"/>
      <c r="X1608" s="580" t="str">
        <f t="shared" si="1068"/>
        <v/>
      </c>
      <c r="Y1608" s="580" t="str">
        <f t="shared" si="811"/>
        <v/>
      </c>
      <c r="Z1608" s="580" t="str">
        <f t="shared" si="862"/>
        <v/>
      </c>
    </row>
    <row r="1609" spans="1:26" ht="13.5" hidden="1" thickBot="1" x14ac:dyDescent="0.25">
      <c r="A1609" s="602" t="s">
        <v>187</v>
      </c>
      <c r="B1609" s="1015" t="s">
        <v>187</v>
      </c>
      <c r="C1609" s="1016" t="s">
        <v>187</v>
      </c>
      <c r="D1609" s="616"/>
      <c r="E1609" s="609"/>
      <c r="F1609" s="677"/>
      <c r="G1609" s="610"/>
      <c r="H1609" s="611"/>
      <c r="I1609" s="612"/>
      <c r="J1609" s="613"/>
      <c r="K1609" s="617">
        <f t="shared" si="1069"/>
        <v>0</v>
      </c>
      <c r="L1609" s="615" t="s">
        <v>783</v>
      </c>
      <c r="M1609" s="92"/>
      <c r="N1609" s="92"/>
      <c r="O1609" s="93">
        <f t="shared" ref="O1609:O1638" si="1076">IF(ISBLANK(M1609),0,ROUND(K1609*M1609,2))</f>
        <v>0</v>
      </c>
      <c r="P1609" s="93">
        <f t="shared" si="1071"/>
        <v>0</v>
      </c>
      <c r="Q1609" s="94"/>
      <c r="R1609" s="92">
        <f t="shared" si="1072"/>
        <v>0</v>
      </c>
      <c r="S1609" s="92">
        <f t="shared" si="1073"/>
        <v>0</v>
      </c>
      <c r="T1609" s="93">
        <f t="shared" si="1074"/>
        <v>0</v>
      </c>
      <c r="U1609" s="95">
        <f t="shared" si="1075"/>
        <v>0</v>
      </c>
      <c r="V1609" s="94"/>
      <c r="X1609" s="580" t="str">
        <f t="shared" si="1068"/>
        <v/>
      </c>
      <c r="Y1609" s="580" t="str">
        <f t="shared" si="811"/>
        <v/>
      </c>
      <c r="Z1609" s="580" t="str">
        <f t="shared" si="862"/>
        <v/>
      </c>
    </row>
    <row r="1610" spans="1:26" ht="13.5" hidden="1" thickBot="1" x14ac:dyDescent="0.25">
      <c r="A1610" s="602" t="s">
        <v>187</v>
      </c>
      <c r="B1610" s="1015" t="s">
        <v>187</v>
      </c>
      <c r="C1610" s="1016" t="s">
        <v>187</v>
      </c>
      <c r="D1610" s="616"/>
      <c r="E1610" s="609"/>
      <c r="F1610" s="677"/>
      <c r="G1610" s="610"/>
      <c r="H1610" s="611"/>
      <c r="I1610" s="612"/>
      <c r="J1610" s="613"/>
      <c r="K1610" s="617">
        <f t="shared" si="1069"/>
        <v>0</v>
      </c>
      <c r="L1610" s="615" t="s">
        <v>783</v>
      </c>
      <c r="M1610" s="92"/>
      <c r="N1610" s="92"/>
      <c r="O1610" s="93">
        <f t="shared" si="1076"/>
        <v>0</v>
      </c>
      <c r="P1610" s="93">
        <f t="shared" si="1071"/>
        <v>0</v>
      </c>
      <c r="Q1610" s="94"/>
      <c r="R1610" s="92">
        <f t="shared" si="1072"/>
        <v>0</v>
      </c>
      <c r="S1610" s="92">
        <f t="shared" si="1073"/>
        <v>0</v>
      </c>
      <c r="T1610" s="93">
        <f t="shared" si="1074"/>
        <v>0</v>
      </c>
      <c r="U1610" s="95">
        <f t="shared" si="1075"/>
        <v>0</v>
      </c>
      <c r="V1610" s="94"/>
      <c r="X1610" s="580" t="str">
        <f t="shared" si="1068"/>
        <v/>
      </c>
      <c r="Y1610" s="580" t="str">
        <f t="shared" si="811"/>
        <v/>
      </c>
      <c r="Z1610" s="580" t="str">
        <f t="shared" si="862"/>
        <v/>
      </c>
    </row>
    <row r="1611" spans="1:26" ht="13.5" hidden="1" thickBot="1" x14ac:dyDescent="0.25">
      <c r="A1611" s="602" t="s">
        <v>187</v>
      </c>
      <c r="B1611" s="1015" t="s">
        <v>187</v>
      </c>
      <c r="C1611" s="1016" t="s">
        <v>187</v>
      </c>
      <c r="D1611" s="616"/>
      <c r="E1611" s="609"/>
      <c r="F1611" s="677"/>
      <c r="G1611" s="610"/>
      <c r="H1611" s="611"/>
      <c r="I1611" s="612"/>
      <c r="J1611" s="613"/>
      <c r="K1611" s="617">
        <f t="shared" si="1069"/>
        <v>0</v>
      </c>
      <c r="L1611" s="615" t="s">
        <v>783</v>
      </c>
      <c r="M1611" s="92"/>
      <c r="N1611" s="92"/>
      <c r="O1611" s="93">
        <f t="shared" si="1076"/>
        <v>0</v>
      </c>
      <c r="P1611" s="93">
        <f t="shared" si="1071"/>
        <v>0</v>
      </c>
      <c r="Q1611" s="94"/>
      <c r="R1611" s="92">
        <f t="shared" si="1072"/>
        <v>0</v>
      </c>
      <c r="S1611" s="92">
        <f t="shared" si="1073"/>
        <v>0</v>
      </c>
      <c r="T1611" s="93">
        <f t="shared" si="1074"/>
        <v>0</v>
      </c>
      <c r="U1611" s="95">
        <f t="shared" si="1075"/>
        <v>0</v>
      </c>
      <c r="V1611" s="94"/>
      <c r="X1611" s="580" t="str">
        <f t="shared" si="1068"/>
        <v/>
      </c>
      <c r="Y1611" s="580" t="str">
        <f t="shared" si="811"/>
        <v/>
      </c>
      <c r="Z1611" s="580" t="str">
        <f t="shared" si="862"/>
        <v/>
      </c>
    </row>
    <row r="1612" spans="1:26" ht="13.5" hidden="1" thickBot="1" x14ac:dyDescent="0.25">
      <c r="A1612" s="602" t="s">
        <v>187</v>
      </c>
      <c r="B1612" s="1015" t="s">
        <v>187</v>
      </c>
      <c r="C1612" s="1016" t="s">
        <v>187</v>
      </c>
      <c r="D1612" s="616"/>
      <c r="E1612" s="609"/>
      <c r="F1612" s="677"/>
      <c r="G1612" s="610"/>
      <c r="H1612" s="611"/>
      <c r="I1612" s="612"/>
      <c r="J1612" s="613"/>
      <c r="K1612" s="617">
        <f t="shared" si="1069"/>
        <v>0</v>
      </c>
      <c r="L1612" s="615" t="s">
        <v>783</v>
      </c>
      <c r="M1612" s="92"/>
      <c r="N1612" s="92"/>
      <c r="O1612" s="93">
        <f t="shared" si="1076"/>
        <v>0</v>
      </c>
      <c r="P1612" s="93">
        <f t="shared" si="1071"/>
        <v>0</v>
      </c>
      <c r="Q1612" s="94"/>
      <c r="R1612" s="92">
        <f t="shared" si="1072"/>
        <v>0</v>
      </c>
      <c r="S1612" s="92">
        <f t="shared" si="1073"/>
        <v>0</v>
      </c>
      <c r="T1612" s="93">
        <f t="shared" si="1074"/>
        <v>0</v>
      </c>
      <c r="U1612" s="95">
        <f t="shared" si="1075"/>
        <v>0</v>
      </c>
      <c r="V1612" s="94"/>
      <c r="X1612" s="580" t="str">
        <f t="shared" si="1068"/>
        <v/>
      </c>
      <c r="Y1612" s="580" t="str">
        <f t="shared" si="811"/>
        <v/>
      </c>
      <c r="Z1612" s="580" t="str">
        <f t="shared" si="862"/>
        <v/>
      </c>
    </row>
    <row r="1613" spans="1:26" ht="13.5" hidden="1" thickBot="1" x14ac:dyDescent="0.25">
      <c r="A1613" s="602" t="s">
        <v>187</v>
      </c>
      <c r="B1613" s="1015" t="s">
        <v>187</v>
      </c>
      <c r="C1613" s="1016" t="s">
        <v>187</v>
      </c>
      <c r="D1613" s="616"/>
      <c r="E1613" s="609"/>
      <c r="F1613" s="677"/>
      <c r="G1613" s="610"/>
      <c r="H1613" s="611"/>
      <c r="I1613" s="612"/>
      <c r="J1613" s="613"/>
      <c r="K1613" s="617">
        <f t="shared" si="1069"/>
        <v>0</v>
      </c>
      <c r="L1613" s="615" t="s">
        <v>783</v>
      </c>
      <c r="M1613" s="92"/>
      <c r="N1613" s="92"/>
      <c r="O1613" s="93">
        <f t="shared" si="1076"/>
        <v>0</v>
      </c>
      <c r="P1613" s="93">
        <f t="shared" si="1071"/>
        <v>0</v>
      </c>
      <c r="Q1613" s="94"/>
      <c r="R1613" s="92">
        <f t="shared" si="1072"/>
        <v>0</v>
      </c>
      <c r="S1613" s="92">
        <f t="shared" si="1073"/>
        <v>0</v>
      </c>
      <c r="T1613" s="93">
        <f t="shared" si="1074"/>
        <v>0</v>
      </c>
      <c r="U1613" s="95">
        <f t="shared" si="1075"/>
        <v>0</v>
      </c>
      <c r="V1613" s="94"/>
      <c r="X1613" s="580" t="str">
        <f t="shared" si="1068"/>
        <v/>
      </c>
      <c r="Y1613" s="580" t="str">
        <f t="shared" si="811"/>
        <v/>
      </c>
      <c r="Z1613" s="580" t="str">
        <f t="shared" si="862"/>
        <v/>
      </c>
    </row>
    <row r="1614" spans="1:26" ht="13.5" hidden="1" thickBot="1" x14ac:dyDescent="0.25">
      <c r="A1614" s="602" t="s">
        <v>187</v>
      </c>
      <c r="B1614" s="1015" t="s">
        <v>187</v>
      </c>
      <c r="C1614" s="1016" t="s">
        <v>187</v>
      </c>
      <c r="D1614" s="616"/>
      <c r="E1614" s="609"/>
      <c r="F1614" s="677"/>
      <c r="G1614" s="610"/>
      <c r="H1614" s="611"/>
      <c r="I1614" s="612"/>
      <c r="J1614" s="613"/>
      <c r="K1614" s="617">
        <f t="shared" si="1069"/>
        <v>0</v>
      </c>
      <c r="L1614" s="615" t="s">
        <v>783</v>
      </c>
      <c r="M1614" s="92"/>
      <c r="N1614" s="92"/>
      <c r="O1614" s="93">
        <f t="shared" si="1076"/>
        <v>0</v>
      </c>
      <c r="P1614" s="93">
        <f t="shared" si="1071"/>
        <v>0</v>
      </c>
      <c r="Q1614" s="94"/>
      <c r="R1614" s="92">
        <f t="shared" si="1072"/>
        <v>0</v>
      </c>
      <c r="S1614" s="92">
        <f t="shared" si="1073"/>
        <v>0</v>
      </c>
      <c r="T1614" s="93">
        <f t="shared" si="1074"/>
        <v>0</v>
      </c>
      <c r="U1614" s="95">
        <f t="shared" si="1075"/>
        <v>0</v>
      </c>
      <c r="V1614" s="94"/>
      <c r="X1614" s="580" t="str">
        <f t="shared" si="1068"/>
        <v/>
      </c>
      <c r="Y1614" s="580" t="str">
        <f t="shared" si="811"/>
        <v/>
      </c>
      <c r="Z1614" s="580" t="str">
        <f t="shared" si="862"/>
        <v/>
      </c>
    </row>
    <row r="1615" spans="1:26" ht="13.5" hidden="1" thickBot="1" x14ac:dyDescent="0.25">
      <c r="A1615" s="602" t="s">
        <v>187</v>
      </c>
      <c r="B1615" s="1015" t="s">
        <v>187</v>
      </c>
      <c r="C1615" s="1016" t="s">
        <v>187</v>
      </c>
      <c r="D1615" s="616"/>
      <c r="E1615" s="609"/>
      <c r="F1615" s="677"/>
      <c r="G1615" s="610"/>
      <c r="H1615" s="611"/>
      <c r="I1615" s="612"/>
      <c r="J1615" s="613"/>
      <c r="K1615" s="617">
        <f t="shared" si="1069"/>
        <v>0</v>
      </c>
      <c r="L1615" s="615" t="s">
        <v>783</v>
      </c>
      <c r="M1615" s="92"/>
      <c r="N1615" s="92"/>
      <c r="O1615" s="93">
        <f t="shared" si="1076"/>
        <v>0</v>
      </c>
      <c r="P1615" s="93">
        <f t="shared" si="1071"/>
        <v>0</v>
      </c>
      <c r="Q1615" s="94"/>
      <c r="R1615" s="92">
        <f t="shared" si="1072"/>
        <v>0</v>
      </c>
      <c r="S1615" s="92">
        <f t="shared" si="1073"/>
        <v>0</v>
      </c>
      <c r="T1615" s="93">
        <f t="shared" si="1074"/>
        <v>0</v>
      </c>
      <c r="U1615" s="95">
        <f t="shared" si="1075"/>
        <v>0</v>
      </c>
      <c r="V1615" s="94"/>
      <c r="X1615" s="580" t="str">
        <f t="shared" si="1068"/>
        <v/>
      </c>
      <c r="Y1615" s="580" t="str">
        <f t="shared" si="811"/>
        <v/>
      </c>
      <c r="Z1615" s="580" t="str">
        <f t="shared" si="862"/>
        <v/>
      </c>
    </row>
    <row r="1616" spans="1:26" ht="13.5" hidden="1" thickBot="1" x14ac:dyDescent="0.25">
      <c r="A1616" s="602" t="s">
        <v>187</v>
      </c>
      <c r="B1616" s="1015" t="s">
        <v>187</v>
      </c>
      <c r="C1616" s="1016" t="s">
        <v>187</v>
      </c>
      <c r="D1616" s="616"/>
      <c r="E1616" s="609"/>
      <c r="F1616" s="677"/>
      <c r="G1616" s="610"/>
      <c r="H1616" s="611"/>
      <c r="I1616" s="612"/>
      <c r="J1616" s="613"/>
      <c r="K1616" s="617">
        <f t="shared" si="1069"/>
        <v>0</v>
      </c>
      <c r="L1616" s="615" t="s">
        <v>783</v>
      </c>
      <c r="M1616" s="92"/>
      <c r="N1616" s="92"/>
      <c r="O1616" s="93">
        <f t="shared" si="1076"/>
        <v>0</v>
      </c>
      <c r="P1616" s="93">
        <f t="shared" si="1071"/>
        <v>0</v>
      </c>
      <c r="Q1616" s="94"/>
      <c r="R1616" s="92">
        <f t="shared" si="1072"/>
        <v>0</v>
      </c>
      <c r="S1616" s="92">
        <f t="shared" si="1073"/>
        <v>0</v>
      </c>
      <c r="T1616" s="93">
        <f t="shared" si="1074"/>
        <v>0</v>
      </c>
      <c r="U1616" s="95">
        <f t="shared" si="1075"/>
        <v>0</v>
      </c>
      <c r="V1616" s="94"/>
      <c r="X1616" s="580" t="str">
        <f t="shared" si="1068"/>
        <v/>
      </c>
      <c r="Y1616" s="580" t="str">
        <f t="shared" si="811"/>
        <v/>
      </c>
      <c r="Z1616" s="580" t="str">
        <f t="shared" si="862"/>
        <v/>
      </c>
    </row>
    <row r="1617" spans="1:26" ht="13.5" hidden="1" thickBot="1" x14ac:dyDescent="0.25">
      <c r="A1617" s="602" t="s">
        <v>187</v>
      </c>
      <c r="B1617" s="1015" t="s">
        <v>187</v>
      </c>
      <c r="C1617" s="1016" t="s">
        <v>187</v>
      </c>
      <c r="D1617" s="616"/>
      <c r="E1617" s="609"/>
      <c r="F1617" s="677"/>
      <c r="G1617" s="610"/>
      <c r="H1617" s="611"/>
      <c r="I1617" s="612"/>
      <c r="J1617" s="613"/>
      <c r="K1617" s="617">
        <f t="shared" si="1069"/>
        <v>0</v>
      </c>
      <c r="L1617" s="615" t="s">
        <v>783</v>
      </c>
      <c r="M1617" s="92"/>
      <c r="N1617" s="92"/>
      <c r="O1617" s="93">
        <f t="shared" si="1076"/>
        <v>0</v>
      </c>
      <c r="P1617" s="93">
        <f t="shared" si="1071"/>
        <v>0</v>
      </c>
      <c r="Q1617" s="94"/>
      <c r="R1617" s="92">
        <f t="shared" si="1072"/>
        <v>0</v>
      </c>
      <c r="S1617" s="92">
        <f t="shared" si="1073"/>
        <v>0</v>
      </c>
      <c r="T1617" s="93">
        <f t="shared" si="1074"/>
        <v>0</v>
      </c>
      <c r="U1617" s="95">
        <f t="shared" si="1075"/>
        <v>0</v>
      </c>
      <c r="V1617" s="94"/>
      <c r="X1617" s="580" t="str">
        <f t="shared" si="1068"/>
        <v/>
      </c>
      <c r="Y1617" s="580" t="str">
        <f t="shared" si="811"/>
        <v/>
      </c>
      <c r="Z1617" s="580" t="str">
        <f t="shared" si="862"/>
        <v/>
      </c>
    </row>
    <row r="1618" spans="1:26" ht="13.5" hidden="1" thickBot="1" x14ac:dyDescent="0.25">
      <c r="A1618" s="602" t="s">
        <v>187</v>
      </c>
      <c r="B1618" s="1015" t="s">
        <v>187</v>
      </c>
      <c r="C1618" s="1016" t="s">
        <v>187</v>
      </c>
      <c r="D1618" s="616"/>
      <c r="E1618" s="609"/>
      <c r="F1618" s="677"/>
      <c r="G1618" s="610"/>
      <c r="H1618" s="611"/>
      <c r="I1618" s="612"/>
      <c r="J1618" s="613"/>
      <c r="K1618" s="617">
        <f t="shared" si="1069"/>
        <v>0</v>
      </c>
      <c r="L1618" s="615" t="s">
        <v>783</v>
      </c>
      <c r="M1618" s="92"/>
      <c r="N1618" s="92"/>
      <c r="O1618" s="93">
        <f t="shared" si="1076"/>
        <v>0</v>
      </c>
      <c r="P1618" s="93">
        <f t="shared" si="1071"/>
        <v>0</v>
      </c>
      <c r="Q1618" s="94"/>
      <c r="R1618" s="92">
        <f t="shared" si="1072"/>
        <v>0</v>
      </c>
      <c r="S1618" s="92">
        <f t="shared" si="1073"/>
        <v>0</v>
      </c>
      <c r="T1618" s="93">
        <f t="shared" si="1074"/>
        <v>0</v>
      </c>
      <c r="U1618" s="95">
        <f t="shared" si="1075"/>
        <v>0</v>
      </c>
      <c r="V1618" s="94"/>
      <c r="X1618" s="580" t="str">
        <f t="shared" si="1068"/>
        <v/>
      </c>
      <c r="Y1618" s="580" t="str">
        <f t="shared" si="811"/>
        <v/>
      </c>
      <c r="Z1618" s="580" t="str">
        <f t="shared" si="862"/>
        <v/>
      </c>
    </row>
    <row r="1619" spans="1:26" ht="13.5" hidden="1" thickBot="1" x14ac:dyDescent="0.25">
      <c r="A1619" s="602" t="s">
        <v>187</v>
      </c>
      <c r="B1619" s="1015" t="s">
        <v>187</v>
      </c>
      <c r="C1619" s="1016" t="s">
        <v>187</v>
      </c>
      <c r="D1619" s="616"/>
      <c r="E1619" s="609"/>
      <c r="F1619" s="677"/>
      <c r="G1619" s="610"/>
      <c r="H1619" s="611"/>
      <c r="I1619" s="612"/>
      <c r="J1619" s="613"/>
      <c r="K1619" s="617">
        <f t="shared" si="1069"/>
        <v>0</v>
      </c>
      <c r="L1619" s="615" t="s">
        <v>783</v>
      </c>
      <c r="M1619" s="92"/>
      <c r="N1619" s="92"/>
      <c r="O1619" s="93">
        <f t="shared" si="1076"/>
        <v>0</v>
      </c>
      <c r="P1619" s="93">
        <f t="shared" si="1071"/>
        <v>0</v>
      </c>
      <c r="Q1619" s="94"/>
      <c r="R1619" s="92">
        <f t="shared" si="1072"/>
        <v>0</v>
      </c>
      <c r="S1619" s="92">
        <f t="shared" si="1073"/>
        <v>0</v>
      </c>
      <c r="T1619" s="93">
        <f t="shared" si="1074"/>
        <v>0</v>
      </c>
      <c r="U1619" s="95">
        <f t="shared" si="1075"/>
        <v>0</v>
      </c>
      <c r="V1619" s="94"/>
      <c r="X1619" s="580" t="str">
        <f t="shared" si="1068"/>
        <v/>
      </c>
      <c r="Y1619" s="580" t="str">
        <f t="shared" si="811"/>
        <v/>
      </c>
      <c r="Z1619" s="580" t="str">
        <f t="shared" si="862"/>
        <v/>
      </c>
    </row>
    <row r="1620" spans="1:26" ht="13.5" hidden="1" thickBot="1" x14ac:dyDescent="0.25">
      <c r="A1620" s="602" t="s">
        <v>187</v>
      </c>
      <c r="B1620" s="1015" t="s">
        <v>187</v>
      </c>
      <c r="C1620" s="1016" t="s">
        <v>187</v>
      </c>
      <c r="D1620" s="616"/>
      <c r="E1620" s="609"/>
      <c r="F1620" s="677"/>
      <c r="G1620" s="610"/>
      <c r="H1620" s="611"/>
      <c r="I1620" s="612"/>
      <c r="J1620" s="613"/>
      <c r="K1620" s="617">
        <f t="shared" si="1069"/>
        <v>0</v>
      </c>
      <c r="L1620" s="615" t="s">
        <v>783</v>
      </c>
      <c r="M1620" s="92"/>
      <c r="N1620" s="92"/>
      <c r="O1620" s="93">
        <f t="shared" si="1076"/>
        <v>0</v>
      </c>
      <c r="P1620" s="93">
        <f t="shared" si="1071"/>
        <v>0</v>
      </c>
      <c r="Q1620" s="94"/>
      <c r="R1620" s="92">
        <f t="shared" si="1072"/>
        <v>0</v>
      </c>
      <c r="S1620" s="92">
        <f t="shared" si="1073"/>
        <v>0</v>
      </c>
      <c r="T1620" s="93">
        <f t="shared" si="1074"/>
        <v>0</v>
      </c>
      <c r="U1620" s="95">
        <f t="shared" si="1075"/>
        <v>0</v>
      </c>
      <c r="V1620" s="94"/>
      <c r="X1620" s="580" t="str">
        <f t="shared" si="1068"/>
        <v/>
      </c>
      <c r="Y1620" s="580" t="str">
        <f t="shared" si="811"/>
        <v/>
      </c>
      <c r="Z1620" s="580" t="str">
        <f t="shared" si="862"/>
        <v/>
      </c>
    </row>
    <row r="1621" spans="1:26" ht="13.5" hidden="1" thickBot="1" x14ac:dyDescent="0.25">
      <c r="A1621" s="602" t="s">
        <v>187</v>
      </c>
      <c r="B1621" s="1015" t="s">
        <v>187</v>
      </c>
      <c r="C1621" s="1016" t="s">
        <v>187</v>
      </c>
      <c r="D1621" s="616"/>
      <c r="E1621" s="609"/>
      <c r="F1621" s="677"/>
      <c r="G1621" s="610"/>
      <c r="H1621" s="611"/>
      <c r="I1621" s="612"/>
      <c r="J1621" s="613"/>
      <c r="K1621" s="617">
        <f t="shared" si="1069"/>
        <v>0</v>
      </c>
      <c r="L1621" s="615" t="s">
        <v>783</v>
      </c>
      <c r="M1621" s="92"/>
      <c r="N1621" s="92"/>
      <c r="O1621" s="93">
        <f t="shared" si="1076"/>
        <v>0</v>
      </c>
      <c r="P1621" s="93">
        <f t="shared" si="1071"/>
        <v>0</v>
      </c>
      <c r="Q1621" s="94"/>
      <c r="R1621" s="92">
        <f t="shared" si="1072"/>
        <v>0</v>
      </c>
      <c r="S1621" s="92">
        <f t="shared" si="1073"/>
        <v>0</v>
      </c>
      <c r="T1621" s="93">
        <f t="shared" si="1074"/>
        <v>0</v>
      </c>
      <c r="U1621" s="95">
        <f t="shared" si="1075"/>
        <v>0</v>
      </c>
      <c r="V1621" s="94"/>
      <c r="X1621" s="580" t="str">
        <f t="shared" si="1068"/>
        <v/>
      </c>
      <c r="Y1621" s="580" t="str">
        <f t="shared" si="811"/>
        <v/>
      </c>
      <c r="Z1621" s="580" t="str">
        <f t="shared" si="862"/>
        <v/>
      </c>
    </row>
    <row r="1622" spans="1:26" ht="13.5" hidden="1" thickBot="1" x14ac:dyDescent="0.25">
      <c r="A1622" s="602" t="s">
        <v>187</v>
      </c>
      <c r="B1622" s="1015" t="s">
        <v>187</v>
      </c>
      <c r="C1622" s="1016" t="s">
        <v>187</v>
      </c>
      <c r="D1622" s="616"/>
      <c r="E1622" s="609"/>
      <c r="F1622" s="677"/>
      <c r="G1622" s="610"/>
      <c r="H1622" s="611"/>
      <c r="I1622" s="612"/>
      <c r="J1622" s="613"/>
      <c r="K1622" s="617">
        <f t="shared" si="1069"/>
        <v>0</v>
      </c>
      <c r="L1622" s="615" t="s">
        <v>783</v>
      </c>
      <c r="M1622" s="92"/>
      <c r="N1622" s="92"/>
      <c r="O1622" s="93">
        <f t="shared" si="1076"/>
        <v>0</v>
      </c>
      <c r="P1622" s="93">
        <f t="shared" si="1071"/>
        <v>0</v>
      </c>
      <c r="Q1622" s="94"/>
      <c r="R1622" s="92">
        <f t="shared" si="1072"/>
        <v>0</v>
      </c>
      <c r="S1622" s="92">
        <f t="shared" si="1073"/>
        <v>0</v>
      </c>
      <c r="T1622" s="93">
        <f t="shared" si="1074"/>
        <v>0</v>
      </c>
      <c r="U1622" s="95">
        <f t="shared" si="1075"/>
        <v>0</v>
      </c>
      <c r="V1622" s="94"/>
      <c r="X1622" s="580" t="str">
        <f t="shared" si="1068"/>
        <v/>
      </c>
      <c r="Y1622" s="580" t="str">
        <f t="shared" si="811"/>
        <v/>
      </c>
      <c r="Z1622" s="580" t="str">
        <f t="shared" si="862"/>
        <v/>
      </c>
    </row>
    <row r="1623" spans="1:26" ht="13.5" hidden="1" thickBot="1" x14ac:dyDescent="0.25">
      <c r="A1623" s="602" t="s">
        <v>187</v>
      </c>
      <c r="B1623" s="1015" t="s">
        <v>187</v>
      </c>
      <c r="C1623" s="1016" t="s">
        <v>187</v>
      </c>
      <c r="D1623" s="616"/>
      <c r="E1623" s="609"/>
      <c r="F1623" s="677"/>
      <c r="G1623" s="610"/>
      <c r="H1623" s="611"/>
      <c r="I1623" s="612"/>
      <c r="J1623" s="613"/>
      <c r="K1623" s="617">
        <f t="shared" si="1069"/>
        <v>0</v>
      </c>
      <c r="L1623" s="615" t="s">
        <v>783</v>
      </c>
      <c r="M1623" s="92"/>
      <c r="N1623" s="92"/>
      <c r="O1623" s="93">
        <f t="shared" si="1076"/>
        <v>0</v>
      </c>
      <c r="P1623" s="93">
        <f t="shared" si="1071"/>
        <v>0</v>
      </c>
      <c r="Q1623" s="94"/>
      <c r="R1623" s="92">
        <f t="shared" si="1072"/>
        <v>0</v>
      </c>
      <c r="S1623" s="92">
        <f t="shared" si="1073"/>
        <v>0</v>
      </c>
      <c r="T1623" s="93">
        <f t="shared" si="1074"/>
        <v>0</v>
      </c>
      <c r="U1623" s="95">
        <f t="shared" si="1075"/>
        <v>0</v>
      </c>
      <c r="V1623" s="94"/>
      <c r="X1623" s="580" t="str">
        <f t="shared" si="1068"/>
        <v/>
      </c>
      <c r="Y1623" s="580" t="str">
        <f t="shared" si="811"/>
        <v/>
      </c>
      <c r="Z1623" s="580" t="str">
        <f t="shared" si="862"/>
        <v/>
      </c>
    </row>
    <row r="1624" spans="1:26" ht="13.5" hidden="1" thickBot="1" x14ac:dyDescent="0.25">
      <c r="A1624" s="602" t="s">
        <v>187</v>
      </c>
      <c r="B1624" s="1015" t="s">
        <v>187</v>
      </c>
      <c r="C1624" s="1016" t="s">
        <v>187</v>
      </c>
      <c r="D1624" s="616"/>
      <c r="E1624" s="609"/>
      <c r="F1624" s="677"/>
      <c r="G1624" s="610"/>
      <c r="H1624" s="611"/>
      <c r="I1624" s="612"/>
      <c r="J1624" s="613"/>
      <c r="K1624" s="617">
        <f t="shared" si="1069"/>
        <v>0</v>
      </c>
      <c r="L1624" s="615" t="s">
        <v>783</v>
      </c>
      <c r="M1624" s="92"/>
      <c r="N1624" s="92"/>
      <c r="O1624" s="93">
        <f t="shared" si="1076"/>
        <v>0</v>
      </c>
      <c r="P1624" s="93">
        <f t="shared" si="1071"/>
        <v>0</v>
      </c>
      <c r="Q1624" s="94"/>
      <c r="R1624" s="92">
        <f t="shared" si="1072"/>
        <v>0</v>
      </c>
      <c r="S1624" s="92">
        <f t="shared" si="1073"/>
        <v>0</v>
      </c>
      <c r="T1624" s="93">
        <f t="shared" si="1074"/>
        <v>0</v>
      </c>
      <c r="U1624" s="95">
        <f t="shared" si="1075"/>
        <v>0</v>
      </c>
      <c r="V1624" s="94"/>
      <c r="X1624" s="580" t="str">
        <f t="shared" si="1068"/>
        <v/>
      </c>
      <c r="Y1624" s="580" t="str">
        <f t="shared" si="811"/>
        <v/>
      </c>
      <c r="Z1624" s="580" t="str">
        <f t="shared" si="862"/>
        <v/>
      </c>
    </row>
    <row r="1625" spans="1:26" ht="13.5" hidden="1" thickBot="1" x14ac:dyDescent="0.25">
      <c r="A1625" s="602" t="s">
        <v>187</v>
      </c>
      <c r="B1625" s="1015" t="s">
        <v>187</v>
      </c>
      <c r="C1625" s="1016" t="s">
        <v>187</v>
      </c>
      <c r="D1625" s="616"/>
      <c r="E1625" s="609"/>
      <c r="F1625" s="677"/>
      <c r="G1625" s="610"/>
      <c r="H1625" s="611"/>
      <c r="I1625" s="612"/>
      <c r="J1625" s="613"/>
      <c r="K1625" s="617">
        <f t="shared" si="1069"/>
        <v>0</v>
      </c>
      <c r="L1625" s="615" t="s">
        <v>783</v>
      </c>
      <c r="M1625" s="92"/>
      <c r="N1625" s="92"/>
      <c r="O1625" s="93">
        <f t="shared" si="1076"/>
        <v>0</v>
      </c>
      <c r="P1625" s="93">
        <f t="shared" si="1071"/>
        <v>0</v>
      </c>
      <c r="Q1625" s="94"/>
      <c r="R1625" s="92">
        <f t="shared" si="1072"/>
        <v>0</v>
      </c>
      <c r="S1625" s="92">
        <f t="shared" si="1073"/>
        <v>0</v>
      </c>
      <c r="T1625" s="93">
        <f t="shared" si="1074"/>
        <v>0</v>
      </c>
      <c r="U1625" s="95">
        <f t="shared" si="1075"/>
        <v>0</v>
      </c>
      <c r="V1625" s="94"/>
      <c r="X1625" s="580" t="str">
        <f t="shared" si="1068"/>
        <v/>
      </c>
      <c r="Y1625" s="580" t="str">
        <f t="shared" si="811"/>
        <v/>
      </c>
      <c r="Z1625" s="580" t="str">
        <f t="shared" si="862"/>
        <v/>
      </c>
    </row>
    <row r="1626" spans="1:26" ht="13.5" hidden="1" thickBot="1" x14ac:dyDescent="0.25">
      <c r="A1626" s="602" t="s">
        <v>187</v>
      </c>
      <c r="B1626" s="1015" t="s">
        <v>187</v>
      </c>
      <c r="C1626" s="1016" t="s">
        <v>187</v>
      </c>
      <c r="D1626" s="616"/>
      <c r="E1626" s="609"/>
      <c r="F1626" s="677"/>
      <c r="G1626" s="610"/>
      <c r="H1626" s="611"/>
      <c r="I1626" s="612"/>
      <c r="J1626" s="613"/>
      <c r="K1626" s="617">
        <f t="shared" si="1069"/>
        <v>0</v>
      </c>
      <c r="L1626" s="615" t="s">
        <v>783</v>
      </c>
      <c r="M1626" s="92"/>
      <c r="N1626" s="92"/>
      <c r="O1626" s="93">
        <f t="shared" si="1076"/>
        <v>0</v>
      </c>
      <c r="P1626" s="93">
        <f t="shared" si="1071"/>
        <v>0</v>
      </c>
      <c r="Q1626" s="94"/>
      <c r="R1626" s="92">
        <f t="shared" si="1072"/>
        <v>0</v>
      </c>
      <c r="S1626" s="92">
        <f t="shared" si="1073"/>
        <v>0</v>
      </c>
      <c r="T1626" s="93">
        <f t="shared" si="1074"/>
        <v>0</v>
      </c>
      <c r="U1626" s="95">
        <f t="shared" si="1075"/>
        <v>0</v>
      </c>
      <c r="V1626" s="94"/>
      <c r="X1626" s="580" t="str">
        <f t="shared" si="1068"/>
        <v/>
      </c>
      <c r="Y1626" s="580" t="str">
        <f t="shared" si="811"/>
        <v/>
      </c>
      <c r="Z1626" s="580" t="str">
        <f t="shared" si="862"/>
        <v/>
      </c>
    </row>
    <row r="1627" spans="1:26" ht="13.5" hidden="1" thickBot="1" x14ac:dyDescent="0.25">
      <c r="A1627" s="602" t="s">
        <v>187</v>
      </c>
      <c r="B1627" s="1015" t="s">
        <v>187</v>
      </c>
      <c r="C1627" s="1016" t="s">
        <v>187</v>
      </c>
      <c r="D1627" s="616"/>
      <c r="E1627" s="609"/>
      <c r="F1627" s="677"/>
      <c r="G1627" s="610"/>
      <c r="H1627" s="611"/>
      <c r="I1627" s="612"/>
      <c r="J1627" s="613"/>
      <c r="K1627" s="617">
        <f t="shared" si="1069"/>
        <v>0</v>
      </c>
      <c r="L1627" s="615" t="s">
        <v>783</v>
      </c>
      <c r="M1627" s="92"/>
      <c r="N1627" s="92"/>
      <c r="O1627" s="93">
        <f t="shared" si="1076"/>
        <v>0</v>
      </c>
      <c r="P1627" s="93">
        <f t="shared" si="1071"/>
        <v>0</v>
      </c>
      <c r="Q1627" s="94"/>
      <c r="R1627" s="92">
        <f t="shared" si="1072"/>
        <v>0</v>
      </c>
      <c r="S1627" s="92">
        <f t="shared" si="1073"/>
        <v>0</v>
      </c>
      <c r="T1627" s="93">
        <f t="shared" si="1074"/>
        <v>0</v>
      </c>
      <c r="U1627" s="95">
        <f t="shared" si="1075"/>
        <v>0</v>
      </c>
      <c r="V1627" s="94"/>
      <c r="X1627" s="580" t="str">
        <f t="shared" si="1068"/>
        <v/>
      </c>
      <c r="Y1627" s="580" t="str">
        <f t="shared" si="811"/>
        <v/>
      </c>
      <c r="Z1627" s="580" t="str">
        <f t="shared" si="862"/>
        <v/>
      </c>
    </row>
    <row r="1628" spans="1:26" ht="13.5" hidden="1" thickBot="1" x14ac:dyDescent="0.25">
      <c r="A1628" s="602" t="s">
        <v>187</v>
      </c>
      <c r="B1628" s="1015" t="s">
        <v>187</v>
      </c>
      <c r="C1628" s="1016" t="s">
        <v>187</v>
      </c>
      <c r="D1628" s="616"/>
      <c r="E1628" s="609"/>
      <c r="F1628" s="677"/>
      <c r="G1628" s="610"/>
      <c r="H1628" s="611"/>
      <c r="I1628" s="612"/>
      <c r="J1628" s="613"/>
      <c r="K1628" s="617">
        <f t="shared" si="1069"/>
        <v>0</v>
      </c>
      <c r="L1628" s="615" t="s">
        <v>783</v>
      </c>
      <c r="M1628" s="92"/>
      <c r="N1628" s="92"/>
      <c r="O1628" s="93">
        <f t="shared" si="1076"/>
        <v>0</v>
      </c>
      <c r="P1628" s="93">
        <f t="shared" si="1071"/>
        <v>0</v>
      </c>
      <c r="Q1628" s="94"/>
      <c r="R1628" s="92">
        <f t="shared" si="1072"/>
        <v>0</v>
      </c>
      <c r="S1628" s="92">
        <f t="shared" si="1073"/>
        <v>0</v>
      </c>
      <c r="T1628" s="93">
        <f t="shared" si="1074"/>
        <v>0</v>
      </c>
      <c r="U1628" s="95">
        <f t="shared" si="1075"/>
        <v>0</v>
      </c>
      <c r="V1628" s="94"/>
      <c r="X1628" s="580" t="str">
        <f t="shared" si="1068"/>
        <v/>
      </c>
      <c r="Y1628" s="580" t="str">
        <f t="shared" si="811"/>
        <v/>
      </c>
      <c r="Z1628" s="580" t="str">
        <f t="shared" si="862"/>
        <v/>
      </c>
    </row>
    <row r="1629" spans="1:26" ht="13.5" hidden="1" thickBot="1" x14ac:dyDescent="0.25">
      <c r="A1629" s="602" t="s">
        <v>187</v>
      </c>
      <c r="B1629" s="1015" t="s">
        <v>187</v>
      </c>
      <c r="C1629" s="1016" t="s">
        <v>187</v>
      </c>
      <c r="D1629" s="616"/>
      <c r="E1629" s="609"/>
      <c r="F1629" s="677"/>
      <c r="G1629" s="610"/>
      <c r="H1629" s="611"/>
      <c r="I1629" s="612"/>
      <c r="J1629" s="613"/>
      <c r="K1629" s="617">
        <f t="shared" si="1069"/>
        <v>0</v>
      </c>
      <c r="L1629" s="615" t="s">
        <v>783</v>
      </c>
      <c r="M1629" s="92"/>
      <c r="N1629" s="92"/>
      <c r="O1629" s="93">
        <f t="shared" si="1076"/>
        <v>0</v>
      </c>
      <c r="P1629" s="93">
        <f t="shared" si="1071"/>
        <v>0</v>
      </c>
      <c r="Q1629" s="94"/>
      <c r="R1629" s="92">
        <f t="shared" si="1072"/>
        <v>0</v>
      </c>
      <c r="S1629" s="92">
        <f t="shared" si="1073"/>
        <v>0</v>
      </c>
      <c r="T1629" s="93">
        <f t="shared" si="1074"/>
        <v>0</v>
      </c>
      <c r="U1629" s="95">
        <f t="shared" si="1075"/>
        <v>0</v>
      </c>
      <c r="V1629" s="94"/>
      <c r="X1629" s="580" t="str">
        <f t="shared" ref="X1629:X1696" si="1077">IF(W1629="X","x",IF(W1629="xx","x",IF(W1629="xy","x",IF(W1629="y","x",IF(OR(P1629&gt;0,U1629&gt;0),"x","")))))</f>
        <v/>
      </c>
      <c r="Y1629" s="580" t="str">
        <f t="shared" si="811"/>
        <v/>
      </c>
      <c r="Z1629" s="580" t="str">
        <f t="shared" si="862"/>
        <v/>
      </c>
    </row>
    <row r="1630" spans="1:26" ht="13.5" hidden="1" thickBot="1" x14ac:dyDescent="0.25">
      <c r="A1630" s="602" t="s">
        <v>187</v>
      </c>
      <c r="B1630" s="1015" t="s">
        <v>187</v>
      </c>
      <c r="C1630" s="1016" t="s">
        <v>187</v>
      </c>
      <c r="D1630" s="616"/>
      <c r="E1630" s="609"/>
      <c r="F1630" s="677"/>
      <c r="G1630" s="610"/>
      <c r="H1630" s="611"/>
      <c r="I1630" s="612"/>
      <c r="J1630" s="613"/>
      <c r="K1630" s="617">
        <f t="shared" si="1069"/>
        <v>0</v>
      </c>
      <c r="L1630" s="615" t="s">
        <v>783</v>
      </c>
      <c r="M1630" s="92"/>
      <c r="N1630" s="92"/>
      <c r="O1630" s="93">
        <f t="shared" si="1076"/>
        <v>0</v>
      </c>
      <c r="P1630" s="93">
        <f t="shared" si="1071"/>
        <v>0</v>
      </c>
      <c r="Q1630" s="94"/>
      <c r="R1630" s="92">
        <f t="shared" si="1072"/>
        <v>0</v>
      </c>
      <c r="S1630" s="92">
        <f t="shared" si="1073"/>
        <v>0</v>
      </c>
      <c r="T1630" s="93">
        <f t="shared" si="1074"/>
        <v>0</v>
      </c>
      <c r="U1630" s="95">
        <f t="shared" si="1075"/>
        <v>0</v>
      </c>
      <c r="V1630" s="94"/>
      <c r="X1630" s="580" t="str">
        <f t="shared" si="1077"/>
        <v/>
      </c>
      <c r="Y1630" s="580" t="str">
        <f t="shared" si="811"/>
        <v/>
      </c>
      <c r="Z1630" s="580" t="str">
        <f t="shared" si="862"/>
        <v/>
      </c>
    </row>
    <row r="1631" spans="1:26" ht="13.5" hidden="1" thickBot="1" x14ac:dyDescent="0.25">
      <c r="A1631" s="602" t="s">
        <v>187</v>
      </c>
      <c r="B1631" s="1015" t="s">
        <v>187</v>
      </c>
      <c r="C1631" s="1016" t="s">
        <v>187</v>
      </c>
      <c r="D1631" s="616"/>
      <c r="E1631" s="609"/>
      <c r="F1631" s="677"/>
      <c r="G1631" s="610"/>
      <c r="H1631" s="611"/>
      <c r="I1631" s="612"/>
      <c r="J1631" s="613"/>
      <c r="K1631" s="617">
        <f t="shared" si="1069"/>
        <v>0</v>
      </c>
      <c r="L1631" s="615" t="s">
        <v>783</v>
      </c>
      <c r="M1631" s="92"/>
      <c r="N1631" s="92"/>
      <c r="O1631" s="93">
        <f t="shared" si="1076"/>
        <v>0</v>
      </c>
      <c r="P1631" s="93">
        <f t="shared" si="1071"/>
        <v>0</v>
      </c>
      <c r="Q1631" s="94"/>
      <c r="R1631" s="92">
        <f t="shared" si="1072"/>
        <v>0</v>
      </c>
      <c r="S1631" s="92">
        <f t="shared" si="1073"/>
        <v>0</v>
      </c>
      <c r="T1631" s="93">
        <f t="shared" si="1074"/>
        <v>0</v>
      </c>
      <c r="U1631" s="95">
        <f t="shared" si="1075"/>
        <v>0</v>
      </c>
      <c r="V1631" s="94"/>
      <c r="X1631" s="580" t="str">
        <f t="shared" si="1077"/>
        <v/>
      </c>
      <c r="Y1631" s="580" t="str">
        <f t="shared" si="811"/>
        <v/>
      </c>
      <c r="Z1631" s="580" t="str">
        <f t="shared" si="862"/>
        <v/>
      </c>
    </row>
    <row r="1632" spans="1:26" ht="13.5" hidden="1" thickBot="1" x14ac:dyDescent="0.25">
      <c r="A1632" s="602" t="s">
        <v>187</v>
      </c>
      <c r="B1632" s="1015" t="s">
        <v>187</v>
      </c>
      <c r="C1632" s="1016" t="s">
        <v>187</v>
      </c>
      <c r="D1632" s="616"/>
      <c r="E1632" s="609"/>
      <c r="F1632" s="677"/>
      <c r="G1632" s="610"/>
      <c r="H1632" s="611"/>
      <c r="I1632" s="612"/>
      <c r="J1632" s="613"/>
      <c r="K1632" s="617">
        <f t="shared" si="1069"/>
        <v>0</v>
      </c>
      <c r="L1632" s="615" t="s">
        <v>783</v>
      </c>
      <c r="M1632" s="92"/>
      <c r="N1632" s="92"/>
      <c r="O1632" s="93">
        <f t="shared" si="1076"/>
        <v>0</v>
      </c>
      <c r="P1632" s="93">
        <f t="shared" si="1071"/>
        <v>0</v>
      </c>
      <c r="Q1632" s="94"/>
      <c r="R1632" s="92">
        <f t="shared" si="1072"/>
        <v>0</v>
      </c>
      <c r="S1632" s="92">
        <f t="shared" si="1073"/>
        <v>0</v>
      </c>
      <c r="T1632" s="93">
        <f t="shared" si="1074"/>
        <v>0</v>
      </c>
      <c r="U1632" s="95">
        <f t="shared" si="1075"/>
        <v>0</v>
      </c>
      <c r="V1632" s="94"/>
      <c r="X1632" s="580" t="str">
        <f t="shared" si="1077"/>
        <v/>
      </c>
      <c r="Y1632" s="580" t="str">
        <f t="shared" si="811"/>
        <v/>
      </c>
      <c r="Z1632" s="580" t="str">
        <f t="shared" si="862"/>
        <v/>
      </c>
    </row>
    <row r="1633" spans="1:26" ht="13.5" hidden="1" thickBot="1" x14ac:dyDescent="0.25">
      <c r="A1633" s="602" t="s">
        <v>187</v>
      </c>
      <c r="B1633" s="1015" t="s">
        <v>187</v>
      </c>
      <c r="C1633" s="1016" t="s">
        <v>187</v>
      </c>
      <c r="D1633" s="616"/>
      <c r="E1633" s="609"/>
      <c r="F1633" s="677"/>
      <c r="G1633" s="610"/>
      <c r="H1633" s="611"/>
      <c r="I1633" s="612"/>
      <c r="J1633" s="613"/>
      <c r="K1633" s="617">
        <f t="shared" si="1069"/>
        <v>0</v>
      </c>
      <c r="L1633" s="615" t="s">
        <v>783</v>
      </c>
      <c r="M1633" s="92"/>
      <c r="N1633" s="92"/>
      <c r="O1633" s="93">
        <f t="shared" si="1076"/>
        <v>0</v>
      </c>
      <c r="P1633" s="93">
        <f t="shared" si="1071"/>
        <v>0</v>
      </c>
      <c r="Q1633" s="94"/>
      <c r="R1633" s="92">
        <f t="shared" si="1072"/>
        <v>0</v>
      </c>
      <c r="S1633" s="92">
        <f t="shared" si="1073"/>
        <v>0</v>
      </c>
      <c r="T1633" s="93">
        <f t="shared" si="1074"/>
        <v>0</v>
      </c>
      <c r="U1633" s="95">
        <f t="shared" si="1075"/>
        <v>0</v>
      </c>
      <c r="V1633" s="94"/>
      <c r="X1633" s="580" t="str">
        <f t="shared" si="1077"/>
        <v/>
      </c>
      <c r="Y1633" s="580" t="str">
        <f t="shared" si="811"/>
        <v/>
      </c>
      <c r="Z1633" s="580" t="str">
        <f t="shared" si="862"/>
        <v/>
      </c>
    </row>
    <row r="1634" spans="1:26" ht="13.5" hidden="1" thickBot="1" x14ac:dyDescent="0.25">
      <c r="A1634" s="602" t="s">
        <v>187</v>
      </c>
      <c r="B1634" s="1015" t="s">
        <v>187</v>
      </c>
      <c r="C1634" s="1016" t="s">
        <v>187</v>
      </c>
      <c r="D1634" s="616"/>
      <c r="E1634" s="609"/>
      <c r="F1634" s="677"/>
      <c r="G1634" s="610"/>
      <c r="H1634" s="611"/>
      <c r="I1634" s="612"/>
      <c r="J1634" s="613"/>
      <c r="K1634" s="617">
        <f t="shared" si="1069"/>
        <v>0</v>
      </c>
      <c r="L1634" s="615" t="s">
        <v>783</v>
      </c>
      <c r="M1634" s="92"/>
      <c r="N1634" s="92"/>
      <c r="O1634" s="93">
        <f t="shared" si="1076"/>
        <v>0</v>
      </c>
      <c r="P1634" s="93">
        <f t="shared" si="1071"/>
        <v>0</v>
      </c>
      <c r="Q1634" s="94"/>
      <c r="R1634" s="92">
        <f t="shared" si="1072"/>
        <v>0</v>
      </c>
      <c r="S1634" s="92">
        <f t="shared" si="1073"/>
        <v>0</v>
      </c>
      <c r="T1634" s="93">
        <f t="shared" si="1074"/>
        <v>0</v>
      </c>
      <c r="U1634" s="95">
        <f t="shared" si="1075"/>
        <v>0</v>
      </c>
      <c r="V1634" s="94"/>
      <c r="X1634" s="580" t="str">
        <f t="shared" si="1077"/>
        <v/>
      </c>
      <c r="Y1634" s="580" t="str">
        <f t="shared" si="811"/>
        <v/>
      </c>
      <c r="Z1634" s="580" t="str">
        <f t="shared" si="862"/>
        <v/>
      </c>
    </row>
    <row r="1635" spans="1:26" ht="13.5" hidden="1" thickBot="1" x14ac:dyDescent="0.25">
      <c r="A1635" s="602" t="s">
        <v>187</v>
      </c>
      <c r="B1635" s="1015" t="s">
        <v>187</v>
      </c>
      <c r="C1635" s="1016" t="s">
        <v>187</v>
      </c>
      <c r="D1635" s="616"/>
      <c r="E1635" s="609"/>
      <c r="F1635" s="677"/>
      <c r="G1635" s="610"/>
      <c r="H1635" s="611"/>
      <c r="I1635" s="612"/>
      <c r="J1635" s="613"/>
      <c r="K1635" s="617">
        <f t="shared" si="1069"/>
        <v>0</v>
      </c>
      <c r="L1635" s="615" t="s">
        <v>783</v>
      </c>
      <c r="M1635" s="92"/>
      <c r="N1635" s="92"/>
      <c r="O1635" s="93">
        <f t="shared" si="1076"/>
        <v>0</v>
      </c>
      <c r="P1635" s="93">
        <f t="shared" si="1071"/>
        <v>0</v>
      </c>
      <c r="Q1635" s="94"/>
      <c r="R1635" s="92">
        <f t="shared" si="1072"/>
        <v>0</v>
      </c>
      <c r="S1635" s="92">
        <f t="shared" si="1073"/>
        <v>0</v>
      </c>
      <c r="T1635" s="93">
        <f t="shared" si="1074"/>
        <v>0</v>
      </c>
      <c r="U1635" s="95">
        <f t="shared" si="1075"/>
        <v>0</v>
      </c>
      <c r="V1635" s="94"/>
      <c r="X1635" s="580" t="str">
        <f t="shared" si="1077"/>
        <v/>
      </c>
      <c r="Y1635" s="580" t="str">
        <f t="shared" si="811"/>
        <v/>
      </c>
      <c r="Z1635" s="580" t="str">
        <f t="shared" si="862"/>
        <v/>
      </c>
    </row>
    <row r="1636" spans="1:26" ht="13.5" hidden="1" thickBot="1" x14ac:dyDescent="0.25">
      <c r="A1636" s="602" t="s">
        <v>187</v>
      </c>
      <c r="B1636" s="1015" t="s">
        <v>187</v>
      </c>
      <c r="C1636" s="1016" t="s">
        <v>187</v>
      </c>
      <c r="D1636" s="616"/>
      <c r="E1636" s="609"/>
      <c r="F1636" s="677"/>
      <c r="G1636" s="610"/>
      <c r="H1636" s="611"/>
      <c r="I1636" s="612"/>
      <c r="J1636" s="613"/>
      <c r="K1636" s="617">
        <f t="shared" si="1069"/>
        <v>0</v>
      </c>
      <c r="L1636" s="615" t="s">
        <v>783</v>
      </c>
      <c r="M1636" s="92"/>
      <c r="N1636" s="92"/>
      <c r="O1636" s="93">
        <f t="shared" si="1076"/>
        <v>0</v>
      </c>
      <c r="P1636" s="93">
        <f t="shared" si="1071"/>
        <v>0</v>
      </c>
      <c r="Q1636" s="94"/>
      <c r="R1636" s="92">
        <f t="shared" si="1072"/>
        <v>0</v>
      </c>
      <c r="S1636" s="92">
        <f t="shared" si="1073"/>
        <v>0</v>
      </c>
      <c r="T1636" s="93">
        <f t="shared" si="1074"/>
        <v>0</v>
      </c>
      <c r="U1636" s="95">
        <f t="shared" si="1075"/>
        <v>0</v>
      </c>
      <c r="V1636" s="94"/>
      <c r="X1636" s="580" t="str">
        <f t="shared" si="1077"/>
        <v/>
      </c>
      <c r="Y1636" s="580" t="str">
        <f t="shared" si="811"/>
        <v/>
      </c>
      <c r="Z1636" s="580" t="str">
        <f t="shared" si="862"/>
        <v/>
      </c>
    </row>
    <row r="1637" spans="1:26" ht="13.5" hidden="1" thickBot="1" x14ac:dyDescent="0.25">
      <c r="A1637" s="602" t="s">
        <v>187</v>
      </c>
      <c r="B1637" s="1015" t="s">
        <v>187</v>
      </c>
      <c r="C1637" s="1016" t="s">
        <v>187</v>
      </c>
      <c r="D1637" s="616"/>
      <c r="E1637" s="609"/>
      <c r="F1637" s="677"/>
      <c r="G1637" s="610"/>
      <c r="H1637" s="611"/>
      <c r="I1637" s="612"/>
      <c r="J1637" s="613"/>
      <c r="K1637" s="617">
        <f t="shared" si="1069"/>
        <v>0</v>
      </c>
      <c r="L1637" s="615" t="s">
        <v>783</v>
      </c>
      <c r="M1637" s="92"/>
      <c r="N1637" s="92"/>
      <c r="O1637" s="93">
        <f t="shared" si="1076"/>
        <v>0</v>
      </c>
      <c r="P1637" s="93">
        <f t="shared" si="1071"/>
        <v>0</v>
      </c>
      <c r="Q1637" s="94"/>
      <c r="R1637" s="92">
        <f t="shared" si="1072"/>
        <v>0</v>
      </c>
      <c r="S1637" s="92">
        <f t="shared" si="1073"/>
        <v>0</v>
      </c>
      <c r="T1637" s="93">
        <f t="shared" si="1074"/>
        <v>0</v>
      </c>
      <c r="U1637" s="95">
        <f t="shared" si="1075"/>
        <v>0</v>
      </c>
      <c r="V1637" s="94"/>
      <c r="X1637" s="580" t="str">
        <f t="shared" si="1077"/>
        <v/>
      </c>
      <c r="Y1637" s="580" t="str">
        <f t="shared" si="811"/>
        <v/>
      </c>
      <c r="Z1637" s="580" t="str">
        <f t="shared" si="862"/>
        <v/>
      </c>
    </row>
    <row r="1638" spans="1:26" ht="13.5" hidden="1" thickBot="1" x14ac:dyDescent="0.25">
      <c r="A1638" s="602" t="s">
        <v>187</v>
      </c>
      <c r="B1638" s="1017" t="s">
        <v>187</v>
      </c>
      <c r="C1638" s="1018" t="s">
        <v>187</v>
      </c>
      <c r="D1638" s="619"/>
      <c r="E1638" s="620"/>
      <c r="F1638" s="678"/>
      <c r="G1638" s="621"/>
      <c r="H1638" s="622"/>
      <c r="I1638" s="623"/>
      <c r="J1638" s="624"/>
      <c r="K1638" s="625">
        <f t="shared" si="1069"/>
        <v>0</v>
      </c>
      <c r="L1638" s="626" t="s">
        <v>783</v>
      </c>
      <c r="M1638" s="92"/>
      <c r="N1638" s="92"/>
      <c r="O1638" s="627">
        <f t="shared" si="1076"/>
        <v>0</v>
      </c>
      <c r="P1638" s="627">
        <f t="shared" si="1071"/>
        <v>0</v>
      </c>
      <c r="Q1638" s="94"/>
      <c r="R1638" s="92">
        <f t="shared" si="1072"/>
        <v>0</v>
      </c>
      <c r="S1638" s="92">
        <f t="shared" si="1073"/>
        <v>0</v>
      </c>
      <c r="T1638" s="627">
        <f t="shared" si="1074"/>
        <v>0</v>
      </c>
      <c r="U1638" s="628">
        <f t="shared" si="1075"/>
        <v>0</v>
      </c>
      <c r="V1638" s="94"/>
      <c r="X1638" s="580" t="str">
        <f t="shared" si="1077"/>
        <v/>
      </c>
      <c r="Y1638" s="580" t="str">
        <f t="shared" si="811"/>
        <v/>
      </c>
      <c r="Z1638" s="580" t="str">
        <f t="shared" si="862"/>
        <v/>
      </c>
    </row>
    <row r="1639" spans="1:26" ht="13.5" hidden="1" thickBot="1" x14ac:dyDescent="0.25">
      <c r="A1639" s="97" t="s">
        <v>509</v>
      </c>
      <c r="B1639" s="1024" t="s">
        <v>507</v>
      </c>
      <c r="C1639" s="1025"/>
      <c r="D1639" s="629" t="s">
        <v>508</v>
      </c>
      <c r="E1639" s="573"/>
      <c r="F1639" s="679"/>
      <c r="G1639" s="574"/>
      <c r="H1639" s="77"/>
      <c r="I1639" s="576"/>
      <c r="J1639" s="576"/>
      <c r="K1639" s="576"/>
      <c r="L1639" s="576" t="s">
        <v>783</v>
      </c>
      <c r="M1639" s="575"/>
      <c r="N1639" s="576"/>
      <c r="O1639" s="576"/>
      <c r="P1639" s="577"/>
      <c r="Q1639" s="578">
        <f>SUM(P1640:P1733)</f>
        <v>0</v>
      </c>
      <c r="R1639" s="575"/>
      <c r="S1639" s="576"/>
      <c r="T1639" s="576"/>
      <c r="U1639" s="577"/>
      <c r="V1639" s="578">
        <f>SUM(U1640:U1733)</f>
        <v>0</v>
      </c>
      <c r="W1639" s="579" t="str">
        <f>IF(OR(Q1639&gt;0,V1639&gt;0),"X","")</f>
        <v/>
      </c>
      <c r="X1639" s="580" t="str">
        <f t="shared" si="1077"/>
        <v/>
      </c>
      <c r="Y1639" s="580" t="str">
        <f t="shared" si="811"/>
        <v/>
      </c>
      <c r="Z1639" s="580" t="str">
        <f t="shared" si="862"/>
        <v/>
      </c>
    </row>
    <row r="1640" spans="1:26" ht="13.5" hidden="1" thickBot="1" x14ac:dyDescent="0.25">
      <c r="A1640" s="1008">
        <v>850000</v>
      </c>
      <c r="B1640" s="1010">
        <v>850000</v>
      </c>
      <c r="C1640" s="978" t="s">
        <v>212</v>
      </c>
      <c r="D1640" s="595" t="s">
        <v>309</v>
      </c>
      <c r="E1640" s="596"/>
      <c r="F1640" s="601">
        <v>20</v>
      </c>
      <c r="G1640" s="597">
        <v>1.73</v>
      </c>
      <c r="H1640" s="682">
        <f>IF(F1640=0,0,IF(F1640&lt;=30,(0.7*F1640+1.45)*G1640,((0.7*30+1.45)+0.58*(F1640-30))*G1640))</f>
        <v>26.728499999999997</v>
      </c>
      <c r="I1640" s="592">
        <v>5952.2999999999993</v>
      </c>
      <c r="J1640" s="592">
        <f t="shared" ref="J1640:J1645" si="1078">IF(ISBLANK(I1640),"",SUM(H1640:I1640))</f>
        <v>5979.0284999999994</v>
      </c>
      <c r="K1640" s="593">
        <f t="shared" ref="K1640:K1677" si="1079">IF(ISBLANK(I1640),0,ROUND(J1640*(1+$F$10)*(1+$F$11*E1640),2))</f>
        <v>7277.08</v>
      </c>
      <c r="L1640" s="594" t="s">
        <v>21</v>
      </c>
      <c r="M1640" s="92"/>
      <c r="N1640" s="92"/>
      <c r="O1640" s="93">
        <f t="shared" ref="O1640:O1655" si="1080">IF(ISBLANK(M1640),0,ROUND(K1640*M1640,2))</f>
        <v>0</v>
      </c>
      <c r="P1640" s="93">
        <f t="shared" ref="P1640:P1655" si="1081">IF(ISBLANK(N1640),0,ROUND(M1640*N1640,2))</f>
        <v>0</v>
      </c>
      <c r="Q1640" s="94"/>
      <c r="R1640" s="92">
        <f t="shared" ref="R1640:R1655" si="1082">M1640</f>
        <v>0</v>
      </c>
      <c r="S1640" s="92">
        <f t="shared" ref="S1640:S1655" si="1083">N1640</f>
        <v>0</v>
      </c>
      <c r="T1640" s="93">
        <f t="shared" ref="T1640:T1655" si="1084">IF(ISBLANK(R1640),0,ROUND(K1640*R1640,2))</f>
        <v>0</v>
      </c>
      <c r="U1640" s="95">
        <f t="shared" ref="U1640:U1655" si="1085">IF(ISBLANK(R1640),0,ROUND(R1640*S1640,2))</f>
        <v>0</v>
      </c>
      <c r="V1640" s="94"/>
      <c r="X1640" s="580" t="str">
        <f t="shared" si="1077"/>
        <v/>
      </c>
      <c r="Y1640" s="580" t="str">
        <f t="shared" si="811"/>
        <v/>
      </c>
      <c r="Z1640" s="580" t="str">
        <f t="shared" si="862"/>
        <v/>
      </c>
    </row>
    <row r="1641" spans="1:26" ht="13.5" hidden="1" thickBot="1" x14ac:dyDescent="0.25">
      <c r="A1641" s="1008">
        <v>603000</v>
      </c>
      <c r="B1641" s="1010" t="s">
        <v>2138</v>
      </c>
      <c r="C1641" s="978" t="s">
        <v>212</v>
      </c>
      <c r="D1641" s="595" t="s">
        <v>291</v>
      </c>
      <c r="E1641" s="596"/>
      <c r="F1641" s="671"/>
      <c r="G1641" s="597"/>
      <c r="H1641" s="682">
        <f>IF(F1641&lt;=30,(0.51*F1641+4.28)*G1641,((0.51*30+4.28)+0.42*(F1641-30))*G1641)</f>
        <v>0</v>
      </c>
      <c r="I1641" s="592">
        <v>18.079999999999998</v>
      </c>
      <c r="J1641" s="592">
        <f t="shared" si="1078"/>
        <v>18.079999999999998</v>
      </c>
      <c r="K1641" s="593">
        <f t="shared" si="1079"/>
        <v>22.01</v>
      </c>
      <c r="L1641" s="594" t="s">
        <v>23</v>
      </c>
      <c r="M1641" s="92"/>
      <c r="N1641" s="92"/>
      <c r="O1641" s="93">
        <f t="shared" si="1080"/>
        <v>0</v>
      </c>
      <c r="P1641" s="93">
        <f t="shared" si="1081"/>
        <v>0</v>
      </c>
      <c r="Q1641" s="94"/>
      <c r="R1641" s="92">
        <f t="shared" si="1082"/>
        <v>0</v>
      </c>
      <c r="S1641" s="92">
        <f t="shared" si="1083"/>
        <v>0</v>
      </c>
      <c r="T1641" s="93">
        <f t="shared" si="1084"/>
        <v>0</v>
      </c>
      <c r="U1641" s="95">
        <f t="shared" si="1085"/>
        <v>0</v>
      </c>
      <c r="V1641" s="94"/>
      <c r="X1641" s="580" t="str">
        <f t="shared" si="1077"/>
        <v/>
      </c>
      <c r="Y1641" s="580" t="str">
        <f t="shared" si="811"/>
        <v/>
      </c>
      <c r="Z1641" s="580" t="str">
        <f t="shared" si="862"/>
        <v/>
      </c>
    </row>
    <row r="1642" spans="1:26" ht="13.5" hidden="1" thickBot="1" x14ac:dyDescent="0.25">
      <c r="A1642" s="1008">
        <v>603300</v>
      </c>
      <c r="B1642" s="1010" t="s">
        <v>2141</v>
      </c>
      <c r="C1642" s="978" t="s">
        <v>212</v>
      </c>
      <c r="D1642" s="595" t="s">
        <v>292</v>
      </c>
      <c r="E1642" s="596"/>
      <c r="F1642" s="671"/>
      <c r="G1642" s="597"/>
      <c r="H1642" s="682">
        <f>IF(F1642=0,0,IF(F1642&lt;=30,(0.7*F1642+1.45)*G1642,((0.7*30+1.45)+0.58*(F1642-30))*G1642))</f>
        <v>0</v>
      </c>
      <c r="I1642" s="592">
        <v>19.34</v>
      </c>
      <c r="J1642" s="592">
        <f t="shared" si="1078"/>
        <v>19.34</v>
      </c>
      <c r="K1642" s="593">
        <f t="shared" si="1079"/>
        <v>23.54</v>
      </c>
      <c r="L1642" s="594" t="s">
        <v>23</v>
      </c>
      <c r="M1642" s="92"/>
      <c r="N1642" s="92"/>
      <c r="O1642" s="93">
        <f t="shared" si="1080"/>
        <v>0</v>
      </c>
      <c r="P1642" s="93">
        <f t="shared" si="1081"/>
        <v>0</v>
      </c>
      <c r="Q1642" s="94"/>
      <c r="R1642" s="92">
        <f t="shared" si="1082"/>
        <v>0</v>
      </c>
      <c r="S1642" s="92">
        <f t="shared" si="1083"/>
        <v>0</v>
      </c>
      <c r="T1642" s="93">
        <f t="shared" si="1084"/>
        <v>0</v>
      </c>
      <c r="U1642" s="95">
        <f t="shared" si="1085"/>
        <v>0</v>
      </c>
      <c r="V1642" s="94"/>
      <c r="X1642" s="580" t="str">
        <f t="shared" si="1077"/>
        <v/>
      </c>
      <c r="Y1642" s="580" t="str">
        <f t="shared" si="811"/>
        <v/>
      </c>
      <c r="Z1642" s="580" t="str">
        <f t="shared" si="862"/>
        <v/>
      </c>
    </row>
    <row r="1643" spans="1:26" ht="13.5" hidden="1" thickBot="1" x14ac:dyDescent="0.25">
      <c r="A1643" s="1008">
        <v>601100</v>
      </c>
      <c r="B1643" s="1010" t="s">
        <v>2133</v>
      </c>
      <c r="C1643" s="978" t="s">
        <v>212</v>
      </c>
      <c r="D1643" s="595" t="s">
        <v>354</v>
      </c>
      <c r="E1643" s="596"/>
      <c r="F1643" s="671"/>
      <c r="G1643" s="597"/>
      <c r="H1643" s="682"/>
      <c r="I1643" s="592">
        <v>45.66</v>
      </c>
      <c r="J1643" s="592">
        <f t="shared" si="1078"/>
        <v>45.66</v>
      </c>
      <c r="K1643" s="593">
        <f t="shared" si="1079"/>
        <v>55.57</v>
      </c>
      <c r="L1643" s="594" t="s">
        <v>16</v>
      </c>
      <c r="M1643" s="92"/>
      <c r="N1643" s="92"/>
      <c r="O1643" s="93">
        <f t="shared" si="1080"/>
        <v>0</v>
      </c>
      <c r="P1643" s="93">
        <f t="shared" si="1081"/>
        <v>0</v>
      </c>
      <c r="Q1643" s="94"/>
      <c r="R1643" s="92">
        <f t="shared" si="1082"/>
        <v>0</v>
      </c>
      <c r="S1643" s="92">
        <f t="shared" si="1083"/>
        <v>0</v>
      </c>
      <c r="T1643" s="93">
        <f t="shared" si="1084"/>
        <v>0</v>
      </c>
      <c r="U1643" s="95">
        <f t="shared" si="1085"/>
        <v>0</v>
      </c>
      <c r="V1643" s="94"/>
      <c r="X1643" s="580" t="str">
        <f t="shared" si="1077"/>
        <v/>
      </c>
      <c r="Y1643" s="580" t="str">
        <f t="shared" ref="Y1643:Y1708" si="1086">IF(W1643="X","x",IF(W1643="y","x",IF(W1643="xx","x",IF(U1643&gt;0,"x",""))))</f>
        <v/>
      </c>
      <c r="Z1643" s="580" t="str">
        <f t="shared" si="862"/>
        <v/>
      </c>
    </row>
    <row r="1644" spans="1:26" ht="13.5" hidden="1" thickBot="1" x14ac:dyDescent="0.25">
      <c r="A1644" s="1008">
        <v>520100</v>
      </c>
      <c r="B1644" s="1010" t="s">
        <v>1955</v>
      </c>
      <c r="C1644" s="978" t="s">
        <v>212</v>
      </c>
      <c r="D1644" s="595" t="s">
        <v>300</v>
      </c>
      <c r="E1644" s="596"/>
      <c r="F1644" s="601">
        <v>0.5</v>
      </c>
      <c r="G1644" s="591">
        <f>1.5*1.4</f>
        <v>2.0999999999999996</v>
      </c>
      <c r="H1644" s="661">
        <f t="shared" ref="H1644" si="1087">IF(F1644&lt;=30,(0.7*F1644+1.45)*G1644,((0.7*30+1.45)+0.58*(F1644-30))*G1644)</f>
        <v>3.7799999999999989</v>
      </c>
      <c r="I1644" s="630">
        <v>8.8219999999999992</v>
      </c>
      <c r="J1644" s="592">
        <f t="shared" si="1078"/>
        <v>12.601999999999999</v>
      </c>
      <c r="K1644" s="593">
        <f t="shared" si="1079"/>
        <v>15.34</v>
      </c>
      <c r="L1644" s="594" t="s">
        <v>16</v>
      </c>
      <c r="M1644" s="92"/>
      <c r="N1644" s="92"/>
      <c r="O1644" s="93">
        <f t="shared" si="1080"/>
        <v>0</v>
      </c>
      <c r="P1644" s="93">
        <f t="shared" si="1081"/>
        <v>0</v>
      </c>
      <c r="Q1644" s="94"/>
      <c r="R1644" s="92">
        <f t="shared" si="1082"/>
        <v>0</v>
      </c>
      <c r="S1644" s="92">
        <f t="shared" si="1083"/>
        <v>0</v>
      </c>
      <c r="T1644" s="93">
        <f t="shared" si="1084"/>
        <v>0</v>
      </c>
      <c r="U1644" s="95">
        <f t="shared" si="1085"/>
        <v>0</v>
      </c>
      <c r="V1644" s="94"/>
      <c r="X1644" s="580" t="str">
        <f t="shared" si="1077"/>
        <v/>
      </c>
      <c r="Y1644" s="580" t="str">
        <f t="shared" si="1086"/>
        <v/>
      </c>
      <c r="Z1644" s="580" t="str">
        <f t="shared" si="862"/>
        <v/>
      </c>
    </row>
    <row r="1645" spans="1:26" ht="13.5" hidden="1" thickBot="1" x14ac:dyDescent="0.25">
      <c r="A1645" s="1008">
        <v>520100</v>
      </c>
      <c r="B1645" s="1010" t="s">
        <v>1956</v>
      </c>
      <c r="C1645" s="978" t="s">
        <v>212</v>
      </c>
      <c r="D1645" s="595" t="s">
        <v>301</v>
      </c>
      <c r="E1645" s="596"/>
      <c r="F1645" s="601">
        <v>15</v>
      </c>
      <c r="G1645" s="591">
        <f>1.5*1.4</f>
        <v>2.0999999999999996</v>
      </c>
      <c r="H1645" s="682">
        <f t="shared" ref="H1645:H1647" si="1088">IF(F1645=0,0,IF(F1645&lt;=30,(0.7*F1645+1.45)*G1645,((0.7*30+1.45)+0.58*(F1645-30))*G1645))</f>
        <v>25.094999999999995</v>
      </c>
      <c r="I1645" s="630">
        <v>8.8219999999999992</v>
      </c>
      <c r="J1645" s="592">
        <f t="shared" si="1078"/>
        <v>33.916999999999994</v>
      </c>
      <c r="K1645" s="593">
        <f t="shared" si="1079"/>
        <v>41.28</v>
      </c>
      <c r="L1645" s="594" t="s">
        <v>16</v>
      </c>
      <c r="M1645" s="92"/>
      <c r="N1645" s="92"/>
      <c r="O1645" s="93">
        <f t="shared" si="1080"/>
        <v>0</v>
      </c>
      <c r="P1645" s="93">
        <f t="shared" si="1081"/>
        <v>0</v>
      </c>
      <c r="Q1645" s="94"/>
      <c r="R1645" s="92">
        <f t="shared" si="1082"/>
        <v>0</v>
      </c>
      <c r="S1645" s="92">
        <f t="shared" si="1083"/>
        <v>0</v>
      </c>
      <c r="T1645" s="93">
        <f t="shared" si="1084"/>
        <v>0</v>
      </c>
      <c r="U1645" s="95">
        <f t="shared" si="1085"/>
        <v>0</v>
      </c>
      <c r="V1645" s="94"/>
      <c r="X1645" s="580" t="str">
        <f t="shared" si="1077"/>
        <v/>
      </c>
      <c r="Y1645" s="580" t="str">
        <f t="shared" si="1086"/>
        <v/>
      </c>
      <c r="Z1645" s="580" t="str">
        <f t="shared" si="862"/>
        <v/>
      </c>
    </row>
    <row r="1646" spans="1:26" ht="13.5" hidden="1" thickBot="1" x14ac:dyDescent="0.25">
      <c r="A1646" s="1008">
        <v>532500</v>
      </c>
      <c r="B1646" s="1010" t="s">
        <v>2066</v>
      </c>
      <c r="C1646" s="978" t="s">
        <v>212</v>
      </c>
      <c r="D1646" s="916" t="s">
        <v>359</v>
      </c>
      <c r="E1646" s="976"/>
      <c r="F1646" s="994">
        <v>20</v>
      </c>
      <c r="G1646" s="918">
        <v>1.7250000000000001</v>
      </c>
      <c r="H1646" s="979">
        <f t="shared" si="1088"/>
        <v>26.651250000000001</v>
      </c>
      <c r="I1646" s="592">
        <v>64.550000000000011</v>
      </c>
      <c r="J1646" s="592">
        <f>IF(ISBLANK(I1646),"",SUM(H1646:I1646))</f>
        <v>91.201250000000016</v>
      </c>
      <c r="K1646" s="593">
        <f t="shared" si="1079"/>
        <v>111</v>
      </c>
      <c r="L1646" s="594" t="s">
        <v>16</v>
      </c>
      <c r="M1646" s="92"/>
      <c r="N1646" s="92"/>
      <c r="O1646" s="93">
        <f t="shared" si="1080"/>
        <v>0</v>
      </c>
      <c r="P1646" s="93">
        <f t="shared" si="1081"/>
        <v>0</v>
      </c>
      <c r="Q1646" s="94"/>
      <c r="R1646" s="92">
        <f t="shared" si="1082"/>
        <v>0</v>
      </c>
      <c r="S1646" s="92">
        <f t="shared" si="1083"/>
        <v>0</v>
      </c>
      <c r="T1646" s="93">
        <f t="shared" si="1084"/>
        <v>0</v>
      </c>
      <c r="U1646" s="95">
        <f t="shared" si="1085"/>
        <v>0</v>
      </c>
      <c r="V1646" s="94"/>
      <c r="X1646" s="580" t="str">
        <f t="shared" si="1077"/>
        <v/>
      </c>
      <c r="Y1646" s="580" t="str">
        <f t="shared" si="1086"/>
        <v/>
      </c>
      <c r="Z1646" s="580" t="str">
        <f t="shared" si="862"/>
        <v/>
      </c>
    </row>
    <row r="1647" spans="1:26" ht="13.5" hidden="1" thickBot="1" x14ac:dyDescent="0.25">
      <c r="A1647" s="1008">
        <v>603900</v>
      </c>
      <c r="B1647" s="1010" t="s">
        <v>2071</v>
      </c>
      <c r="C1647" s="978" t="s">
        <v>212</v>
      </c>
      <c r="D1647" s="916" t="s">
        <v>360</v>
      </c>
      <c r="E1647" s="976"/>
      <c r="F1647" s="994">
        <v>20</v>
      </c>
      <c r="G1647" s="918">
        <v>1.5</v>
      </c>
      <c r="H1647" s="979">
        <f t="shared" si="1088"/>
        <v>23.174999999999997</v>
      </c>
      <c r="I1647" s="592">
        <v>107.99000000000001</v>
      </c>
      <c r="J1647" s="592">
        <f>IF(ISBLANK(I1647),"",SUM(H1647:I1647))</f>
        <v>131.16500000000002</v>
      </c>
      <c r="K1647" s="593">
        <f t="shared" si="1079"/>
        <v>159.63999999999999</v>
      </c>
      <c r="L1647" s="594" t="s">
        <v>16</v>
      </c>
      <c r="M1647" s="92"/>
      <c r="N1647" s="92"/>
      <c r="O1647" s="93">
        <f t="shared" si="1080"/>
        <v>0</v>
      </c>
      <c r="P1647" s="93">
        <f t="shared" si="1081"/>
        <v>0</v>
      </c>
      <c r="Q1647" s="94"/>
      <c r="R1647" s="92">
        <f t="shared" si="1082"/>
        <v>0</v>
      </c>
      <c r="S1647" s="92">
        <f t="shared" si="1083"/>
        <v>0</v>
      </c>
      <c r="T1647" s="93">
        <f t="shared" si="1084"/>
        <v>0</v>
      </c>
      <c r="U1647" s="95">
        <f t="shared" si="1085"/>
        <v>0</v>
      </c>
      <c r="V1647" s="94"/>
      <c r="X1647" s="580" t="str">
        <f t="shared" si="1077"/>
        <v/>
      </c>
      <c r="Y1647" s="580" t="str">
        <f t="shared" si="1086"/>
        <v/>
      </c>
      <c r="Z1647" s="580" t="str">
        <f t="shared" si="862"/>
        <v/>
      </c>
    </row>
    <row r="1648" spans="1:26" ht="13.5" hidden="1" thickBot="1" x14ac:dyDescent="0.25">
      <c r="A1648" s="1008">
        <v>605000</v>
      </c>
      <c r="B1648" s="1010" t="s">
        <v>2149</v>
      </c>
      <c r="C1648" s="978" t="s">
        <v>212</v>
      </c>
      <c r="D1648" s="909" t="s">
        <v>288</v>
      </c>
      <c r="E1648" s="976"/>
      <c r="F1648" s="994"/>
      <c r="G1648" s="918"/>
      <c r="H1648" s="979">
        <f>SUM(H1649:H1651)</f>
        <v>172.22290000000001</v>
      </c>
      <c r="I1648" s="592">
        <v>340.38</v>
      </c>
      <c r="J1648" s="592">
        <f t="shared" ref="J1648" si="1089">IF(ISBLANK(I1648),"",SUM(H1648:I1648))</f>
        <v>512.60289999999998</v>
      </c>
      <c r="K1648" s="593">
        <f t="shared" si="1079"/>
        <v>623.89</v>
      </c>
      <c r="L1648" s="594" t="s">
        <v>16</v>
      </c>
      <c r="M1648" s="92"/>
      <c r="N1648" s="92"/>
      <c r="O1648" s="93">
        <f t="shared" si="1080"/>
        <v>0</v>
      </c>
      <c r="P1648" s="93">
        <f t="shared" si="1081"/>
        <v>0</v>
      </c>
      <c r="Q1648" s="94"/>
      <c r="R1648" s="92">
        <f t="shared" si="1082"/>
        <v>0</v>
      </c>
      <c r="S1648" s="92">
        <f t="shared" si="1083"/>
        <v>0</v>
      </c>
      <c r="T1648" s="93">
        <f t="shared" si="1084"/>
        <v>0</v>
      </c>
      <c r="U1648" s="95">
        <f t="shared" si="1085"/>
        <v>0</v>
      </c>
      <c r="V1648" s="94"/>
      <c r="X1648" s="580" t="str">
        <f t="shared" si="1077"/>
        <v/>
      </c>
      <c r="Y1648" s="580" t="str">
        <f t="shared" si="1086"/>
        <v/>
      </c>
      <c r="Z1648" s="580" t="str">
        <f t="shared" si="862"/>
        <v/>
      </c>
    </row>
    <row r="1649" spans="1:26" ht="13.5" hidden="1" thickBot="1" x14ac:dyDescent="0.25">
      <c r="A1649" s="479" t="s">
        <v>165</v>
      </c>
      <c r="B1649" s="1028" t="s">
        <v>165</v>
      </c>
      <c r="C1649" s="975"/>
      <c r="D1649" s="989" t="s">
        <v>218</v>
      </c>
      <c r="E1649" s="1029"/>
      <c r="F1649" s="994">
        <v>500</v>
      </c>
      <c r="G1649" s="997">
        <v>0.18</v>
      </c>
      <c r="H1649" s="979">
        <f>IF(F1649&lt;=30,(0.51*F1649+4.28)*G1649,((0.51*30+4.28)+0.42*(F1649-30))*G1649)</f>
        <v>39.056400000000004</v>
      </c>
      <c r="I1649" s="592">
        <v>0</v>
      </c>
      <c r="J1649" s="592"/>
      <c r="K1649" s="593">
        <f t="shared" si="1079"/>
        <v>0</v>
      </c>
      <c r="L1649" s="670" t="s">
        <v>783</v>
      </c>
      <c r="M1649" s="632"/>
      <c r="N1649" s="633"/>
      <c r="O1649" s="93">
        <f t="shared" si="1080"/>
        <v>0</v>
      </c>
      <c r="P1649" s="93">
        <f t="shared" si="1081"/>
        <v>0</v>
      </c>
      <c r="Q1649" s="94"/>
      <c r="R1649" s="632">
        <f t="shared" si="1082"/>
        <v>0</v>
      </c>
      <c r="S1649" s="633">
        <f t="shared" si="1083"/>
        <v>0</v>
      </c>
      <c r="T1649" s="93">
        <f t="shared" si="1084"/>
        <v>0</v>
      </c>
      <c r="U1649" s="95">
        <f t="shared" si="1085"/>
        <v>0</v>
      </c>
      <c r="V1649" s="94"/>
      <c r="W1649" s="579" t="str">
        <f>IF(U1648&gt;0,"xx",IF(P1648&gt;0,"xy",""))</f>
        <v/>
      </c>
      <c r="X1649" s="580" t="str">
        <f t="shared" si="1077"/>
        <v/>
      </c>
      <c r="Y1649" s="580" t="str">
        <f t="shared" si="1086"/>
        <v/>
      </c>
      <c r="Z1649" s="580" t="str">
        <f t="shared" si="862"/>
        <v/>
      </c>
    </row>
    <row r="1650" spans="1:26" ht="13.5" hidden="1" thickBot="1" x14ac:dyDescent="0.25">
      <c r="A1650" s="479" t="s">
        <v>165</v>
      </c>
      <c r="B1650" s="1028" t="s">
        <v>165</v>
      </c>
      <c r="C1650" s="975"/>
      <c r="D1650" s="989" t="s">
        <v>257</v>
      </c>
      <c r="E1650" s="1029"/>
      <c r="F1650" s="994">
        <v>180</v>
      </c>
      <c r="G1650" s="997">
        <v>1.06</v>
      </c>
      <c r="H1650" s="996">
        <f t="shared" ref="H1650:H1654" si="1090">IF(F1650&lt;=30,(0.7*F1650+1.45)*G1650,((0.7*30+1.45)+0.58*(F1650-30))*G1650)</f>
        <v>116.01700000000001</v>
      </c>
      <c r="I1650" s="592">
        <v>0</v>
      </c>
      <c r="J1650" s="592"/>
      <c r="K1650" s="593">
        <f t="shared" si="1079"/>
        <v>0</v>
      </c>
      <c r="L1650" s="670" t="s">
        <v>783</v>
      </c>
      <c r="M1650" s="632"/>
      <c r="N1650" s="633"/>
      <c r="O1650" s="93">
        <f t="shared" si="1080"/>
        <v>0</v>
      </c>
      <c r="P1650" s="93">
        <f t="shared" si="1081"/>
        <v>0</v>
      </c>
      <c r="Q1650" s="94"/>
      <c r="R1650" s="632">
        <f t="shared" si="1082"/>
        <v>0</v>
      </c>
      <c r="S1650" s="633">
        <f t="shared" si="1083"/>
        <v>0</v>
      </c>
      <c r="T1650" s="93">
        <f t="shared" si="1084"/>
        <v>0</v>
      </c>
      <c r="U1650" s="95">
        <f t="shared" si="1085"/>
        <v>0</v>
      </c>
      <c r="V1650" s="94"/>
      <c r="W1650" s="579" t="str">
        <f>IF(U1648&gt;0,"xx",IF(P1648&gt;0,"xy",""))</f>
        <v/>
      </c>
      <c r="X1650" s="580" t="str">
        <f t="shared" si="1077"/>
        <v/>
      </c>
      <c r="Y1650" s="580" t="str">
        <f t="shared" si="1086"/>
        <v/>
      </c>
      <c r="Z1650" s="580" t="str">
        <f t="shared" si="862"/>
        <v/>
      </c>
    </row>
    <row r="1651" spans="1:26" ht="13.5" hidden="1" thickBot="1" x14ac:dyDescent="0.25">
      <c r="A1651" s="479" t="s">
        <v>165</v>
      </c>
      <c r="B1651" s="1028" t="s">
        <v>165</v>
      </c>
      <c r="C1651" s="975"/>
      <c r="D1651" s="989" t="s">
        <v>261</v>
      </c>
      <c r="E1651" s="1029"/>
      <c r="F1651" s="994">
        <v>20</v>
      </c>
      <c r="G1651" s="997">
        <v>1.1100000000000001</v>
      </c>
      <c r="H1651" s="996">
        <f t="shared" si="1090"/>
        <v>17.1495</v>
      </c>
      <c r="I1651" s="592">
        <v>0</v>
      </c>
      <c r="J1651" s="592"/>
      <c r="K1651" s="593">
        <f t="shared" si="1079"/>
        <v>0</v>
      </c>
      <c r="L1651" s="670" t="s">
        <v>783</v>
      </c>
      <c r="M1651" s="632"/>
      <c r="N1651" s="633"/>
      <c r="O1651" s="93">
        <f t="shared" si="1080"/>
        <v>0</v>
      </c>
      <c r="P1651" s="93">
        <f t="shared" si="1081"/>
        <v>0</v>
      </c>
      <c r="Q1651" s="94"/>
      <c r="R1651" s="632">
        <f t="shared" si="1082"/>
        <v>0</v>
      </c>
      <c r="S1651" s="633">
        <f t="shared" si="1083"/>
        <v>0</v>
      </c>
      <c r="T1651" s="93">
        <f t="shared" si="1084"/>
        <v>0</v>
      </c>
      <c r="U1651" s="95">
        <f t="shared" si="1085"/>
        <v>0</v>
      </c>
      <c r="V1651" s="94"/>
      <c r="W1651" s="579" t="str">
        <f>IF(U1648&gt;0,"xx",IF(P1648&gt;0,"xy",""))</f>
        <v/>
      </c>
      <c r="X1651" s="580" t="str">
        <f t="shared" si="1077"/>
        <v/>
      </c>
      <c r="Y1651" s="580" t="str">
        <f t="shared" si="1086"/>
        <v/>
      </c>
      <c r="Z1651" s="580" t="str">
        <f t="shared" si="862"/>
        <v/>
      </c>
    </row>
    <row r="1652" spans="1:26" ht="13.5" hidden="1" thickBot="1" x14ac:dyDescent="0.25">
      <c r="A1652" s="1008">
        <v>400500</v>
      </c>
      <c r="B1652" s="1010" t="s">
        <v>2068</v>
      </c>
      <c r="C1652" s="978" t="s">
        <v>212</v>
      </c>
      <c r="D1652" s="909" t="s">
        <v>2062</v>
      </c>
      <c r="E1652" s="976"/>
      <c r="F1652" s="994">
        <v>20</v>
      </c>
      <c r="G1652" s="918">
        <v>1.73</v>
      </c>
      <c r="H1652" s="996">
        <f t="shared" si="1090"/>
        <v>26.728499999999997</v>
      </c>
      <c r="I1652" s="592">
        <v>48.71</v>
      </c>
      <c r="J1652" s="592">
        <f t="shared" ref="J1652:J1654" si="1091">IF(ISBLANK(I1652),"",SUM(H1652:I1652))</f>
        <v>75.438500000000005</v>
      </c>
      <c r="K1652" s="593">
        <f t="shared" si="1079"/>
        <v>91.82</v>
      </c>
      <c r="L1652" s="594" t="s">
        <v>16</v>
      </c>
      <c r="M1652" s="92"/>
      <c r="N1652" s="92"/>
      <c r="O1652" s="93">
        <f t="shared" si="1080"/>
        <v>0</v>
      </c>
      <c r="P1652" s="93">
        <f t="shared" si="1081"/>
        <v>0</v>
      </c>
      <c r="Q1652" s="94"/>
      <c r="R1652" s="92">
        <f t="shared" si="1082"/>
        <v>0</v>
      </c>
      <c r="S1652" s="92">
        <f t="shared" si="1083"/>
        <v>0</v>
      </c>
      <c r="T1652" s="93">
        <f t="shared" si="1084"/>
        <v>0</v>
      </c>
      <c r="U1652" s="95">
        <f t="shared" si="1085"/>
        <v>0</v>
      </c>
      <c r="V1652" s="94"/>
      <c r="X1652" s="580" t="str">
        <f t="shared" si="1077"/>
        <v/>
      </c>
      <c r="Y1652" s="580" t="str">
        <f t="shared" si="1086"/>
        <v/>
      </c>
      <c r="Z1652" s="580" t="str">
        <f t="shared" si="862"/>
        <v/>
      </c>
    </row>
    <row r="1653" spans="1:26" ht="13.5" hidden="1" thickBot="1" x14ac:dyDescent="0.25">
      <c r="A1653" s="1008">
        <v>532500</v>
      </c>
      <c r="B1653" s="1010" t="s">
        <v>2069</v>
      </c>
      <c r="C1653" s="978" t="s">
        <v>212</v>
      </c>
      <c r="D1653" s="909" t="s">
        <v>2063</v>
      </c>
      <c r="E1653" s="976"/>
      <c r="F1653" s="994">
        <v>20</v>
      </c>
      <c r="G1653" s="918">
        <v>1.7250000000000001</v>
      </c>
      <c r="H1653" s="996">
        <f t="shared" si="1090"/>
        <v>26.651250000000001</v>
      </c>
      <c r="I1653" s="592">
        <v>64.550000000000011</v>
      </c>
      <c r="J1653" s="592">
        <f t="shared" si="1091"/>
        <v>91.201250000000016</v>
      </c>
      <c r="K1653" s="593">
        <f t="shared" si="1079"/>
        <v>111</v>
      </c>
      <c r="L1653" s="594" t="s">
        <v>16</v>
      </c>
      <c r="M1653" s="92"/>
      <c r="N1653" s="92"/>
      <c r="O1653" s="93">
        <f t="shared" si="1080"/>
        <v>0</v>
      </c>
      <c r="P1653" s="93">
        <f t="shared" si="1081"/>
        <v>0</v>
      </c>
      <c r="Q1653" s="94"/>
      <c r="R1653" s="92">
        <f t="shared" si="1082"/>
        <v>0</v>
      </c>
      <c r="S1653" s="92">
        <f t="shared" si="1083"/>
        <v>0</v>
      </c>
      <c r="T1653" s="93">
        <f t="shared" si="1084"/>
        <v>0</v>
      </c>
      <c r="U1653" s="95">
        <f t="shared" si="1085"/>
        <v>0</v>
      </c>
      <c r="V1653" s="94"/>
      <c r="X1653" s="580" t="str">
        <f t="shared" si="1077"/>
        <v/>
      </c>
      <c r="Y1653" s="580" t="str">
        <f t="shared" si="1086"/>
        <v/>
      </c>
      <c r="Z1653" s="580" t="str">
        <f t="shared" si="862"/>
        <v/>
      </c>
    </row>
    <row r="1654" spans="1:26" ht="13.5" hidden="1" thickBot="1" x14ac:dyDescent="0.25">
      <c r="A1654" s="1008">
        <v>532600</v>
      </c>
      <c r="B1654" s="1010" t="s">
        <v>1945</v>
      </c>
      <c r="C1654" s="978" t="s">
        <v>212</v>
      </c>
      <c r="D1654" s="909" t="s">
        <v>2064</v>
      </c>
      <c r="E1654" s="976"/>
      <c r="F1654" s="977">
        <v>15</v>
      </c>
      <c r="G1654" s="918">
        <f>ROUND(1.5*1.5,4)</f>
        <v>2.25</v>
      </c>
      <c r="H1654" s="996">
        <f t="shared" si="1090"/>
        <v>26.887499999999999</v>
      </c>
      <c r="I1654" s="592">
        <v>12.666666666666668</v>
      </c>
      <c r="J1654" s="592">
        <f t="shared" si="1091"/>
        <v>39.554166666666667</v>
      </c>
      <c r="K1654" s="593">
        <f t="shared" si="1079"/>
        <v>48.14</v>
      </c>
      <c r="L1654" s="594" t="s">
        <v>16</v>
      </c>
      <c r="M1654" s="92"/>
      <c r="N1654" s="92"/>
      <c r="O1654" s="93">
        <f t="shared" si="1080"/>
        <v>0</v>
      </c>
      <c r="P1654" s="93">
        <f t="shared" si="1081"/>
        <v>0</v>
      </c>
      <c r="Q1654" s="94"/>
      <c r="R1654" s="92">
        <f t="shared" si="1082"/>
        <v>0</v>
      </c>
      <c r="S1654" s="92">
        <f t="shared" si="1083"/>
        <v>0</v>
      </c>
      <c r="T1654" s="93">
        <f t="shared" si="1084"/>
        <v>0</v>
      </c>
      <c r="U1654" s="95">
        <f t="shared" si="1085"/>
        <v>0</v>
      </c>
      <c r="V1654" s="94"/>
      <c r="X1654" s="580" t="str">
        <f t="shared" si="1077"/>
        <v/>
      </c>
      <c r="Y1654" s="580" t="str">
        <f t="shared" si="1086"/>
        <v/>
      </c>
      <c r="Z1654" s="580" t="str">
        <f t="shared" si="862"/>
        <v/>
      </c>
    </row>
    <row r="1655" spans="1:26" ht="13.5" hidden="1" thickBot="1" x14ac:dyDescent="0.25">
      <c r="A1655" s="1008">
        <v>603900</v>
      </c>
      <c r="B1655" s="1010" t="s">
        <v>2072</v>
      </c>
      <c r="C1655" s="978" t="s">
        <v>212</v>
      </c>
      <c r="D1655" s="909" t="s">
        <v>2065</v>
      </c>
      <c r="E1655" s="976"/>
      <c r="F1655" s="994">
        <v>20</v>
      </c>
      <c r="G1655" s="918">
        <v>1.5</v>
      </c>
      <c r="H1655" s="979">
        <f t="shared" ref="H1655" si="1092">IF(F1655=0,0,IF(F1655&lt;=30,(0.7*F1655+1.45)*G1655,((0.7*30+1.45)+0.58*(F1655-30))*G1655))</f>
        <v>23.174999999999997</v>
      </c>
      <c r="I1655" s="630">
        <v>107.99</v>
      </c>
      <c r="J1655" s="592">
        <f>IF(ISBLANK(I1655),"",SUM(H1655:I1655))</f>
        <v>131.16499999999999</v>
      </c>
      <c r="K1655" s="593">
        <f t="shared" si="1079"/>
        <v>159.63999999999999</v>
      </c>
      <c r="L1655" s="594" t="s">
        <v>16</v>
      </c>
      <c r="M1655" s="92"/>
      <c r="N1655" s="92"/>
      <c r="O1655" s="93">
        <f t="shared" si="1080"/>
        <v>0</v>
      </c>
      <c r="P1655" s="93">
        <f t="shared" si="1081"/>
        <v>0</v>
      </c>
      <c r="Q1655" s="94"/>
      <c r="R1655" s="92">
        <f t="shared" si="1082"/>
        <v>0</v>
      </c>
      <c r="S1655" s="92">
        <f t="shared" si="1083"/>
        <v>0</v>
      </c>
      <c r="T1655" s="93">
        <f t="shared" si="1084"/>
        <v>0</v>
      </c>
      <c r="U1655" s="95">
        <f t="shared" si="1085"/>
        <v>0</v>
      </c>
      <c r="V1655" s="94"/>
      <c r="X1655" s="580" t="str">
        <f t="shared" si="1077"/>
        <v/>
      </c>
      <c r="Y1655" s="580" t="str">
        <f t="shared" si="1086"/>
        <v/>
      </c>
      <c r="Z1655" s="580" t="str">
        <f t="shared" si="862"/>
        <v/>
      </c>
    </row>
    <row r="1656" spans="1:26" ht="13.5" hidden="1" thickBot="1" x14ac:dyDescent="0.25">
      <c r="A1656" s="1008">
        <v>605000</v>
      </c>
      <c r="B1656" s="1010" t="s">
        <v>2150</v>
      </c>
      <c r="C1656" s="978" t="s">
        <v>212</v>
      </c>
      <c r="D1656" s="595" t="s">
        <v>367</v>
      </c>
      <c r="E1656" s="596"/>
      <c r="F1656" s="671"/>
      <c r="G1656" s="597"/>
      <c r="H1656" s="682">
        <f>SUM(H1657:H1659)</f>
        <v>172.22290000000001</v>
      </c>
      <c r="I1656" s="592">
        <v>340.38</v>
      </c>
      <c r="J1656" s="592">
        <f>IF(ISBLANK(I1656),"",SUM(H1656:I1656))</f>
        <v>512.60289999999998</v>
      </c>
      <c r="K1656" s="593">
        <f t="shared" si="1079"/>
        <v>623.89</v>
      </c>
      <c r="L1656" s="594" t="s">
        <v>16</v>
      </c>
      <c r="M1656" s="92"/>
      <c r="N1656" s="92"/>
      <c r="O1656" s="93">
        <f t="shared" ref="O1656:O1675" si="1093">IF(ISBLANK(M1656),0,ROUND(K1656*M1656,2))</f>
        <v>0</v>
      </c>
      <c r="P1656" s="93">
        <f t="shared" ref="P1656:P1675" si="1094">IF(ISBLANK(N1656),0,ROUND(M1656*N1656,2))</f>
        <v>0</v>
      </c>
      <c r="Q1656" s="94"/>
      <c r="R1656" s="92">
        <f t="shared" ref="R1656:R1675" si="1095">M1656</f>
        <v>0</v>
      </c>
      <c r="S1656" s="92">
        <f t="shared" ref="S1656:S1675" si="1096">N1656</f>
        <v>0</v>
      </c>
      <c r="T1656" s="93">
        <f t="shared" ref="T1656:T1675" si="1097">IF(ISBLANK(R1656),0,ROUND(K1656*R1656,2))</f>
        <v>0</v>
      </c>
      <c r="U1656" s="95">
        <f t="shared" ref="U1656:U1675" si="1098">IF(ISBLANK(R1656),0,ROUND(R1656*S1656,2))</f>
        <v>0</v>
      </c>
      <c r="V1656" s="94"/>
      <c r="X1656" s="580" t="str">
        <f t="shared" si="1077"/>
        <v/>
      </c>
      <c r="Y1656" s="580" t="str">
        <f t="shared" si="1086"/>
        <v/>
      </c>
      <c r="Z1656" s="580" t="str">
        <f t="shared" si="862"/>
        <v/>
      </c>
    </row>
    <row r="1657" spans="1:26" ht="13.5" hidden="1" thickBot="1" x14ac:dyDescent="0.25">
      <c r="A1657" s="97" t="s">
        <v>165</v>
      </c>
      <c r="B1657" s="1031" t="s">
        <v>165</v>
      </c>
      <c r="C1657" s="978"/>
      <c r="D1657" s="631" t="s">
        <v>218</v>
      </c>
      <c r="E1657" s="596"/>
      <c r="F1657" s="671">
        <v>500</v>
      </c>
      <c r="G1657" s="597">
        <v>0.18</v>
      </c>
      <c r="H1657" s="682">
        <f>IF(F1657&lt;=30,(0.51*F1657+4.28)*G1657,((0.51*30+4.28)+0.42*(F1657-30))*G1657)</f>
        <v>39.056400000000004</v>
      </c>
      <c r="I1657" s="592">
        <v>0</v>
      </c>
      <c r="J1657" s="592"/>
      <c r="K1657" s="593">
        <f t="shared" si="1079"/>
        <v>0</v>
      </c>
      <c r="L1657" s="670" t="s">
        <v>783</v>
      </c>
      <c r="M1657" s="632"/>
      <c r="N1657" s="633"/>
      <c r="O1657" s="93">
        <f t="shared" si="1093"/>
        <v>0</v>
      </c>
      <c r="P1657" s="93">
        <f t="shared" si="1094"/>
        <v>0</v>
      </c>
      <c r="Q1657" s="94"/>
      <c r="R1657" s="632">
        <f t="shared" si="1095"/>
        <v>0</v>
      </c>
      <c r="S1657" s="633">
        <f t="shared" si="1096"/>
        <v>0</v>
      </c>
      <c r="T1657" s="93">
        <f t="shared" si="1097"/>
        <v>0</v>
      </c>
      <c r="U1657" s="95">
        <f t="shared" si="1098"/>
        <v>0</v>
      </c>
      <c r="V1657" s="94"/>
      <c r="W1657" s="579" t="str">
        <f>IF(U1656&gt;0,"xx",IF(P1656&gt;0,"xy",""))</f>
        <v/>
      </c>
      <c r="X1657" s="580" t="str">
        <f t="shared" si="1077"/>
        <v/>
      </c>
      <c r="Y1657" s="580" t="str">
        <f t="shared" si="1086"/>
        <v/>
      </c>
      <c r="Z1657" s="580" t="str">
        <f t="shared" si="862"/>
        <v/>
      </c>
    </row>
    <row r="1658" spans="1:26" ht="13.5" hidden="1" thickBot="1" x14ac:dyDescent="0.25">
      <c r="A1658" s="97" t="s">
        <v>165</v>
      </c>
      <c r="B1658" s="1031" t="s">
        <v>165</v>
      </c>
      <c r="C1658" s="978"/>
      <c r="D1658" s="631" t="s">
        <v>257</v>
      </c>
      <c r="E1658" s="596"/>
      <c r="F1658" s="671">
        <v>180</v>
      </c>
      <c r="G1658" s="597">
        <v>1.06</v>
      </c>
      <c r="H1658" s="682">
        <f>IF(F1658=0,0,IF(F1658&lt;=30,(0.7*F1658+1.45)*G1658,((0.7*30+1.45)+0.58*(F1658-30))*G1658))</f>
        <v>116.01700000000001</v>
      </c>
      <c r="I1658" s="592">
        <v>0</v>
      </c>
      <c r="J1658" s="592"/>
      <c r="K1658" s="593">
        <f t="shared" si="1079"/>
        <v>0</v>
      </c>
      <c r="L1658" s="670" t="s">
        <v>783</v>
      </c>
      <c r="M1658" s="632"/>
      <c r="N1658" s="633"/>
      <c r="O1658" s="93">
        <f t="shared" si="1093"/>
        <v>0</v>
      </c>
      <c r="P1658" s="93">
        <f t="shared" si="1094"/>
        <v>0</v>
      </c>
      <c r="Q1658" s="94"/>
      <c r="R1658" s="632">
        <f t="shared" si="1095"/>
        <v>0</v>
      </c>
      <c r="S1658" s="633">
        <f t="shared" si="1096"/>
        <v>0</v>
      </c>
      <c r="T1658" s="93">
        <f t="shared" si="1097"/>
        <v>0</v>
      </c>
      <c r="U1658" s="95">
        <f t="shared" si="1098"/>
        <v>0</v>
      </c>
      <c r="V1658" s="94"/>
      <c r="W1658" s="579" t="str">
        <f>IF(U1656&gt;0,"xx",IF(P1656&gt;0,"xy",""))</f>
        <v/>
      </c>
      <c r="X1658" s="580" t="str">
        <f t="shared" si="1077"/>
        <v/>
      </c>
      <c r="Y1658" s="580" t="str">
        <f t="shared" si="1086"/>
        <v/>
      </c>
      <c r="Z1658" s="580" t="str">
        <f t="shared" si="862"/>
        <v/>
      </c>
    </row>
    <row r="1659" spans="1:26" ht="13.5" hidden="1" thickBot="1" x14ac:dyDescent="0.25">
      <c r="A1659" s="97" t="s">
        <v>165</v>
      </c>
      <c r="B1659" s="1031" t="s">
        <v>165</v>
      </c>
      <c r="C1659" s="978"/>
      <c r="D1659" s="631" t="s">
        <v>261</v>
      </c>
      <c r="E1659" s="596"/>
      <c r="F1659" s="671">
        <v>20</v>
      </c>
      <c r="G1659" s="597">
        <v>1.1100000000000001</v>
      </c>
      <c r="H1659" s="682">
        <f>IF(F1659=0,0,IF(F1659&lt;=30,(0.7*F1659+1.45)*G1659,((0.7*30+1.45)+0.58*(F1659-30))*G1659))</f>
        <v>17.1495</v>
      </c>
      <c r="I1659" s="592">
        <v>0</v>
      </c>
      <c r="J1659" s="592"/>
      <c r="K1659" s="593">
        <f t="shared" si="1079"/>
        <v>0</v>
      </c>
      <c r="L1659" s="670" t="s">
        <v>783</v>
      </c>
      <c r="M1659" s="632"/>
      <c r="N1659" s="633"/>
      <c r="O1659" s="93">
        <f t="shared" si="1093"/>
        <v>0</v>
      </c>
      <c r="P1659" s="93">
        <f t="shared" si="1094"/>
        <v>0</v>
      </c>
      <c r="Q1659" s="94"/>
      <c r="R1659" s="632">
        <f t="shared" si="1095"/>
        <v>0</v>
      </c>
      <c r="S1659" s="633">
        <f t="shared" si="1096"/>
        <v>0</v>
      </c>
      <c r="T1659" s="93">
        <f t="shared" si="1097"/>
        <v>0</v>
      </c>
      <c r="U1659" s="95">
        <f t="shared" si="1098"/>
        <v>0</v>
      </c>
      <c r="V1659" s="94"/>
      <c r="W1659" s="579" t="str">
        <f>IF(U1656&gt;0,"xx",IF(P1656&gt;0,"xy",""))</f>
        <v/>
      </c>
      <c r="X1659" s="580" t="str">
        <f t="shared" si="1077"/>
        <v/>
      </c>
      <c r="Y1659" s="580" t="str">
        <f t="shared" si="1086"/>
        <v/>
      </c>
      <c r="Z1659" s="580" t="str">
        <f t="shared" si="862"/>
        <v/>
      </c>
    </row>
    <row r="1660" spans="1:26" ht="13.5" hidden="1" thickBot="1" x14ac:dyDescent="0.25">
      <c r="A1660" s="1008">
        <v>606000</v>
      </c>
      <c r="B1660" s="1010" t="s">
        <v>2160</v>
      </c>
      <c r="C1660" s="978" t="s">
        <v>212</v>
      </c>
      <c r="D1660" s="595" t="s">
        <v>368</v>
      </c>
      <c r="E1660" s="596"/>
      <c r="F1660" s="671"/>
      <c r="G1660" s="597"/>
      <c r="H1660" s="682">
        <f>SUM(H1661:H1663)</f>
        <v>133.51677000000004</v>
      </c>
      <c r="I1660" s="592">
        <v>306.45</v>
      </c>
      <c r="J1660" s="592">
        <f>IF(ISBLANK(I1660),"",SUM(H1660:I1660))</f>
        <v>439.96677</v>
      </c>
      <c r="K1660" s="593">
        <f t="shared" si="1079"/>
        <v>535.48</v>
      </c>
      <c r="L1660" s="594" t="s">
        <v>16</v>
      </c>
      <c r="M1660" s="92"/>
      <c r="N1660" s="92"/>
      <c r="O1660" s="93">
        <f t="shared" si="1093"/>
        <v>0</v>
      </c>
      <c r="P1660" s="93">
        <f t="shared" si="1094"/>
        <v>0</v>
      </c>
      <c r="Q1660" s="94"/>
      <c r="R1660" s="92">
        <f t="shared" si="1095"/>
        <v>0</v>
      </c>
      <c r="S1660" s="92">
        <f t="shared" si="1096"/>
        <v>0</v>
      </c>
      <c r="T1660" s="93">
        <f t="shared" si="1097"/>
        <v>0</v>
      </c>
      <c r="U1660" s="95">
        <f t="shared" si="1098"/>
        <v>0</v>
      </c>
      <c r="V1660" s="94"/>
      <c r="X1660" s="580" t="str">
        <f t="shared" si="1077"/>
        <v/>
      </c>
      <c r="Y1660" s="580" t="str">
        <f t="shared" si="1086"/>
        <v/>
      </c>
      <c r="Z1660" s="580" t="str">
        <f t="shared" si="862"/>
        <v/>
      </c>
    </row>
    <row r="1661" spans="1:26" ht="13.5" hidden="1" thickBot="1" x14ac:dyDescent="0.25">
      <c r="A1661" s="97" t="s">
        <v>165</v>
      </c>
      <c r="B1661" s="1031" t="s">
        <v>165</v>
      </c>
      <c r="C1661" s="978"/>
      <c r="D1661" s="631" t="s">
        <v>218</v>
      </c>
      <c r="E1661" s="596"/>
      <c r="F1661" s="671">
        <v>500</v>
      </c>
      <c r="G1661" s="597">
        <v>0.189</v>
      </c>
      <c r="H1661" s="682">
        <f>IF(F1661&lt;=30,(0.51*F1661+4.28)*G1661,((0.51*30+4.28)+0.42*(F1661-30))*G1661)</f>
        <v>41.009220000000006</v>
      </c>
      <c r="I1661" s="592">
        <v>0</v>
      </c>
      <c r="J1661" s="592"/>
      <c r="K1661" s="593">
        <f t="shared" si="1079"/>
        <v>0</v>
      </c>
      <c r="L1661" s="670" t="s">
        <v>783</v>
      </c>
      <c r="M1661" s="632"/>
      <c r="N1661" s="633"/>
      <c r="O1661" s="93">
        <f t="shared" si="1093"/>
        <v>0</v>
      </c>
      <c r="P1661" s="93">
        <f t="shared" si="1094"/>
        <v>0</v>
      </c>
      <c r="Q1661" s="94"/>
      <c r="R1661" s="632">
        <f t="shared" si="1095"/>
        <v>0</v>
      </c>
      <c r="S1661" s="633">
        <f t="shared" si="1096"/>
        <v>0</v>
      </c>
      <c r="T1661" s="93">
        <f t="shared" si="1097"/>
        <v>0</v>
      </c>
      <c r="U1661" s="95">
        <f t="shared" si="1098"/>
        <v>0</v>
      </c>
      <c r="V1661" s="94"/>
      <c r="W1661" s="579" t="str">
        <f>IF(U1660&gt;0,"xx",IF(P1660&gt;0,"xy",""))</f>
        <v/>
      </c>
      <c r="X1661" s="580" t="str">
        <f t="shared" si="1077"/>
        <v/>
      </c>
      <c r="Y1661" s="580" t="str">
        <f t="shared" si="1086"/>
        <v/>
      </c>
      <c r="Z1661" s="580" t="str">
        <f t="shared" si="862"/>
        <v/>
      </c>
    </row>
    <row r="1662" spans="1:26" ht="13.5" hidden="1" thickBot="1" x14ac:dyDescent="0.25">
      <c r="A1662" s="97" t="s">
        <v>165</v>
      </c>
      <c r="B1662" s="1031" t="s">
        <v>165</v>
      </c>
      <c r="C1662" s="978"/>
      <c r="D1662" s="631" t="s">
        <v>257</v>
      </c>
      <c r="E1662" s="596"/>
      <c r="F1662" s="671">
        <v>180</v>
      </c>
      <c r="G1662" s="597">
        <v>0.67200000000000004</v>
      </c>
      <c r="H1662" s="682">
        <f>IF(F1662=0,0,IF(F1662&lt;=30,(0.7*F1662+1.45)*G1662,((0.7*30+1.45)+0.58*(F1662-30))*G1662))</f>
        <v>73.55040000000001</v>
      </c>
      <c r="I1662" s="592">
        <v>0</v>
      </c>
      <c r="J1662" s="592"/>
      <c r="K1662" s="593">
        <f t="shared" si="1079"/>
        <v>0</v>
      </c>
      <c r="L1662" s="670" t="s">
        <v>783</v>
      </c>
      <c r="M1662" s="632"/>
      <c r="N1662" s="633"/>
      <c r="O1662" s="93">
        <f t="shared" si="1093"/>
        <v>0</v>
      </c>
      <c r="P1662" s="93">
        <f t="shared" si="1094"/>
        <v>0</v>
      </c>
      <c r="Q1662" s="94"/>
      <c r="R1662" s="632">
        <f t="shared" si="1095"/>
        <v>0</v>
      </c>
      <c r="S1662" s="633">
        <f t="shared" si="1096"/>
        <v>0</v>
      </c>
      <c r="T1662" s="93">
        <f t="shared" si="1097"/>
        <v>0</v>
      </c>
      <c r="U1662" s="95">
        <f t="shared" si="1098"/>
        <v>0</v>
      </c>
      <c r="V1662" s="94"/>
      <c r="W1662" s="579" t="str">
        <f>IF(U1660&gt;0,"xx",IF(P1660&gt;0,"xy",""))</f>
        <v/>
      </c>
      <c r="X1662" s="580" t="str">
        <f t="shared" si="1077"/>
        <v/>
      </c>
      <c r="Y1662" s="580" t="str">
        <f t="shared" si="1086"/>
        <v/>
      </c>
      <c r="Z1662" s="580" t="str">
        <f t="shared" si="862"/>
        <v/>
      </c>
    </row>
    <row r="1663" spans="1:26" ht="13.5" hidden="1" thickBot="1" x14ac:dyDescent="0.25">
      <c r="A1663" s="97" t="s">
        <v>165</v>
      </c>
      <c r="B1663" s="1031" t="s">
        <v>165</v>
      </c>
      <c r="C1663" s="978"/>
      <c r="D1663" s="631" t="s">
        <v>369</v>
      </c>
      <c r="E1663" s="596"/>
      <c r="F1663" s="671">
        <v>20</v>
      </c>
      <c r="G1663" s="597">
        <v>1.2270000000000001</v>
      </c>
      <c r="H1663" s="682">
        <f>IF(F1663=0,0,IF(F1663&lt;=30,(0.7*F1663+1.45)*G1663,((0.7*30+1.45)+0.58*(F1663-30))*G1663))</f>
        <v>18.957150000000002</v>
      </c>
      <c r="I1663" s="592">
        <v>0</v>
      </c>
      <c r="J1663" s="592"/>
      <c r="K1663" s="593">
        <f t="shared" si="1079"/>
        <v>0</v>
      </c>
      <c r="L1663" s="670" t="s">
        <v>783</v>
      </c>
      <c r="M1663" s="632"/>
      <c r="N1663" s="633"/>
      <c r="O1663" s="93">
        <f t="shared" si="1093"/>
        <v>0</v>
      </c>
      <c r="P1663" s="93">
        <f t="shared" si="1094"/>
        <v>0</v>
      </c>
      <c r="Q1663" s="94"/>
      <c r="R1663" s="632">
        <f t="shared" si="1095"/>
        <v>0</v>
      </c>
      <c r="S1663" s="633">
        <f t="shared" si="1096"/>
        <v>0</v>
      </c>
      <c r="T1663" s="93">
        <f t="shared" si="1097"/>
        <v>0</v>
      </c>
      <c r="U1663" s="95">
        <f t="shared" si="1098"/>
        <v>0</v>
      </c>
      <c r="V1663" s="94"/>
      <c r="W1663" s="579" t="str">
        <f>IF(U1660&gt;0,"xx",IF(P1660&gt;0,"xy",""))</f>
        <v/>
      </c>
      <c r="X1663" s="580" t="str">
        <f t="shared" si="1077"/>
        <v/>
      </c>
      <c r="Y1663" s="580" t="str">
        <f t="shared" si="1086"/>
        <v/>
      </c>
      <c r="Z1663" s="580" t="str">
        <f t="shared" si="862"/>
        <v/>
      </c>
    </row>
    <row r="1664" spans="1:26" ht="13.5" hidden="1" thickBot="1" x14ac:dyDescent="0.25">
      <c r="A1664" s="1008">
        <v>605200</v>
      </c>
      <c r="B1664" s="1010" t="s">
        <v>2162</v>
      </c>
      <c r="C1664" s="978" t="s">
        <v>212</v>
      </c>
      <c r="D1664" s="595" t="s">
        <v>370</v>
      </c>
      <c r="E1664" s="596"/>
      <c r="F1664" s="671"/>
      <c r="G1664" s="597"/>
      <c r="H1664" s="682">
        <f>SUM(H1665:H1667)</f>
        <v>180.80610000000001</v>
      </c>
      <c r="I1664" s="592">
        <v>378.52</v>
      </c>
      <c r="J1664" s="592">
        <f>IF(ISBLANK(I1664),"",SUM(H1664:I1664))</f>
        <v>559.3261</v>
      </c>
      <c r="K1664" s="593">
        <f t="shared" si="1079"/>
        <v>680.76</v>
      </c>
      <c r="L1664" s="594" t="s">
        <v>16</v>
      </c>
      <c r="M1664" s="92"/>
      <c r="N1664" s="92"/>
      <c r="O1664" s="93">
        <f t="shared" si="1093"/>
        <v>0</v>
      </c>
      <c r="P1664" s="93">
        <f t="shared" si="1094"/>
        <v>0</v>
      </c>
      <c r="Q1664" s="94"/>
      <c r="R1664" s="92">
        <f t="shared" si="1095"/>
        <v>0</v>
      </c>
      <c r="S1664" s="92">
        <f t="shared" si="1096"/>
        <v>0</v>
      </c>
      <c r="T1664" s="93">
        <f t="shared" si="1097"/>
        <v>0</v>
      </c>
      <c r="U1664" s="95">
        <f t="shared" si="1098"/>
        <v>0</v>
      </c>
      <c r="V1664" s="94"/>
      <c r="X1664" s="580" t="str">
        <f t="shared" si="1077"/>
        <v/>
      </c>
      <c r="Y1664" s="580" t="str">
        <f t="shared" si="1086"/>
        <v/>
      </c>
      <c r="Z1664" s="580" t="str">
        <f t="shared" si="862"/>
        <v/>
      </c>
    </row>
    <row r="1665" spans="1:26" ht="13.5" hidden="1" thickBot="1" x14ac:dyDescent="0.25">
      <c r="A1665" s="97" t="s">
        <v>165</v>
      </c>
      <c r="B1665" s="1031" t="s">
        <v>165</v>
      </c>
      <c r="C1665" s="978"/>
      <c r="D1665" s="631" t="s">
        <v>218</v>
      </c>
      <c r="E1665" s="596"/>
      <c r="F1665" s="671">
        <v>500</v>
      </c>
      <c r="G1665" s="597">
        <v>0.27</v>
      </c>
      <c r="H1665" s="682">
        <f>IF(F1665&lt;=30,(0.51*F1665+4.28)*G1665,((0.51*30+4.28)+0.42*(F1665-30))*G1665)</f>
        <v>58.584600000000009</v>
      </c>
      <c r="I1665" s="592">
        <v>0</v>
      </c>
      <c r="J1665" s="592"/>
      <c r="K1665" s="593">
        <f t="shared" si="1079"/>
        <v>0</v>
      </c>
      <c r="L1665" s="670" t="s">
        <v>783</v>
      </c>
      <c r="M1665" s="632"/>
      <c r="N1665" s="633"/>
      <c r="O1665" s="93">
        <f t="shared" si="1093"/>
        <v>0</v>
      </c>
      <c r="P1665" s="93">
        <f t="shared" si="1094"/>
        <v>0</v>
      </c>
      <c r="Q1665" s="94"/>
      <c r="R1665" s="632">
        <f t="shared" si="1095"/>
        <v>0</v>
      </c>
      <c r="S1665" s="633">
        <f t="shared" si="1096"/>
        <v>0</v>
      </c>
      <c r="T1665" s="93">
        <f t="shared" si="1097"/>
        <v>0</v>
      </c>
      <c r="U1665" s="95">
        <f t="shared" si="1098"/>
        <v>0</v>
      </c>
      <c r="V1665" s="94"/>
      <c r="W1665" s="579" t="str">
        <f>IF(U1664&gt;0,"xx",IF(P1664&gt;0,"xy",""))</f>
        <v/>
      </c>
      <c r="X1665" s="580" t="str">
        <f t="shared" si="1077"/>
        <v/>
      </c>
      <c r="Y1665" s="580" t="str">
        <f t="shared" si="1086"/>
        <v/>
      </c>
      <c r="Z1665" s="580" t="str">
        <f t="shared" si="862"/>
        <v/>
      </c>
    </row>
    <row r="1666" spans="1:26" ht="13.5" hidden="1" thickBot="1" x14ac:dyDescent="0.25">
      <c r="A1666" s="97" t="s">
        <v>165</v>
      </c>
      <c r="B1666" s="1031" t="s">
        <v>165</v>
      </c>
      <c r="C1666" s="978"/>
      <c r="D1666" s="631" t="s">
        <v>257</v>
      </c>
      <c r="E1666" s="596"/>
      <c r="F1666" s="671">
        <v>180</v>
      </c>
      <c r="G1666" s="597">
        <v>0.96</v>
      </c>
      <c r="H1666" s="682">
        <f>IF(F1666=0,0,IF(F1666&lt;=30,(0.7*F1666+1.45)*G1666,((0.7*30+1.45)+0.58*(F1666-30))*G1666))</f>
        <v>105.072</v>
      </c>
      <c r="I1666" s="592">
        <v>0</v>
      </c>
      <c r="J1666" s="592"/>
      <c r="K1666" s="593">
        <f t="shared" si="1079"/>
        <v>0</v>
      </c>
      <c r="L1666" s="670" t="s">
        <v>783</v>
      </c>
      <c r="M1666" s="632"/>
      <c r="N1666" s="633"/>
      <c r="O1666" s="93">
        <f t="shared" si="1093"/>
        <v>0</v>
      </c>
      <c r="P1666" s="93">
        <f t="shared" si="1094"/>
        <v>0</v>
      </c>
      <c r="Q1666" s="94"/>
      <c r="R1666" s="632">
        <f t="shared" si="1095"/>
        <v>0</v>
      </c>
      <c r="S1666" s="633">
        <f t="shared" si="1096"/>
        <v>0</v>
      </c>
      <c r="T1666" s="93">
        <f t="shared" si="1097"/>
        <v>0</v>
      </c>
      <c r="U1666" s="95">
        <f t="shared" si="1098"/>
        <v>0</v>
      </c>
      <c r="V1666" s="94"/>
      <c r="W1666" s="579" t="str">
        <f>IF(U1664&gt;0,"xx",IF(P1664&gt;0,"xy",""))</f>
        <v/>
      </c>
      <c r="X1666" s="580" t="str">
        <f t="shared" si="1077"/>
        <v/>
      </c>
      <c r="Y1666" s="580" t="str">
        <f t="shared" si="1086"/>
        <v/>
      </c>
      <c r="Z1666" s="580" t="str">
        <f t="shared" si="862"/>
        <v/>
      </c>
    </row>
    <row r="1667" spans="1:26" ht="13.5" hidden="1" thickBot="1" x14ac:dyDescent="0.25">
      <c r="A1667" s="97" t="s">
        <v>165</v>
      </c>
      <c r="B1667" s="1031" t="s">
        <v>165</v>
      </c>
      <c r="C1667" s="978"/>
      <c r="D1667" s="631" t="s">
        <v>261</v>
      </c>
      <c r="E1667" s="596"/>
      <c r="F1667" s="671">
        <v>20</v>
      </c>
      <c r="G1667" s="597">
        <v>1.1100000000000001</v>
      </c>
      <c r="H1667" s="682">
        <f>IF(F1667=0,0,IF(F1667&lt;=30,(0.7*F1667+1.45)*G1667,((0.7*30+1.45)+0.58*(F1667-30))*G1667))</f>
        <v>17.1495</v>
      </c>
      <c r="I1667" s="592">
        <v>0</v>
      </c>
      <c r="J1667" s="592"/>
      <c r="K1667" s="593">
        <f t="shared" si="1079"/>
        <v>0</v>
      </c>
      <c r="L1667" s="670" t="s">
        <v>783</v>
      </c>
      <c r="M1667" s="632"/>
      <c r="N1667" s="633"/>
      <c r="O1667" s="93">
        <f t="shared" si="1093"/>
        <v>0</v>
      </c>
      <c r="P1667" s="93">
        <f t="shared" si="1094"/>
        <v>0</v>
      </c>
      <c r="Q1667" s="94"/>
      <c r="R1667" s="632">
        <f t="shared" si="1095"/>
        <v>0</v>
      </c>
      <c r="S1667" s="633">
        <f t="shared" si="1096"/>
        <v>0</v>
      </c>
      <c r="T1667" s="93">
        <f t="shared" si="1097"/>
        <v>0</v>
      </c>
      <c r="U1667" s="95">
        <f t="shared" si="1098"/>
        <v>0</v>
      </c>
      <c r="V1667" s="94"/>
      <c r="W1667" s="579" t="str">
        <f>IF(U1664&gt;0,"xx",IF(P1664&gt;0,"xy",""))</f>
        <v/>
      </c>
      <c r="X1667" s="580" t="str">
        <f t="shared" si="1077"/>
        <v/>
      </c>
      <c r="Y1667" s="580" t="str">
        <f t="shared" si="1086"/>
        <v/>
      </c>
      <c r="Z1667" s="580" t="str">
        <f t="shared" si="862"/>
        <v/>
      </c>
    </row>
    <row r="1668" spans="1:26" ht="13.5" hidden="1" thickBot="1" x14ac:dyDescent="0.25">
      <c r="A1668" s="1008">
        <v>605300</v>
      </c>
      <c r="B1668" s="1010" t="s">
        <v>2164</v>
      </c>
      <c r="C1668" s="978" t="s">
        <v>212</v>
      </c>
      <c r="D1668" s="595" t="s">
        <v>371</v>
      </c>
      <c r="E1668" s="596"/>
      <c r="F1668" s="671"/>
      <c r="G1668" s="597"/>
      <c r="H1668" s="682">
        <f>SUM(H1669:H1671)</f>
        <v>189.55635000000001</v>
      </c>
      <c r="I1668" s="592">
        <v>404.81</v>
      </c>
      <c r="J1668" s="592">
        <f>IF(ISBLANK(I1668),"",SUM(H1668:I1668))</f>
        <v>594.36635000000001</v>
      </c>
      <c r="K1668" s="593">
        <f t="shared" si="1079"/>
        <v>723.4</v>
      </c>
      <c r="L1668" s="594" t="s">
        <v>16</v>
      </c>
      <c r="M1668" s="92"/>
      <c r="N1668" s="92"/>
      <c r="O1668" s="93">
        <f t="shared" si="1093"/>
        <v>0</v>
      </c>
      <c r="P1668" s="93">
        <f t="shared" si="1094"/>
        <v>0</v>
      </c>
      <c r="Q1668" s="94"/>
      <c r="R1668" s="92">
        <f t="shared" si="1095"/>
        <v>0</v>
      </c>
      <c r="S1668" s="92">
        <f t="shared" si="1096"/>
        <v>0</v>
      </c>
      <c r="T1668" s="93">
        <f t="shared" si="1097"/>
        <v>0</v>
      </c>
      <c r="U1668" s="95">
        <f t="shared" si="1098"/>
        <v>0</v>
      </c>
      <c r="V1668" s="94"/>
      <c r="X1668" s="580" t="str">
        <f t="shared" si="1077"/>
        <v/>
      </c>
      <c r="Y1668" s="580" t="str">
        <f t="shared" si="1086"/>
        <v/>
      </c>
      <c r="Z1668" s="580" t="str">
        <f t="shared" si="862"/>
        <v/>
      </c>
    </row>
    <row r="1669" spans="1:26" ht="13.5" hidden="1" thickBot="1" x14ac:dyDescent="0.25">
      <c r="A1669" s="97" t="s">
        <v>165</v>
      </c>
      <c r="B1669" s="1031" t="s">
        <v>165</v>
      </c>
      <c r="C1669" s="978"/>
      <c r="D1669" s="631" t="s">
        <v>218</v>
      </c>
      <c r="E1669" s="596"/>
      <c r="F1669" s="671">
        <v>500</v>
      </c>
      <c r="G1669" s="597">
        <v>0.33</v>
      </c>
      <c r="H1669" s="682">
        <f>IF(F1669&lt;=30,(0.51*F1669+4.28)*G1669,((0.51*30+4.28)+0.42*(F1669-30))*G1669)</f>
        <v>71.603400000000008</v>
      </c>
      <c r="I1669" s="592">
        <v>0</v>
      </c>
      <c r="J1669" s="592"/>
      <c r="K1669" s="593">
        <f t="shared" si="1079"/>
        <v>0</v>
      </c>
      <c r="L1669" s="670" t="s">
        <v>783</v>
      </c>
      <c r="M1669" s="632"/>
      <c r="N1669" s="633"/>
      <c r="O1669" s="93">
        <f t="shared" si="1093"/>
        <v>0</v>
      </c>
      <c r="P1669" s="93">
        <f t="shared" si="1094"/>
        <v>0</v>
      </c>
      <c r="Q1669" s="94"/>
      <c r="R1669" s="632">
        <f t="shared" si="1095"/>
        <v>0</v>
      </c>
      <c r="S1669" s="633">
        <f t="shared" si="1096"/>
        <v>0</v>
      </c>
      <c r="T1669" s="93">
        <f t="shared" si="1097"/>
        <v>0</v>
      </c>
      <c r="U1669" s="95">
        <f t="shared" si="1098"/>
        <v>0</v>
      </c>
      <c r="V1669" s="94"/>
      <c r="W1669" s="579" t="str">
        <f>IF(U1668&gt;0,"xx",IF(P1668&gt;0,"xy",""))</f>
        <v/>
      </c>
      <c r="X1669" s="580" t="str">
        <f t="shared" si="1077"/>
        <v/>
      </c>
      <c r="Y1669" s="580" t="str">
        <f t="shared" si="1086"/>
        <v/>
      </c>
      <c r="Z1669" s="580" t="str">
        <f t="shared" si="862"/>
        <v/>
      </c>
    </row>
    <row r="1670" spans="1:26" ht="13.5" hidden="1" thickBot="1" x14ac:dyDescent="0.25">
      <c r="A1670" s="97" t="s">
        <v>165</v>
      </c>
      <c r="B1670" s="1031" t="s">
        <v>165</v>
      </c>
      <c r="C1670" s="978"/>
      <c r="D1670" s="631" t="s">
        <v>257</v>
      </c>
      <c r="E1670" s="596"/>
      <c r="F1670" s="671">
        <v>180</v>
      </c>
      <c r="G1670" s="597">
        <v>0.92100000000000004</v>
      </c>
      <c r="H1670" s="682">
        <f>IF(F1670=0,0,IF(F1670&lt;=30,(0.7*F1670+1.45)*G1670,((0.7*30+1.45)+0.58*(F1670-30))*G1670))</f>
        <v>100.80345000000001</v>
      </c>
      <c r="I1670" s="592">
        <v>0</v>
      </c>
      <c r="J1670" s="592"/>
      <c r="K1670" s="593">
        <f t="shared" si="1079"/>
        <v>0</v>
      </c>
      <c r="L1670" s="670" t="s">
        <v>783</v>
      </c>
      <c r="M1670" s="632"/>
      <c r="N1670" s="633"/>
      <c r="O1670" s="93">
        <f t="shared" si="1093"/>
        <v>0</v>
      </c>
      <c r="P1670" s="93">
        <f t="shared" si="1094"/>
        <v>0</v>
      </c>
      <c r="Q1670" s="94"/>
      <c r="R1670" s="632">
        <f t="shared" si="1095"/>
        <v>0</v>
      </c>
      <c r="S1670" s="633">
        <f t="shared" si="1096"/>
        <v>0</v>
      </c>
      <c r="T1670" s="93">
        <f t="shared" si="1097"/>
        <v>0</v>
      </c>
      <c r="U1670" s="95">
        <f t="shared" si="1098"/>
        <v>0</v>
      </c>
      <c r="V1670" s="94"/>
      <c r="W1670" s="579" t="str">
        <f>IF(U1668&gt;0,"xx",IF(P1668&gt;0,"xy",""))</f>
        <v/>
      </c>
      <c r="X1670" s="580" t="str">
        <f t="shared" si="1077"/>
        <v/>
      </c>
      <c r="Y1670" s="580" t="str">
        <f t="shared" si="1086"/>
        <v/>
      </c>
      <c r="Z1670" s="580" t="str">
        <f t="shared" si="862"/>
        <v/>
      </c>
    </row>
    <row r="1671" spans="1:26" ht="13.5" hidden="1" thickBot="1" x14ac:dyDescent="0.25">
      <c r="A1671" s="97" t="s">
        <v>165</v>
      </c>
      <c r="B1671" s="1031" t="s">
        <v>165</v>
      </c>
      <c r="C1671" s="978"/>
      <c r="D1671" s="631" t="s">
        <v>261</v>
      </c>
      <c r="E1671" s="596"/>
      <c r="F1671" s="671">
        <v>20</v>
      </c>
      <c r="G1671" s="597">
        <v>1.1100000000000001</v>
      </c>
      <c r="H1671" s="682">
        <f>IF(F1671=0,0,IF(F1671&lt;=30,(0.7*F1671+1.45)*G1671,((0.7*30+1.45)+0.58*(F1671-30))*G1671))</f>
        <v>17.1495</v>
      </c>
      <c r="I1671" s="592">
        <v>0</v>
      </c>
      <c r="J1671" s="592"/>
      <c r="K1671" s="593">
        <f t="shared" si="1079"/>
        <v>0</v>
      </c>
      <c r="L1671" s="670" t="s">
        <v>783</v>
      </c>
      <c r="M1671" s="632"/>
      <c r="N1671" s="633"/>
      <c r="O1671" s="93">
        <f t="shared" si="1093"/>
        <v>0</v>
      </c>
      <c r="P1671" s="93">
        <f t="shared" si="1094"/>
        <v>0</v>
      </c>
      <c r="Q1671" s="94"/>
      <c r="R1671" s="632">
        <f t="shared" si="1095"/>
        <v>0</v>
      </c>
      <c r="S1671" s="633">
        <f t="shared" si="1096"/>
        <v>0</v>
      </c>
      <c r="T1671" s="93">
        <f t="shared" si="1097"/>
        <v>0</v>
      </c>
      <c r="U1671" s="95">
        <f t="shared" si="1098"/>
        <v>0</v>
      </c>
      <c r="V1671" s="94"/>
      <c r="W1671" s="579" t="str">
        <f>IF(U1668&gt;0,"xx",IF(P1668&gt;0,"xy",""))</f>
        <v/>
      </c>
      <c r="X1671" s="580" t="str">
        <f t="shared" si="1077"/>
        <v/>
      </c>
      <c r="Y1671" s="580" t="str">
        <f t="shared" si="1086"/>
        <v/>
      </c>
      <c r="Z1671" s="580" t="str">
        <f t="shared" si="862"/>
        <v/>
      </c>
    </row>
    <row r="1672" spans="1:26" ht="13.5" hidden="1" thickBot="1" x14ac:dyDescent="0.25">
      <c r="A1672" s="1008">
        <v>605400</v>
      </c>
      <c r="B1672" s="1010" t="s">
        <v>2166</v>
      </c>
      <c r="C1672" s="978" t="s">
        <v>212</v>
      </c>
      <c r="D1672" s="595" t="s">
        <v>372</v>
      </c>
      <c r="E1672" s="596"/>
      <c r="F1672" s="671"/>
      <c r="G1672" s="597"/>
      <c r="H1672" s="682">
        <f>SUM(H1673:H1675)</f>
        <v>203.42962</v>
      </c>
      <c r="I1672" s="592">
        <v>411.03999999999996</v>
      </c>
      <c r="J1672" s="592">
        <f>IF(ISBLANK(I1672),"",SUM(H1672:I1672))</f>
        <v>614.46961999999996</v>
      </c>
      <c r="K1672" s="593">
        <f t="shared" si="1079"/>
        <v>747.87</v>
      </c>
      <c r="L1672" s="594" t="s">
        <v>16</v>
      </c>
      <c r="M1672" s="92"/>
      <c r="N1672" s="92"/>
      <c r="O1672" s="93">
        <f t="shared" si="1093"/>
        <v>0</v>
      </c>
      <c r="P1672" s="93">
        <f t="shared" si="1094"/>
        <v>0</v>
      </c>
      <c r="Q1672" s="94"/>
      <c r="R1672" s="92">
        <f t="shared" si="1095"/>
        <v>0</v>
      </c>
      <c r="S1672" s="92">
        <f t="shared" si="1096"/>
        <v>0</v>
      </c>
      <c r="T1672" s="93">
        <f t="shared" si="1097"/>
        <v>0</v>
      </c>
      <c r="U1672" s="95">
        <f t="shared" si="1098"/>
        <v>0</v>
      </c>
      <c r="V1672" s="94"/>
      <c r="X1672" s="580" t="str">
        <f t="shared" si="1077"/>
        <v/>
      </c>
      <c r="Y1672" s="580" t="str">
        <f t="shared" si="1086"/>
        <v/>
      </c>
      <c r="Z1672" s="580" t="str">
        <f t="shared" si="862"/>
        <v/>
      </c>
    </row>
    <row r="1673" spans="1:26" ht="13.5" hidden="1" thickBot="1" x14ac:dyDescent="0.25">
      <c r="A1673" s="97" t="s">
        <v>165</v>
      </c>
      <c r="B1673" s="1031" t="s">
        <v>165</v>
      </c>
      <c r="C1673" s="978"/>
      <c r="D1673" s="631" t="s">
        <v>218</v>
      </c>
      <c r="E1673" s="596"/>
      <c r="F1673" s="671">
        <v>500</v>
      </c>
      <c r="G1673" s="597">
        <v>0.34399999999999997</v>
      </c>
      <c r="H1673" s="682">
        <f>IF(F1673&lt;=30,(0.51*F1673+4.28)*G1673,((0.51*30+4.28)+0.42*(F1673-30))*G1673)</f>
        <v>74.641120000000001</v>
      </c>
      <c r="I1673" s="592">
        <v>0</v>
      </c>
      <c r="J1673" s="592"/>
      <c r="K1673" s="593">
        <f t="shared" si="1079"/>
        <v>0</v>
      </c>
      <c r="L1673" s="670" t="s">
        <v>783</v>
      </c>
      <c r="M1673" s="632"/>
      <c r="N1673" s="633"/>
      <c r="O1673" s="93">
        <f t="shared" si="1093"/>
        <v>0</v>
      </c>
      <c r="P1673" s="93">
        <f t="shared" si="1094"/>
        <v>0</v>
      </c>
      <c r="Q1673" s="94"/>
      <c r="R1673" s="632">
        <f t="shared" si="1095"/>
        <v>0</v>
      </c>
      <c r="S1673" s="633">
        <f t="shared" si="1096"/>
        <v>0</v>
      </c>
      <c r="T1673" s="93">
        <f t="shared" si="1097"/>
        <v>0</v>
      </c>
      <c r="U1673" s="95">
        <f t="shared" si="1098"/>
        <v>0</v>
      </c>
      <c r="V1673" s="94"/>
      <c r="W1673" s="579" t="str">
        <f>IF(U1672&gt;0,"xx",IF(P1672&gt;0,"xy",""))</f>
        <v/>
      </c>
      <c r="X1673" s="580" t="str">
        <f t="shared" si="1077"/>
        <v/>
      </c>
      <c r="Y1673" s="580" t="str">
        <f t="shared" si="1086"/>
        <v/>
      </c>
      <c r="Z1673" s="580" t="str">
        <f t="shared" si="862"/>
        <v/>
      </c>
    </row>
    <row r="1674" spans="1:26" ht="13.5" hidden="1" thickBot="1" x14ac:dyDescent="0.25">
      <c r="A1674" s="97" t="s">
        <v>165</v>
      </c>
      <c r="B1674" s="1031" t="s">
        <v>165</v>
      </c>
      <c r="C1674" s="978"/>
      <c r="D1674" s="631" t="s">
        <v>257</v>
      </c>
      <c r="E1674" s="596"/>
      <c r="F1674" s="671">
        <v>180</v>
      </c>
      <c r="G1674" s="597">
        <v>1.02</v>
      </c>
      <c r="H1674" s="682">
        <f>IF(F1674=0,0,IF(F1674&lt;=30,(0.7*F1674+1.45)*G1674,((0.7*30+1.45)+0.58*(F1674-30))*G1674))</f>
        <v>111.63900000000001</v>
      </c>
      <c r="I1674" s="592">
        <v>0</v>
      </c>
      <c r="J1674" s="592"/>
      <c r="K1674" s="593">
        <f t="shared" si="1079"/>
        <v>0</v>
      </c>
      <c r="L1674" s="670" t="s">
        <v>783</v>
      </c>
      <c r="M1674" s="632"/>
      <c r="N1674" s="633"/>
      <c r="O1674" s="93">
        <f t="shared" si="1093"/>
        <v>0</v>
      </c>
      <c r="P1674" s="93">
        <f t="shared" si="1094"/>
        <v>0</v>
      </c>
      <c r="Q1674" s="94"/>
      <c r="R1674" s="632">
        <f t="shared" si="1095"/>
        <v>0</v>
      </c>
      <c r="S1674" s="633">
        <f t="shared" si="1096"/>
        <v>0</v>
      </c>
      <c r="T1674" s="93">
        <f t="shared" si="1097"/>
        <v>0</v>
      </c>
      <c r="U1674" s="95">
        <f t="shared" si="1098"/>
        <v>0</v>
      </c>
      <c r="V1674" s="94"/>
      <c r="W1674" s="579" t="str">
        <f>IF(U1672&gt;0,"xx",IF(P1672&gt;0,"xy",""))</f>
        <v/>
      </c>
      <c r="X1674" s="580" t="str">
        <f t="shared" si="1077"/>
        <v/>
      </c>
      <c r="Y1674" s="580" t="str">
        <f t="shared" si="1086"/>
        <v/>
      </c>
      <c r="Z1674" s="580" t="str">
        <f t="shared" si="862"/>
        <v/>
      </c>
    </row>
    <row r="1675" spans="1:26" ht="13.5" hidden="1" thickBot="1" x14ac:dyDescent="0.25">
      <c r="A1675" s="97" t="s">
        <v>165</v>
      </c>
      <c r="B1675" s="1031" t="s">
        <v>165</v>
      </c>
      <c r="C1675" s="978"/>
      <c r="D1675" s="631" t="s">
        <v>261</v>
      </c>
      <c r="E1675" s="596"/>
      <c r="F1675" s="671">
        <v>20</v>
      </c>
      <c r="G1675" s="597">
        <v>1.1100000000000001</v>
      </c>
      <c r="H1675" s="682">
        <f>IF(F1675=0,0,IF(F1675&lt;=30,(0.7*F1675+1.45)*G1675,((0.7*30+1.45)+0.58*(F1675-30))*G1675))</f>
        <v>17.1495</v>
      </c>
      <c r="I1675" s="592">
        <v>0</v>
      </c>
      <c r="J1675" s="592"/>
      <c r="K1675" s="593">
        <f t="shared" si="1079"/>
        <v>0</v>
      </c>
      <c r="L1675" s="670" t="s">
        <v>783</v>
      </c>
      <c r="M1675" s="632"/>
      <c r="N1675" s="633"/>
      <c r="O1675" s="93">
        <f t="shared" si="1093"/>
        <v>0</v>
      </c>
      <c r="P1675" s="93">
        <f t="shared" si="1094"/>
        <v>0</v>
      </c>
      <c r="Q1675" s="94"/>
      <c r="R1675" s="632">
        <f t="shared" si="1095"/>
        <v>0</v>
      </c>
      <c r="S1675" s="633">
        <f t="shared" si="1096"/>
        <v>0</v>
      </c>
      <c r="T1675" s="93">
        <f t="shared" si="1097"/>
        <v>0</v>
      </c>
      <c r="U1675" s="95">
        <f t="shared" si="1098"/>
        <v>0</v>
      </c>
      <c r="V1675" s="94"/>
      <c r="W1675" s="579" t="str">
        <f>IF(U1672&gt;0,"xx",IF(P1672&gt;0,"xy",""))</f>
        <v/>
      </c>
      <c r="X1675" s="580" t="str">
        <f t="shared" si="1077"/>
        <v/>
      </c>
      <c r="Y1675" s="580" t="str">
        <f t="shared" si="1086"/>
        <v/>
      </c>
      <c r="Z1675" s="580" t="str">
        <f t="shared" si="862"/>
        <v/>
      </c>
    </row>
    <row r="1676" spans="1:26" ht="13.5" hidden="1" thickBot="1" x14ac:dyDescent="0.25">
      <c r="A1676" s="1008">
        <v>831000</v>
      </c>
      <c r="B1676" s="1010" t="s">
        <v>1901</v>
      </c>
      <c r="C1676" s="978" t="s">
        <v>212</v>
      </c>
      <c r="D1676" s="595" t="s">
        <v>295</v>
      </c>
      <c r="E1676" s="596"/>
      <c r="F1676" s="671"/>
      <c r="G1676" s="597"/>
      <c r="H1676" s="682">
        <v>0</v>
      </c>
      <c r="I1676" s="592">
        <v>35.379999999999995</v>
      </c>
      <c r="J1676" s="592">
        <f>IF(ISBLANK(I1676),"",SUM(H1676:I1676))</f>
        <v>35.379999999999995</v>
      </c>
      <c r="K1676" s="593">
        <f t="shared" si="1079"/>
        <v>43.06</v>
      </c>
      <c r="L1676" s="594" t="s">
        <v>19</v>
      </c>
      <c r="M1676" s="92"/>
      <c r="N1676" s="92"/>
      <c r="O1676" s="93">
        <f t="shared" ref="O1676:O1689" si="1099">IF(ISBLANK(M1676),0,ROUND(K1676*M1676,2))</f>
        <v>0</v>
      </c>
      <c r="P1676" s="93">
        <f t="shared" ref="P1676:P1689" si="1100">IF(ISBLANK(N1676),0,ROUND(M1676*N1676,2))</f>
        <v>0</v>
      </c>
      <c r="Q1676" s="94"/>
      <c r="R1676" s="92">
        <f t="shared" ref="R1676:R1689" si="1101">M1676</f>
        <v>0</v>
      </c>
      <c r="S1676" s="92">
        <f t="shared" ref="S1676:S1689" si="1102">N1676</f>
        <v>0</v>
      </c>
      <c r="T1676" s="93">
        <f t="shared" ref="T1676:T1689" si="1103">IF(ISBLANK(R1676),0,ROUND(K1676*R1676,2))</f>
        <v>0</v>
      </c>
      <c r="U1676" s="95">
        <f t="shared" ref="U1676:U1689" si="1104">IF(ISBLANK(R1676),0,ROUND(R1676*S1676,2))</f>
        <v>0</v>
      </c>
      <c r="V1676" s="94"/>
      <c r="X1676" s="580" t="str">
        <f t="shared" si="1077"/>
        <v/>
      </c>
      <c r="Y1676" s="580" t="str">
        <f t="shared" si="1086"/>
        <v/>
      </c>
      <c r="Z1676" s="580" t="str">
        <f t="shared" si="862"/>
        <v/>
      </c>
    </row>
    <row r="1677" spans="1:26" ht="13.5" hidden="1" thickBot="1" x14ac:dyDescent="0.25">
      <c r="A1677" s="1008">
        <v>830000</v>
      </c>
      <c r="B1677" s="1010" t="s">
        <v>1903</v>
      </c>
      <c r="C1677" s="978" t="s">
        <v>212</v>
      </c>
      <c r="D1677" s="595" t="s">
        <v>296</v>
      </c>
      <c r="E1677" s="596"/>
      <c r="F1677" s="671"/>
      <c r="G1677" s="597"/>
      <c r="H1677" s="682">
        <v>0</v>
      </c>
      <c r="I1677" s="592">
        <v>26.82</v>
      </c>
      <c r="J1677" s="592">
        <f>IF(ISBLANK(I1677),"",SUM(H1677:I1677))</f>
        <v>26.82</v>
      </c>
      <c r="K1677" s="593">
        <f t="shared" si="1079"/>
        <v>32.64</v>
      </c>
      <c r="L1677" s="594" t="s">
        <v>19</v>
      </c>
      <c r="M1677" s="92"/>
      <c r="N1677" s="92"/>
      <c r="O1677" s="93">
        <f t="shared" si="1099"/>
        <v>0</v>
      </c>
      <c r="P1677" s="93">
        <f t="shared" si="1100"/>
        <v>0</v>
      </c>
      <c r="Q1677" s="94"/>
      <c r="R1677" s="92">
        <f t="shared" si="1101"/>
        <v>0</v>
      </c>
      <c r="S1677" s="92">
        <f t="shared" si="1102"/>
        <v>0</v>
      </c>
      <c r="T1677" s="93">
        <f t="shared" si="1103"/>
        <v>0</v>
      </c>
      <c r="U1677" s="95">
        <f t="shared" si="1104"/>
        <v>0</v>
      </c>
      <c r="V1677" s="94"/>
      <c r="X1677" s="580" t="str">
        <f t="shared" si="1077"/>
        <v/>
      </c>
      <c r="Y1677" s="580" t="str">
        <f t="shared" si="1086"/>
        <v/>
      </c>
      <c r="Z1677" s="580" t="str">
        <f t="shared" si="862"/>
        <v/>
      </c>
    </row>
    <row r="1678" spans="1:26" ht="13.5" hidden="1" thickBot="1" x14ac:dyDescent="0.25">
      <c r="A1678" s="1008">
        <v>823000</v>
      </c>
      <c r="B1678" s="1010" t="s">
        <v>2157</v>
      </c>
      <c r="C1678" s="978" t="s">
        <v>212</v>
      </c>
      <c r="D1678" s="595" t="s">
        <v>297</v>
      </c>
      <c r="E1678" s="596"/>
      <c r="F1678" s="671">
        <v>0</v>
      </c>
      <c r="G1678" s="597"/>
      <c r="H1678" s="682">
        <v>0</v>
      </c>
      <c r="I1678" s="592">
        <v>322.98</v>
      </c>
      <c r="J1678" s="592">
        <f>IF(ISBLANK(I1678),"",SUM(H1678:I1678))</f>
        <v>322.98</v>
      </c>
      <c r="K1678" s="614">
        <f t="shared" ref="K1678:K1700" si="1105">IF(ISBLANK(I1678),0,ROUND(J1678*(1+$F$10)*(1+$F$11*E1678),2))</f>
        <v>393.1</v>
      </c>
      <c r="L1678" s="594" t="s">
        <v>19</v>
      </c>
      <c r="M1678" s="92"/>
      <c r="N1678" s="92"/>
      <c r="O1678" s="93">
        <f t="shared" si="1099"/>
        <v>0</v>
      </c>
      <c r="P1678" s="93">
        <f t="shared" si="1100"/>
        <v>0</v>
      </c>
      <c r="Q1678" s="94"/>
      <c r="R1678" s="92">
        <f t="shared" si="1101"/>
        <v>0</v>
      </c>
      <c r="S1678" s="92">
        <f t="shared" si="1102"/>
        <v>0</v>
      </c>
      <c r="T1678" s="93">
        <f t="shared" si="1103"/>
        <v>0</v>
      </c>
      <c r="U1678" s="95">
        <f t="shared" si="1104"/>
        <v>0</v>
      </c>
      <c r="V1678" s="94"/>
      <c r="X1678" s="580" t="str">
        <f t="shared" si="1077"/>
        <v/>
      </c>
      <c r="Y1678" s="580" t="str">
        <f t="shared" si="1086"/>
        <v/>
      </c>
      <c r="Z1678" s="580" t="str">
        <f t="shared" si="862"/>
        <v/>
      </c>
    </row>
    <row r="1679" spans="1:26" ht="13.5" hidden="1" thickBot="1" x14ac:dyDescent="0.25">
      <c r="A1679" s="1008">
        <v>97623</v>
      </c>
      <c r="B1679" s="1010" t="s">
        <v>2055</v>
      </c>
      <c r="C1679" s="978" t="s">
        <v>883</v>
      </c>
      <c r="D1679" s="589" t="s">
        <v>2052</v>
      </c>
      <c r="E1679" s="590"/>
      <c r="F1679" s="601"/>
      <c r="G1679" s="591"/>
      <c r="H1679" s="908"/>
      <c r="I1679" s="592">
        <v>155.36000000000001</v>
      </c>
      <c r="J1679" s="592">
        <f t="shared" ref="J1679" si="1106">IF(ISBLANK(I1679),"",SUM(H1679:I1679))</f>
        <v>155.36000000000001</v>
      </c>
      <c r="K1679" s="593">
        <f t="shared" si="1105"/>
        <v>189.09</v>
      </c>
      <c r="L1679" s="594" t="s">
        <v>16</v>
      </c>
      <c r="M1679" s="92"/>
      <c r="N1679" s="92"/>
      <c r="O1679" s="93">
        <f t="shared" si="1099"/>
        <v>0</v>
      </c>
      <c r="P1679" s="95">
        <f t="shared" si="1100"/>
        <v>0</v>
      </c>
      <c r="Q1679" s="94"/>
      <c r="R1679" s="598">
        <f t="shared" si="1101"/>
        <v>0</v>
      </c>
      <c r="S1679" s="599">
        <f t="shared" si="1102"/>
        <v>0</v>
      </c>
      <c r="T1679" s="93">
        <f t="shared" si="1103"/>
        <v>0</v>
      </c>
      <c r="U1679" s="95">
        <f t="shared" si="1104"/>
        <v>0</v>
      </c>
      <c r="V1679" s="94"/>
      <c r="X1679" s="580" t="str">
        <f t="shared" si="1077"/>
        <v/>
      </c>
      <c r="Y1679" s="580" t="str">
        <f t="shared" si="1086"/>
        <v/>
      </c>
      <c r="Z1679" s="580" t="str">
        <f t="shared" si="862"/>
        <v/>
      </c>
    </row>
    <row r="1680" spans="1:26" ht="13.5" hidden="1" thickBot="1" x14ac:dyDescent="0.25">
      <c r="A1680" s="1008">
        <v>97624</v>
      </c>
      <c r="B1680" s="1010" t="s">
        <v>2050</v>
      </c>
      <c r="C1680" s="978" t="s">
        <v>883</v>
      </c>
      <c r="D1680" s="589" t="s">
        <v>2053</v>
      </c>
      <c r="E1680" s="590"/>
      <c r="F1680" s="601"/>
      <c r="G1680" s="591"/>
      <c r="H1680" s="908"/>
      <c r="I1680" s="592">
        <v>95.35</v>
      </c>
      <c r="J1680" s="592">
        <f>IF(ISBLANK(I1680),"",SUM(H1680:I1680))</f>
        <v>95.35</v>
      </c>
      <c r="K1680" s="593">
        <f t="shared" si="1105"/>
        <v>116.05</v>
      </c>
      <c r="L1680" s="594" t="s">
        <v>16</v>
      </c>
      <c r="M1680" s="92"/>
      <c r="N1680" s="92"/>
      <c r="O1680" s="93">
        <f t="shared" si="1099"/>
        <v>0</v>
      </c>
      <c r="P1680" s="95">
        <f t="shared" si="1100"/>
        <v>0</v>
      </c>
      <c r="Q1680" s="94"/>
      <c r="R1680" s="598">
        <f t="shared" si="1101"/>
        <v>0</v>
      </c>
      <c r="S1680" s="599">
        <f t="shared" si="1102"/>
        <v>0</v>
      </c>
      <c r="T1680" s="93">
        <f t="shared" si="1103"/>
        <v>0</v>
      </c>
      <c r="U1680" s="95">
        <f t="shared" si="1104"/>
        <v>0</v>
      </c>
      <c r="V1680" s="94"/>
      <c r="X1680" s="580" t="str">
        <f t="shared" si="1077"/>
        <v/>
      </c>
      <c r="Y1680" s="580" t="str">
        <f t="shared" si="1086"/>
        <v/>
      </c>
      <c r="Z1680" s="580" t="str">
        <f t="shared" si="862"/>
        <v/>
      </c>
    </row>
    <row r="1681" spans="1:26" ht="13.5" hidden="1" thickBot="1" x14ac:dyDescent="0.25">
      <c r="A1681" s="1008">
        <v>606500</v>
      </c>
      <c r="B1681" s="1010" t="s">
        <v>2056</v>
      </c>
      <c r="C1681" s="978" t="s">
        <v>212</v>
      </c>
      <c r="D1681" s="589" t="s">
        <v>540</v>
      </c>
      <c r="E1681" s="590"/>
      <c r="F1681" s="601"/>
      <c r="G1681" s="591"/>
      <c r="H1681" s="908"/>
      <c r="I1681" s="592">
        <v>154.16</v>
      </c>
      <c r="J1681" s="592">
        <f>IF(ISBLANK(I1681),"",SUM(H1681:I1681))</f>
        <v>154.16</v>
      </c>
      <c r="K1681" s="593">
        <f t="shared" si="1105"/>
        <v>187.63</v>
      </c>
      <c r="L1681" s="594" t="s">
        <v>16</v>
      </c>
      <c r="M1681" s="92"/>
      <c r="N1681" s="92"/>
      <c r="O1681" s="93">
        <f t="shared" si="1099"/>
        <v>0</v>
      </c>
      <c r="P1681" s="95">
        <f t="shared" si="1100"/>
        <v>0</v>
      </c>
      <c r="Q1681" s="94"/>
      <c r="R1681" s="598">
        <f t="shared" si="1101"/>
        <v>0</v>
      </c>
      <c r="S1681" s="599">
        <f t="shared" si="1102"/>
        <v>0</v>
      </c>
      <c r="T1681" s="93">
        <f t="shared" si="1103"/>
        <v>0</v>
      </c>
      <c r="U1681" s="95">
        <f t="shared" si="1104"/>
        <v>0</v>
      </c>
      <c r="V1681" s="94"/>
      <c r="X1681" s="580" t="str">
        <f t="shared" si="1077"/>
        <v/>
      </c>
      <c r="Y1681" s="580" t="str">
        <f t="shared" si="1086"/>
        <v/>
      </c>
      <c r="Z1681" s="580" t="str">
        <f t="shared" si="862"/>
        <v/>
      </c>
    </row>
    <row r="1682" spans="1:26" ht="13.5" hidden="1" thickBot="1" x14ac:dyDescent="0.25">
      <c r="A1682" s="1008">
        <v>841000</v>
      </c>
      <c r="B1682" s="1010" t="s">
        <v>1924</v>
      </c>
      <c r="C1682" s="978" t="s">
        <v>212</v>
      </c>
      <c r="D1682" s="595" t="s">
        <v>513</v>
      </c>
      <c r="E1682" s="596"/>
      <c r="F1682" s="671">
        <v>0</v>
      </c>
      <c r="G1682" s="597"/>
      <c r="H1682" s="682">
        <v>0</v>
      </c>
      <c r="I1682" s="592">
        <v>10.57</v>
      </c>
      <c r="J1682" s="592">
        <f t="shared" ref="J1682" si="1107">IF(ISBLANK(I1682),"",SUM(H1682:I1682))</f>
        <v>10.57</v>
      </c>
      <c r="K1682" s="593">
        <f t="shared" si="1105"/>
        <v>12.86</v>
      </c>
      <c r="L1682" s="594" t="s">
        <v>19</v>
      </c>
      <c r="M1682" s="92"/>
      <c r="N1682" s="92"/>
      <c r="O1682" s="93">
        <f t="shared" si="1099"/>
        <v>0</v>
      </c>
      <c r="P1682" s="93">
        <f t="shared" si="1100"/>
        <v>0</v>
      </c>
      <c r="Q1682" s="94"/>
      <c r="R1682" s="92">
        <f t="shared" si="1101"/>
        <v>0</v>
      </c>
      <c r="S1682" s="92">
        <f t="shared" si="1102"/>
        <v>0</v>
      </c>
      <c r="T1682" s="93">
        <f t="shared" si="1103"/>
        <v>0</v>
      </c>
      <c r="U1682" s="95">
        <f t="shared" si="1104"/>
        <v>0</v>
      </c>
      <c r="V1682" s="94"/>
      <c r="X1682" s="580" t="str">
        <f t="shared" si="1077"/>
        <v/>
      </c>
      <c r="Y1682" s="580" t="str">
        <f t="shared" si="1086"/>
        <v/>
      </c>
      <c r="Z1682" s="580" t="str">
        <f t="shared" si="862"/>
        <v/>
      </c>
    </row>
    <row r="1683" spans="1:26" ht="13.5" hidden="1" thickBot="1" x14ac:dyDescent="0.25">
      <c r="A1683" s="1008">
        <v>840000</v>
      </c>
      <c r="B1683" s="1010" t="s">
        <v>1926</v>
      </c>
      <c r="C1683" s="978" t="s">
        <v>212</v>
      </c>
      <c r="D1683" s="595" t="s">
        <v>294</v>
      </c>
      <c r="E1683" s="596"/>
      <c r="F1683" s="671">
        <v>0</v>
      </c>
      <c r="G1683" s="597"/>
      <c r="H1683" s="682">
        <v>0</v>
      </c>
      <c r="I1683" s="592">
        <v>29.17</v>
      </c>
      <c r="J1683" s="592">
        <f t="shared" ref="J1683" si="1108">IF(ISBLANK(I1683),"",SUM(H1683:I1683))</f>
        <v>29.17</v>
      </c>
      <c r="K1683" s="593">
        <f t="shared" si="1105"/>
        <v>35.5</v>
      </c>
      <c r="L1683" s="594" t="s">
        <v>19</v>
      </c>
      <c r="M1683" s="92"/>
      <c r="N1683" s="92"/>
      <c r="O1683" s="93">
        <f t="shared" ref="O1683" si="1109">IF(ISBLANK(M1683),0,ROUND(K1683*M1683,2))</f>
        <v>0</v>
      </c>
      <c r="P1683" s="93">
        <f t="shared" ref="P1683" si="1110">IF(ISBLANK(N1683),0,ROUND(M1683*N1683,2))</f>
        <v>0</v>
      </c>
      <c r="Q1683" s="94"/>
      <c r="R1683" s="92">
        <f t="shared" ref="R1683" si="1111">M1683</f>
        <v>0</v>
      </c>
      <c r="S1683" s="92">
        <f t="shared" ref="S1683" si="1112">N1683</f>
        <v>0</v>
      </c>
      <c r="T1683" s="93">
        <f t="shared" ref="T1683" si="1113">IF(ISBLANK(R1683),0,ROUND(K1683*R1683,2))</f>
        <v>0</v>
      </c>
      <c r="U1683" s="95">
        <f t="shared" ref="U1683" si="1114">IF(ISBLANK(R1683),0,ROUND(R1683*S1683,2))</f>
        <v>0</v>
      </c>
      <c r="V1683" s="94"/>
      <c r="X1683" s="580" t="str">
        <f t="shared" ref="X1683" si="1115">IF(W1683="X","x",IF(W1683="xx","x",IF(W1683="xy","x",IF(W1683="y","x",IF(OR(P1683&gt;0,U1683&gt;0),"x","")))))</f>
        <v/>
      </c>
      <c r="Y1683" s="580" t="str">
        <f t="shared" ref="Y1683" si="1116">IF(W1683="X","x",IF(W1683="y","x",IF(W1683="xx","x",IF(U1683&gt;0,"x",""))))</f>
        <v/>
      </c>
      <c r="Z1683" s="580" t="str">
        <f t="shared" ref="Z1683" si="1117">IF(W1683="X","x",IF(U1683&gt;0,"x",""))</f>
        <v/>
      </c>
    </row>
    <row r="1684" spans="1:26" ht="13.5" hidden="1" thickBot="1" x14ac:dyDescent="0.25">
      <c r="A1684" s="1008">
        <v>606600</v>
      </c>
      <c r="B1684" s="1010" t="s">
        <v>1906</v>
      </c>
      <c r="C1684" s="978" t="s">
        <v>212</v>
      </c>
      <c r="D1684" s="595" t="s">
        <v>205</v>
      </c>
      <c r="E1684" s="596"/>
      <c r="F1684" s="671">
        <v>0</v>
      </c>
      <c r="G1684" s="597"/>
      <c r="H1684" s="682">
        <v>0</v>
      </c>
      <c r="I1684" s="592">
        <v>259.06</v>
      </c>
      <c r="J1684" s="592">
        <f t="shared" ref="J1684:J1689" si="1118">IF(ISBLANK(I1684),"",SUM(H1684:I1684))</f>
        <v>259.06</v>
      </c>
      <c r="K1684" s="593">
        <f t="shared" si="1105"/>
        <v>315.3</v>
      </c>
      <c r="L1684" s="594" t="s">
        <v>16</v>
      </c>
      <c r="M1684" s="92"/>
      <c r="N1684" s="92"/>
      <c r="O1684" s="93">
        <f t="shared" si="1099"/>
        <v>0</v>
      </c>
      <c r="P1684" s="93">
        <f t="shared" si="1100"/>
        <v>0</v>
      </c>
      <c r="Q1684" s="94"/>
      <c r="R1684" s="92">
        <f t="shared" si="1101"/>
        <v>0</v>
      </c>
      <c r="S1684" s="92">
        <f t="shared" si="1102"/>
        <v>0</v>
      </c>
      <c r="T1684" s="93">
        <f t="shared" si="1103"/>
        <v>0</v>
      </c>
      <c r="U1684" s="95">
        <f t="shared" si="1104"/>
        <v>0</v>
      </c>
      <c r="V1684" s="94"/>
      <c r="X1684" s="580" t="str">
        <f t="shared" si="1077"/>
        <v/>
      </c>
      <c r="Y1684" s="580" t="str">
        <f t="shared" si="1086"/>
        <v/>
      </c>
      <c r="Z1684" s="580" t="str">
        <f t="shared" si="862"/>
        <v/>
      </c>
    </row>
    <row r="1685" spans="1:26" ht="13.5" hidden="1" thickBot="1" x14ac:dyDescent="0.25">
      <c r="A1685" s="1008">
        <v>606700</v>
      </c>
      <c r="B1685" s="1010" t="s">
        <v>1910</v>
      </c>
      <c r="C1685" s="978" t="s">
        <v>212</v>
      </c>
      <c r="D1685" s="595" t="s">
        <v>287</v>
      </c>
      <c r="E1685" s="596"/>
      <c r="F1685" s="671">
        <v>0</v>
      </c>
      <c r="G1685" s="597"/>
      <c r="H1685" s="682">
        <v>0</v>
      </c>
      <c r="I1685" s="592">
        <v>123.85000000000001</v>
      </c>
      <c r="J1685" s="592">
        <f t="shared" si="1118"/>
        <v>123.85000000000001</v>
      </c>
      <c r="K1685" s="593">
        <f t="shared" si="1105"/>
        <v>150.74</v>
      </c>
      <c r="L1685" s="594" t="s">
        <v>16</v>
      </c>
      <c r="M1685" s="92"/>
      <c r="N1685" s="92"/>
      <c r="O1685" s="93">
        <f t="shared" si="1099"/>
        <v>0</v>
      </c>
      <c r="P1685" s="93">
        <f t="shared" si="1100"/>
        <v>0</v>
      </c>
      <c r="Q1685" s="94"/>
      <c r="R1685" s="92">
        <f t="shared" si="1101"/>
        <v>0</v>
      </c>
      <c r="S1685" s="92">
        <f t="shared" si="1102"/>
        <v>0</v>
      </c>
      <c r="T1685" s="93">
        <f t="shared" si="1103"/>
        <v>0</v>
      </c>
      <c r="U1685" s="95">
        <f t="shared" si="1104"/>
        <v>0</v>
      </c>
      <c r="V1685" s="94"/>
      <c r="X1685" s="580" t="str">
        <f t="shared" si="1077"/>
        <v/>
      </c>
      <c r="Y1685" s="580" t="str">
        <f t="shared" si="1086"/>
        <v/>
      </c>
      <c r="Z1685" s="580" t="str">
        <f t="shared" si="862"/>
        <v/>
      </c>
    </row>
    <row r="1686" spans="1:26" ht="13.5" hidden="1" thickBot="1" x14ac:dyDescent="0.25">
      <c r="A1686" s="1008">
        <v>603700</v>
      </c>
      <c r="B1686" s="1010" t="s">
        <v>2168</v>
      </c>
      <c r="C1686" s="978" t="s">
        <v>212</v>
      </c>
      <c r="D1686" s="595" t="s">
        <v>357</v>
      </c>
      <c r="E1686" s="596"/>
      <c r="F1686" s="671">
        <v>20</v>
      </c>
      <c r="G1686" s="597">
        <v>1.8</v>
      </c>
      <c r="H1686" s="682">
        <f t="shared" ref="H1686:H1687" si="1119">IF(F1686=0,0,IF(F1686&lt;=30,(0.7*F1686+1.45)*G1686,((0.7*30+1.45)+0.58*(F1686-30))*G1686))</f>
        <v>27.81</v>
      </c>
      <c r="I1686" s="592">
        <v>180.75</v>
      </c>
      <c r="J1686" s="592">
        <f t="shared" si="1118"/>
        <v>208.56</v>
      </c>
      <c r="K1686" s="593">
        <f t="shared" si="1105"/>
        <v>253.84</v>
      </c>
      <c r="L1686" s="594" t="s">
        <v>16</v>
      </c>
      <c r="M1686" s="92"/>
      <c r="N1686" s="92"/>
      <c r="O1686" s="93">
        <f t="shared" si="1099"/>
        <v>0</v>
      </c>
      <c r="P1686" s="93">
        <f t="shared" si="1100"/>
        <v>0</v>
      </c>
      <c r="Q1686" s="94"/>
      <c r="R1686" s="92">
        <f t="shared" si="1101"/>
        <v>0</v>
      </c>
      <c r="S1686" s="92">
        <f t="shared" si="1102"/>
        <v>0</v>
      </c>
      <c r="T1686" s="93">
        <f t="shared" si="1103"/>
        <v>0</v>
      </c>
      <c r="U1686" s="95">
        <f t="shared" si="1104"/>
        <v>0</v>
      </c>
      <c r="V1686" s="94"/>
      <c r="W1686" s="579"/>
      <c r="X1686" s="580" t="str">
        <f t="shared" si="1077"/>
        <v/>
      </c>
      <c r="Y1686" s="580" t="str">
        <f t="shared" si="1086"/>
        <v/>
      </c>
      <c r="Z1686" s="580" t="str">
        <f t="shared" si="862"/>
        <v/>
      </c>
    </row>
    <row r="1687" spans="1:26" ht="13.5" hidden="1" thickBot="1" x14ac:dyDescent="0.25">
      <c r="A1687" s="1008">
        <v>603800</v>
      </c>
      <c r="B1687" s="1010" t="s">
        <v>2169</v>
      </c>
      <c r="C1687" s="978" t="s">
        <v>212</v>
      </c>
      <c r="D1687" s="595" t="s">
        <v>358</v>
      </c>
      <c r="E1687" s="596"/>
      <c r="F1687" s="671">
        <v>20</v>
      </c>
      <c r="G1687" s="597">
        <v>1.5</v>
      </c>
      <c r="H1687" s="682">
        <f t="shared" si="1119"/>
        <v>23.174999999999997</v>
      </c>
      <c r="I1687" s="592">
        <v>106.55000000000001</v>
      </c>
      <c r="J1687" s="592">
        <f t="shared" si="1118"/>
        <v>129.72500000000002</v>
      </c>
      <c r="K1687" s="593">
        <f t="shared" si="1105"/>
        <v>157.88999999999999</v>
      </c>
      <c r="L1687" s="594" t="s">
        <v>16</v>
      </c>
      <c r="M1687" s="92"/>
      <c r="N1687" s="92"/>
      <c r="O1687" s="93">
        <f t="shared" si="1099"/>
        <v>0</v>
      </c>
      <c r="P1687" s="93">
        <f t="shared" si="1100"/>
        <v>0</v>
      </c>
      <c r="Q1687" s="94"/>
      <c r="R1687" s="92">
        <f t="shared" si="1101"/>
        <v>0</v>
      </c>
      <c r="S1687" s="92">
        <f t="shared" si="1102"/>
        <v>0</v>
      </c>
      <c r="T1687" s="93">
        <f t="shared" si="1103"/>
        <v>0</v>
      </c>
      <c r="U1687" s="95">
        <f t="shared" si="1104"/>
        <v>0</v>
      </c>
      <c r="V1687" s="94"/>
      <c r="X1687" s="580" t="str">
        <f t="shared" si="1077"/>
        <v/>
      </c>
      <c r="Y1687" s="580" t="str">
        <f t="shared" si="1086"/>
        <v/>
      </c>
      <c r="Z1687" s="580" t="str">
        <f t="shared" si="862"/>
        <v/>
      </c>
    </row>
    <row r="1688" spans="1:26" ht="13.5" hidden="1" thickBot="1" x14ac:dyDescent="0.25">
      <c r="A1688" s="1008">
        <v>600000</v>
      </c>
      <c r="B1688" s="1010" t="s">
        <v>2172</v>
      </c>
      <c r="C1688" s="978" t="s">
        <v>212</v>
      </c>
      <c r="D1688" s="595" t="s">
        <v>341</v>
      </c>
      <c r="E1688" s="596"/>
      <c r="F1688" s="671">
        <v>0</v>
      </c>
      <c r="G1688" s="597">
        <v>0</v>
      </c>
      <c r="H1688" s="682">
        <v>0</v>
      </c>
      <c r="I1688" s="592">
        <v>41.86</v>
      </c>
      <c r="J1688" s="592">
        <f t="shared" si="1118"/>
        <v>41.86</v>
      </c>
      <c r="K1688" s="593">
        <f t="shared" si="1105"/>
        <v>50.95</v>
      </c>
      <c r="L1688" s="594" t="s">
        <v>16</v>
      </c>
      <c r="M1688" s="92"/>
      <c r="N1688" s="92"/>
      <c r="O1688" s="93">
        <f t="shared" si="1099"/>
        <v>0</v>
      </c>
      <c r="P1688" s="93">
        <f t="shared" si="1100"/>
        <v>0</v>
      </c>
      <c r="Q1688" s="94"/>
      <c r="R1688" s="92">
        <f t="shared" si="1101"/>
        <v>0</v>
      </c>
      <c r="S1688" s="92">
        <f t="shared" si="1102"/>
        <v>0</v>
      </c>
      <c r="T1688" s="93">
        <f t="shared" si="1103"/>
        <v>0</v>
      </c>
      <c r="U1688" s="95">
        <f t="shared" si="1104"/>
        <v>0</v>
      </c>
      <c r="V1688" s="94"/>
      <c r="X1688" s="580" t="str">
        <f t="shared" si="1077"/>
        <v/>
      </c>
      <c r="Y1688" s="580" t="str">
        <f t="shared" si="1086"/>
        <v/>
      </c>
      <c r="Z1688" s="580" t="str">
        <f t="shared" si="862"/>
        <v/>
      </c>
    </row>
    <row r="1689" spans="1:26" ht="13.5" hidden="1" thickBot="1" x14ac:dyDescent="0.25">
      <c r="A1689" s="1008">
        <v>602100</v>
      </c>
      <c r="B1689" s="1010" t="s">
        <v>2135</v>
      </c>
      <c r="C1689" s="978" t="s">
        <v>212</v>
      </c>
      <c r="D1689" s="595" t="s">
        <v>290</v>
      </c>
      <c r="E1689" s="596"/>
      <c r="F1689" s="671"/>
      <c r="G1689" s="597"/>
      <c r="H1689" s="682">
        <f>IF(F1689&lt;=30,(0.31*F1689+0.77)*G1689,((0.31*30+0.77)+0.31*(F1689-30))*G1689)</f>
        <v>0</v>
      </c>
      <c r="I1689" s="592">
        <v>90.759999999999991</v>
      </c>
      <c r="J1689" s="592">
        <f t="shared" si="1118"/>
        <v>90.759999999999991</v>
      </c>
      <c r="K1689" s="593">
        <f t="shared" si="1105"/>
        <v>110.46</v>
      </c>
      <c r="L1689" s="594" t="s">
        <v>18</v>
      </c>
      <c r="M1689" s="92"/>
      <c r="N1689" s="92"/>
      <c r="O1689" s="93">
        <f t="shared" si="1099"/>
        <v>0</v>
      </c>
      <c r="P1689" s="93">
        <f t="shared" si="1100"/>
        <v>0</v>
      </c>
      <c r="Q1689" s="94"/>
      <c r="R1689" s="92">
        <f t="shared" si="1101"/>
        <v>0</v>
      </c>
      <c r="S1689" s="92">
        <f t="shared" si="1102"/>
        <v>0</v>
      </c>
      <c r="T1689" s="93">
        <f t="shared" si="1103"/>
        <v>0</v>
      </c>
      <c r="U1689" s="95">
        <f t="shared" si="1104"/>
        <v>0</v>
      </c>
      <c r="V1689" s="94"/>
      <c r="X1689" s="580" t="str">
        <f t="shared" si="1077"/>
        <v/>
      </c>
      <c r="Y1689" s="580" t="str">
        <f t="shared" si="1086"/>
        <v/>
      </c>
      <c r="Z1689" s="580" t="str">
        <f t="shared" ref="Z1689:Z1745" si="1120">IF(W1689="X","x",IF(U1689&gt;0,"x",""))</f>
        <v/>
      </c>
    </row>
    <row r="1690" spans="1:26" ht="13.5" hidden="1" thickBot="1" x14ac:dyDescent="0.25">
      <c r="A1690" s="1008">
        <v>600310</v>
      </c>
      <c r="B1690" s="1010" t="s">
        <v>1915</v>
      </c>
      <c r="C1690" s="978" t="s">
        <v>212</v>
      </c>
      <c r="D1690" s="589" t="s">
        <v>510</v>
      </c>
      <c r="E1690" s="590"/>
      <c r="F1690" s="601"/>
      <c r="G1690" s="591"/>
      <c r="H1690" s="908"/>
      <c r="I1690" s="592">
        <v>113.81</v>
      </c>
      <c r="J1690" s="592">
        <f t="shared" ref="J1690:J1700" si="1121">IF(ISBLANK(I1690),"",SUM(H1690:I1690))</f>
        <v>113.81</v>
      </c>
      <c r="K1690" s="593">
        <f t="shared" si="1105"/>
        <v>138.52000000000001</v>
      </c>
      <c r="L1690" s="594" t="s">
        <v>21</v>
      </c>
      <c r="M1690" s="92"/>
      <c r="N1690" s="92"/>
      <c r="O1690" s="93">
        <f t="shared" ref="O1690:O1697" si="1122">IF(ISBLANK(M1690),0,ROUND(K1690*M1690,2))</f>
        <v>0</v>
      </c>
      <c r="P1690" s="93">
        <f t="shared" ref="P1690:P1697" si="1123">IF(ISBLANK(N1690),0,ROUND(M1690*N1690,2))</f>
        <v>0</v>
      </c>
      <c r="Q1690" s="94"/>
      <c r="R1690" s="92">
        <f t="shared" ref="R1690:R1697" si="1124">M1690</f>
        <v>0</v>
      </c>
      <c r="S1690" s="92">
        <f t="shared" ref="S1690:S1697" si="1125">N1690</f>
        <v>0</v>
      </c>
      <c r="T1690" s="93">
        <f t="shared" ref="T1690:T1697" si="1126">IF(ISBLANK(R1690),0,ROUND(K1690*R1690,2))</f>
        <v>0</v>
      </c>
      <c r="U1690" s="95">
        <f t="shared" ref="U1690:U1697" si="1127">IF(ISBLANK(R1690),0,ROUND(R1690*S1690,2))</f>
        <v>0</v>
      </c>
      <c r="V1690" s="94"/>
      <c r="X1690" s="580" t="str">
        <f t="shared" si="1077"/>
        <v/>
      </c>
      <c r="Y1690" s="580" t="str">
        <f t="shared" si="1086"/>
        <v/>
      </c>
      <c r="Z1690" s="580" t="str">
        <f t="shared" si="1120"/>
        <v/>
      </c>
    </row>
    <row r="1691" spans="1:26" ht="13.5" hidden="1" thickBot="1" x14ac:dyDescent="0.25">
      <c r="A1691" s="1008">
        <v>633000</v>
      </c>
      <c r="B1691" s="1010" t="s">
        <v>2174</v>
      </c>
      <c r="C1691" s="978" t="s">
        <v>212</v>
      </c>
      <c r="D1691" s="589" t="s">
        <v>796</v>
      </c>
      <c r="E1691" s="590"/>
      <c r="F1691" s="601"/>
      <c r="G1691" s="591"/>
      <c r="H1691" s="908"/>
      <c r="I1691" s="592">
        <v>69.77</v>
      </c>
      <c r="J1691" s="592">
        <f t="shared" ref="J1691:J1693" si="1128">IF(ISBLANK(I1691),"",SUM(H1691:I1691))</f>
        <v>69.77</v>
      </c>
      <c r="K1691" s="593">
        <f t="shared" si="1105"/>
        <v>84.92</v>
      </c>
      <c r="L1691" s="594" t="s">
        <v>19</v>
      </c>
      <c r="M1691" s="92"/>
      <c r="N1691" s="92"/>
      <c r="O1691" s="93">
        <f t="shared" si="1122"/>
        <v>0</v>
      </c>
      <c r="P1691" s="93">
        <f t="shared" si="1123"/>
        <v>0</v>
      </c>
      <c r="Q1691" s="94"/>
      <c r="R1691" s="92">
        <f t="shared" si="1124"/>
        <v>0</v>
      </c>
      <c r="S1691" s="92">
        <f t="shared" si="1125"/>
        <v>0</v>
      </c>
      <c r="T1691" s="93">
        <f t="shared" si="1126"/>
        <v>0</v>
      </c>
      <c r="U1691" s="95">
        <f t="shared" si="1127"/>
        <v>0</v>
      </c>
      <c r="V1691" s="94"/>
      <c r="X1691" s="580" t="str">
        <f t="shared" si="1077"/>
        <v/>
      </c>
      <c r="Y1691" s="580" t="str">
        <f t="shared" si="1086"/>
        <v/>
      </c>
      <c r="Z1691" s="580" t="str">
        <f t="shared" si="1120"/>
        <v/>
      </c>
    </row>
    <row r="1692" spans="1:26" ht="13.5" hidden="1" thickBot="1" x14ac:dyDescent="0.25">
      <c r="A1692" s="1008">
        <v>633100</v>
      </c>
      <c r="B1692" s="1010" t="s">
        <v>2176</v>
      </c>
      <c r="C1692" s="978" t="s">
        <v>212</v>
      </c>
      <c r="D1692" s="589" t="s">
        <v>797</v>
      </c>
      <c r="E1692" s="590"/>
      <c r="F1692" s="601"/>
      <c r="G1692" s="591"/>
      <c r="H1692" s="908"/>
      <c r="I1692" s="592">
        <v>139.54</v>
      </c>
      <c r="J1692" s="592">
        <f t="shared" si="1128"/>
        <v>139.54</v>
      </c>
      <c r="K1692" s="593">
        <f t="shared" si="1105"/>
        <v>169.83</v>
      </c>
      <c r="L1692" s="594" t="s">
        <v>19</v>
      </c>
      <c r="M1692" s="92"/>
      <c r="N1692" s="92"/>
      <c r="O1692" s="93">
        <f t="shared" si="1122"/>
        <v>0</v>
      </c>
      <c r="P1692" s="93">
        <f t="shared" si="1123"/>
        <v>0</v>
      </c>
      <c r="Q1692" s="94"/>
      <c r="R1692" s="92">
        <f t="shared" si="1124"/>
        <v>0</v>
      </c>
      <c r="S1692" s="92">
        <f t="shared" si="1125"/>
        <v>0</v>
      </c>
      <c r="T1692" s="93">
        <f t="shared" si="1126"/>
        <v>0</v>
      </c>
      <c r="U1692" s="95">
        <f t="shared" si="1127"/>
        <v>0</v>
      </c>
      <c r="V1692" s="94"/>
      <c r="X1692" s="580" t="str">
        <f t="shared" si="1077"/>
        <v/>
      </c>
      <c r="Y1692" s="580" t="str">
        <f t="shared" si="1086"/>
        <v/>
      </c>
      <c r="Z1692" s="580" t="str">
        <f t="shared" si="1120"/>
        <v/>
      </c>
    </row>
    <row r="1693" spans="1:26" ht="13.5" hidden="1" thickBot="1" x14ac:dyDescent="0.25">
      <c r="A1693" s="1008">
        <v>633200</v>
      </c>
      <c r="B1693" s="1010" t="s">
        <v>2177</v>
      </c>
      <c r="C1693" s="978" t="s">
        <v>212</v>
      </c>
      <c r="D1693" s="589" t="s">
        <v>798</v>
      </c>
      <c r="E1693" s="590"/>
      <c r="F1693" s="601"/>
      <c r="G1693" s="591"/>
      <c r="H1693" s="908"/>
      <c r="I1693" s="592">
        <v>209.31</v>
      </c>
      <c r="J1693" s="592">
        <f t="shared" si="1128"/>
        <v>209.31</v>
      </c>
      <c r="K1693" s="593">
        <f t="shared" si="1105"/>
        <v>254.75</v>
      </c>
      <c r="L1693" s="594" t="s">
        <v>19</v>
      </c>
      <c r="M1693" s="92"/>
      <c r="N1693" s="92"/>
      <c r="O1693" s="93">
        <f t="shared" si="1122"/>
        <v>0</v>
      </c>
      <c r="P1693" s="93">
        <f t="shared" si="1123"/>
        <v>0</v>
      </c>
      <c r="Q1693" s="94"/>
      <c r="R1693" s="92">
        <f t="shared" si="1124"/>
        <v>0</v>
      </c>
      <c r="S1693" s="92">
        <f t="shared" si="1125"/>
        <v>0</v>
      </c>
      <c r="T1693" s="93">
        <f t="shared" si="1126"/>
        <v>0</v>
      </c>
      <c r="U1693" s="95">
        <f t="shared" si="1127"/>
        <v>0</v>
      </c>
      <c r="V1693" s="94"/>
      <c r="X1693" s="580" t="str">
        <f t="shared" si="1077"/>
        <v/>
      </c>
      <c r="Y1693" s="580" t="str">
        <f t="shared" si="1086"/>
        <v/>
      </c>
      <c r="Z1693" s="580" t="str">
        <f t="shared" si="1120"/>
        <v/>
      </c>
    </row>
    <row r="1694" spans="1:26" ht="13.5" hidden="1" thickBot="1" x14ac:dyDescent="0.25">
      <c r="A1694" s="1008">
        <v>800900</v>
      </c>
      <c r="B1694" s="1010" t="s">
        <v>1918</v>
      </c>
      <c r="C1694" s="978" t="s">
        <v>212</v>
      </c>
      <c r="D1694" s="589" t="s">
        <v>511</v>
      </c>
      <c r="E1694" s="590"/>
      <c r="F1694" s="601"/>
      <c r="G1694" s="591"/>
      <c r="H1694" s="908"/>
      <c r="I1694" s="592">
        <v>9.91</v>
      </c>
      <c r="J1694" s="592">
        <f t="shared" si="1121"/>
        <v>9.91</v>
      </c>
      <c r="K1694" s="593">
        <f t="shared" si="1105"/>
        <v>12.06</v>
      </c>
      <c r="L1694" s="594" t="s">
        <v>18</v>
      </c>
      <c r="M1694" s="92"/>
      <c r="N1694" s="92"/>
      <c r="O1694" s="93">
        <f t="shared" si="1122"/>
        <v>0</v>
      </c>
      <c r="P1694" s="93">
        <f t="shared" si="1123"/>
        <v>0</v>
      </c>
      <c r="Q1694" s="94"/>
      <c r="R1694" s="92">
        <f t="shared" si="1124"/>
        <v>0</v>
      </c>
      <c r="S1694" s="92">
        <f t="shared" si="1125"/>
        <v>0</v>
      </c>
      <c r="T1694" s="93">
        <f t="shared" si="1126"/>
        <v>0</v>
      </c>
      <c r="U1694" s="95">
        <f t="shared" si="1127"/>
        <v>0</v>
      </c>
      <c r="V1694" s="94"/>
      <c r="X1694" s="580" t="str">
        <f t="shared" si="1077"/>
        <v/>
      </c>
      <c r="Y1694" s="580" t="str">
        <f t="shared" si="1086"/>
        <v/>
      </c>
      <c r="Z1694" s="580" t="str">
        <f t="shared" si="1120"/>
        <v/>
      </c>
    </row>
    <row r="1695" spans="1:26" ht="13.5" hidden="1" thickBot="1" x14ac:dyDescent="0.25">
      <c r="A1695" s="1008">
        <v>801100</v>
      </c>
      <c r="B1695" s="1010" t="s">
        <v>1920</v>
      </c>
      <c r="C1695" s="978" t="s">
        <v>212</v>
      </c>
      <c r="D1695" s="589" t="s">
        <v>308</v>
      </c>
      <c r="E1695" s="590"/>
      <c r="F1695" s="601"/>
      <c r="G1695" s="591"/>
      <c r="H1695" s="908"/>
      <c r="I1695" s="592">
        <v>13.91</v>
      </c>
      <c r="J1695" s="592">
        <f t="shared" si="1121"/>
        <v>13.91</v>
      </c>
      <c r="K1695" s="593">
        <f t="shared" si="1105"/>
        <v>16.93</v>
      </c>
      <c r="L1695" s="594" t="s">
        <v>18</v>
      </c>
      <c r="M1695" s="599"/>
      <c r="N1695" s="599"/>
      <c r="O1695" s="93">
        <f t="shared" si="1122"/>
        <v>0</v>
      </c>
      <c r="P1695" s="95">
        <f t="shared" si="1123"/>
        <v>0</v>
      </c>
      <c r="Q1695" s="94"/>
      <c r="R1695" s="598">
        <f t="shared" si="1124"/>
        <v>0</v>
      </c>
      <c r="S1695" s="599">
        <f t="shared" si="1125"/>
        <v>0</v>
      </c>
      <c r="T1695" s="93">
        <f t="shared" si="1126"/>
        <v>0</v>
      </c>
      <c r="U1695" s="95">
        <f t="shared" si="1127"/>
        <v>0</v>
      </c>
      <c r="V1695" s="94"/>
      <c r="X1695" s="580" t="str">
        <f t="shared" si="1077"/>
        <v/>
      </c>
      <c r="Y1695" s="580" t="str">
        <f t="shared" si="1086"/>
        <v/>
      </c>
      <c r="Z1695" s="580" t="str">
        <f t="shared" si="1120"/>
        <v/>
      </c>
    </row>
    <row r="1696" spans="1:26" ht="13.5" hidden="1" thickBot="1" x14ac:dyDescent="0.25">
      <c r="A1696" s="1008">
        <v>600510</v>
      </c>
      <c r="B1696" s="1010" t="s">
        <v>1922</v>
      </c>
      <c r="C1696" s="978" t="s">
        <v>212</v>
      </c>
      <c r="D1696" s="589" t="s">
        <v>512</v>
      </c>
      <c r="E1696" s="590"/>
      <c r="F1696" s="601"/>
      <c r="G1696" s="591"/>
      <c r="H1696" s="908"/>
      <c r="I1696" s="592">
        <v>1.8800000000000001</v>
      </c>
      <c r="J1696" s="592">
        <f t="shared" si="1121"/>
        <v>1.8800000000000001</v>
      </c>
      <c r="K1696" s="593">
        <f t="shared" si="1105"/>
        <v>2.29</v>
      </c>
      <c r="L1696" s="594" t="s">
        <v>19</v>
      </c>
      <c r="M1696" s="599"/>
      <c r="N1696" s="599"/>
      <c r="O1696" s="93">
        <f t="shared" si="1122"/>
        <v>0</v>
      </c>
      <c r="P1696" s="95">
        <f t="shared" si="1123"/>
        <v>0</v>
      </c>
      <c r="Q1696" s="94"/>
      <c r="R1696" s="598">
        <f t="shared" si="1124"/>
        <v>0</v>
      </c>
      <c r="S1696" s="599">
        <f t="shared" si="1125"/>
        <v>0</v>
      </c>
      <c r="T1696" s="93">
        <f t="shared" si="1126"/>
        <v>0</v>
      </c>
      <c r="U1696" s="95">
        <f t="shared" si="1127"/>
        <v>0</v>
      </c>
      <c r="V1696" s="94"/>
      <c r="X1696" s="580" t="str">
        <f t="shared" si="1077"/>
        <v/>
      </c>
      <c r="Y1696" s="580" t="str">
        <f t="shared" si="1086"/>
        <v/>
      </c>
      <c r="Z1696" s="580" t="str">
        <f t="shared" si="1120"/>
        <v/>
      </c>
    </row>
    <row r="1697" spans="1:26" ht="13.5" hidden="1" thickBot="1" x14ac:dyDescent="0.25">
      <c r="A1697" s="1008">
        <v>521450</v>
      </c>
      <c r="B1697" s="1026" t="s">
        <v>1975</v>
      </c>
      <c r="C1697" s="1058" t="s">
        <v>212</v>
      </c>
      <c r="D1697" s="988" t="s">
        <v>247</v>
      </c>
      <c r="E1697" s="976"/>
      <c r="F1697" s="994">
        <v>20</v>
      </c>
      <c r="G1697" s="1061">
        <v>0.3</v>
      </c>
      <c r="H1697" s="682">
        <f>IF(F1697=0,0,IF(F1697&lt;=30,(0.7*F1697+1.45)*G1697,((0.7*30+1.45)+0.58*(F1697-30))*G1697))</f>
        <v>4.6349999999999998</v>
      </c>
      <c r="I1697" s="1030">
        <v>22.76</v>
      </c>
      <c r="J1697" s="592">
        <f>IF(ISBLANK(I1697),"",SUM(H1697:I1697))</f>
        <v>27.395000000000003</v>
      </c>
      <c r="K1697" s="593">
        <f t="shared" si="1105"/>
        <v>33.340000000000003</v>
      </c>
      <c r="L1697" s="594" t="s">
        <v>18</v>
      </c>
      <c r="M1697" s="92"/>
      <c r="N1697" s="92"/>
      <c r="O1697" s="93">
        <f t="shared" si="1122"/>
        <v>0</v>
      </c>
      <c r="P1697" s="93">
        <f t="shared" si="1123"/>
        <v>0</v>
      </c>
      <c r="Q1697" s="94"/>
      <c r="R1697" s="92">
        <f t="shared" si="1124"/>
        <v>0</v>
      </c>
      <c r="S1697" s="92">
        <f t="shared" si="1125"/>
        <v>0</v>
      </c>
      <c r="T1697" s="93">
        <f t="shared" si="1126"/>
        <v>0</v>
      </c>
      <c r="U1697" s="95">
        <f t="shared" si="1127"/>
        <v>0</v>
      </c>
      <c r="V1697" s="94"/>
      <c r="X1697" s="580" t="str">
        <f t="shared" ref="X1697:X1777" si="1129">IF(W1697="X","x",IF(W1697="xx","x",IF(W1697="xy","x",IF(W1697="y","x",IF(OR(P1697&gt;0,U1697&gt;0),"x","")))))</f>
        <v/>
      </c>
      <c r="Y1697" s="580" t="str">
        <f t="shared" si="1086"/>
        <v/>
      </c>
      <c r="Z1697" s="580" t="str">
        <f t="shared" si="1120"/>
        <v/>
      </c>
    </row>
    <row r="1698" spans="1:26" ht="13.5" hidden="1" thickBot="1" x14ac:dyDescent="0.25">
      <c r="A1698" s="1008">
        <v>511300</v>
      </c>
      <c r="B1698" s="1010" t="s">
        <v>1962</v>
      </c>
      <c r="C1698" s="978" t="s">
        <v>212</v>
      </c>
      <c r="D1698" s="595" t="s">
        <v>207</v>
      </c>
      <c r="E1698" s="596"/>
      <c r="F1698" s="671">
        <v>0</v>
      </c>
      <c r="G1698" s="597">
        <v>0</v>
      </c>
      <c r="H1698" s="682">
        <v>0</v>
      </c>
      <c r="I1698" s="592">
        <v>0.2</v>
      </c>
      <c r="J1698" s="592">
        <f t="shared" si="1121"/>
        <v>0.2</v>
      </c>
      <c r="K1698" s="593">
        <f t="shared" si="1105"/>
        <v>0.24</v>
      </c>
      <c r="L1698" s="594" t="s">
        <v>18</v>
      </c>
      <c r="M1698" s="92"/>
      <c r="N1698" s="92"/>
      <c r="O1698" s="93">
        <f>IF(ISBLANK(M1698),0,ROUND(K1698*M1698,2))</f>
        <v>0</v>
      </c>
      <c r="P1698" s="93">
        <f>IF(ISBLANK(N1698),0,ROUND(M1698*N1698,2))</f>
        <v>0</v>
      </c>
      <c r="Q1698" s="94"/>
      <c r="R1698" s="92">
        <f t="shared" ref="R1698:S1700" si="1130">M1698</f>
        <v>0</v>
      </c>
      <c r="S1698" s="92">
        <f t="shared" si="1130"/>
        <v>0</v>
      </c>
      <c r="T1698" s="93">
        <f>IF(ISBLANK(R1698),0,ROUND(K1698*R1698,2))</f>
        <v>0</v>
      </c>
      <c r="U1698" s="95">
        <f>IF(ISBLANK(R1698),0,ROUND(R1698*S1698,2))</f>
        <v>0</v>
      </c>
      <c r="V1698" s="94"/>
      <c r="X1698" s="580" t="str">
        <f t="shared" si="1129"/>
        <v/>
      </c>
      <c r="Y1698" s="580" t="str">
        <f t="shared" si="1086"/>
        <v/>
      </c>
      <c r="Z1698" s="580" t="str">
        <f t="shared" si="1120"/>
        <v/>
      </c>
    </row>
    <row r="1699" spans="1:26" ht="13.5" hidden="1" thickBot="1" x14ac:dyDescent="0.25">
      <c r="A1699" s="1008">
        <v>521450</v>
      </c>
      <c r="B1699" s="1010" t="s">
        <v>1976</v>
      </c>
      <c r="C1699" s="975" t="s">
        <v>212</v>
      </c>
      <c r="D1699" s="988" t="s">
        <v>524</v>
      </c>
      <c r="E1699" s="976"/>
      <c r="F1699" s="994"/>
      <c r="G1699" s="1061"/>
      <c r="H1699" s="979"/>
      <c r="I1699" s="1030">
        <v>8.5500000000000007</v>
      </c>
      <c r="J1699" s="592">
        <f t="shared" si="1121"/>
        <v>8.5500000000000007</v>
      </c>
      <c r="K1699" s="593">
        <f t="shared" si="1105"/>
        <v>10.41</v>
      </c>
      <c r="L1699" s="594" t="s">
        <v>18</v>
      </c>
      <c r="M1699" s="92"/>
      <c r="N1699" s="92"/>
      <c r="O1699" s="93">
        <f>IF(ISBLANK(M1699),0,ROUND(K1699*M1699,2))</f>
        <v>0</v>
      </c>
      <c r="P1699" s="93">
        <f>IF(ISBLANK(N1699),0,ROUND(M1699*N1699,2))</f>
        <v>0</v>
      </c>
      <c r="Q1699" s="94"/>
      <c r="R1699" s="92">
        <f t="shared" si="1130"/>
        <v>0</v>
      </c>
      <c r="S1699" s="92">
        <f t="shared" si="1130"/>
        <v>0</v>
      </c>
      <c r="T1699" s="93">
        <f>IF(ISBLANK(R1699),0,ROUND(K1699*R1699,2))</f>
        <v>0</v>
      </c>
      <c r="U1699" s="95">
        <f>IF(ISBLANK(R1699),0,ROUND(R1699*S1699,2))</f>
        <v>0</v>
      </c>
      <c r="V1699" s="94"/>
      <c r="X1699" s="580" t="str">
        <f t="shared" si="1129"/>
        <v/>
      </c>
      <c r="Y1699" s="580" t="str">
        <f t="shared" si="1086"/>
        <v/>
      </c>
      <c r="Z1699" s="580" t="str">
        <f t="shared" si="1120"/>
        <v/>
      </c>
    </row>
    <row r="1700" spans="1:26" ht="13.5" hidden="1" thickBot="1" x14ac:dyDescent="0.25">
      <c r="A1700" s="1008">
        <v>521450</v>
      </c>
      <c r="B1700" s="1010" t="s">
        <v>1978</v>
      </c>
      <c r="C1700" s="975" t="s">
        <v>212</v>
      </c>
      <c r="D1700" s="988" t="s">
        <v>249</v>
      </c>
      <c r="E1700" s="976"/>
      <c r="F1700" s="994"/>
      <c r="G1700" s="1061"/>
      <c r="H1700" s="979"/>
      <c r="I1700" s="1030">
        <v>11.97</v>
      </c>
      <c r="J1700" s="592">
        <f t="shared" si="1121"/>
        <v>11.97</v>
      </c>
      <c r="K1700" s="593">
        <f t="shared" si="1105"/>
        <v>14.57</v>
      </c>
      <c r="L1700" s="594" t="s">
        <v>18</v>
      </c>
      <c r="M1700" s="92"/>
      <c r="N1700" s="92"/>
      <c r="O1700" s="93">
        <f>IF(ISBLANK(M1700),0,ROUND(K1700*M1700,2))</f>
        <v>0</v>
      </c>
      <c r="P1700" s="93">
        <f>IF(ISBLANK(N1700),0,ROUND(M1700*N1700,2))</f>
        <v>0</v>
      </c>
      <c r="Q1700" s="94"/>
      <c r="R1700" s="92">
        <f t="shared" si="1130"/>
        <v>0</v>
      </c>
      <c r="S1700" s="92">
        <f t="shared" si="1130"/>
        <v>0</v>
      </c>
      <c r="T1700" s="93">
        <f>IF(ISBLANK(R1700),0,ROUND(K1700*R1700,2))</f>
        <v>0</v>
      </c>
      <c r="U1700" s="95">
        <f>IF(ISBLANK(R1700),0,ROUND(R1700*S1700,2))</f>
        <v>0</v>
      </c>
      <c r="V1700" s="94"/>
      <c r="X1700" s="580" t="str">
        <f t="shared" si="1129"/>
        <v/>
      </c>
      <c r="Y1700" s="580" t="str">
        <f t="shared" si="1086"/>
        <v/>
      </c>
      <c r="Z1700" s="580" t="str">
        <f t="shared" si="1120"/>
        <v/>
      </c>
    </row>
    <row r="1701" spans="1:26" ht="13.5" hidden="1" thickBot="1" x14ac:dyDescent="0.25">
      <c r="A1701" s="602" t="s">
        <v>187</v>
      </c>
      <c r="B1701" s="1013" t="s">
        <v>187</v>
      </c>
      <c r="C1701" s="1014"/>
      <c r="D1701" s="603" t="s">
        <v>762</v>
      </c>
      <c r="E1701" s="910"/>
      <c r="F1701" s="676"/>
      <c r="G1701" s="604"/>
      <c r="H1701" s="911"/>
      <c r="I1701" s="605"/>
      <c r="J1701" s="605"/>
      <c r="K1701" s="605"/>
      <c r="L1701" s="605" t="s">
        <v>783</v>
      </c>
      <c r="M1701" s="606"/>
      <c r="N1701" s="605"/>
      <c r="O1701" s="605"/>
      <c r="P1701" s="607"/>
      <c r="Q1701" s="94"/>
      <c r="R1701" s="606"/>
      <c r="S1701" s="605"/>
      <c r="T1701" s="605"/>
      <c r="U1701" s="607"/>
      <c r="V1701" s="94"/>
      <c r="W1701" s="579" t="str">
        <f>IF(OR(SUM(P1702:P1733)&gt;0,SUM(U1702:U1733)&gt;0),"y","")</f>
        <v/>
      </c>
      <c r="X1701" s="580" t="str">
        <f t="shared" si="1129"/>
        <v/>
      </c>
      <c r="Y1701" s="580" t="str">
        <f t="shared" si="1086"/>
        <v/>
      </c>
      <c r="Z1701" s="580" t="str">
        <f t="shared" si="1120"/>
        <v/>
      </c>
    </row>
    <row r="1702" spans="1:26" ht="13.5" hidden="1" thickBot="1" x14ac:dyDescent="0.25">
      <c r="A1702" s="602" t="s">
        <v>187</v>
      </c>
      <c r="B1702" s="1015" t="s">
        <v>187</v>
      </c>
      <c r="C1702" s="1016" t="s">
        <v>187</v>
      </c>
      <c r="D1702" s="608"/>
      <c r="E1702" s="609"/>
      <c r="F1702" s="677"/>
      <c r="G1702" s="610"/>
      <c r="H1702" s="611"/>
      <c r="I1702" s="612"/>
      <c r="J1702" s="613"/>
      <c r="K1702" s="614">
        <f t="shared" ref="K1702:K1733" si="1131">IF(ISBLANK(J1702),0,ROUND(J1702*(1+$F$10)*(1+$F$11*E1702),2))</f>
        <v>0</v>
      </c>
      <c r="L1702" s="615" t="s">
        <v>783</v>
      </c>
      <c r="M1702" s="599"/>
      <c r="N1702" s="599"/>
      <c r="O1702" s="93">
        <f t="shared" ref="O1702" si="1132">IF(ISBLANK(M1702),0,ROUND(K1702*M1702,2))</f>
        <v>0</v>
      </c>
      <c r="P1702" s="95">
        <f t="shared" ref="P1702:P1733" si="1133">IF(ISBLANK(N1702),0,ROUND(M1702*N1702,2))</f>
        <v>0</v>
      </c>
      <c r="Q1702" s="94"/>
      <c r="R1702" s="598">
        <f t="shared" ref="R1702:R1733" si="1134">M1702</f>
        <v>0</v>
      </c>
      <c r="S1702" s="599">
        <f t="shared" ref="S1702:S1733" si="1135">N1702</f>
        <v>0</v>
      </c>
      <c r="T1702" s="93">
        <f t="shared" ref="T1702:T1733" si="1136">IF(ISBLANK(R1702),0,ROUND(K1702*R1702,2))</f>
        <v>0</v>
      </c>
      <c r="U1702" s="95">
        <f t="shared" ref="U1702:U1733" si="1137">IF(ISBLANK(R1702),0,ROUND(R1702*S1702,2))</f>
        <v>0</v>
      </c>
      <c r="V1702" s="94"/>
      <c r="X1702" s="580" t="str">
        <f t="shared" si="1129"/>
        <v/>
      </c>
      <c r="Y1702" s="580" t="str">
        <f t="shared" si="1086"/>
        <v/>
      </c>
      <c r="Z1702" s="580" t="str">
        <f t="shared" si="1120"/>
        <v/>
      </c>
    </row>
    <row r="1703" spans="1:26" ht="13.5" hidden="1" thickBot="1" x14ac:dyDescent="0.25">
      <c r="A1703" s="602" t="s">
        <v>187</v>
      </c>
      <c r="B1703" s="1015" t="s">
        <v>187</v>
      </c>
      <c r="C1703" s="1016" t="s">
        <v>187</v>
      </c>
      <c r="D1703" s="616"/>
      <c r="E1703" s="609"/>
      <c r="F1703" s="677"/>
      <c r="G1703" s="610"/>
      <c r="H1703" s="611"/>
      <c r="I1703" s="612"/>
      <c r="J1703" s="613"/>
      <c r="K1703" s="617">
        <f t="shared" si="1131"/>
        <v>0</v>
      </c>
      <c r="L1703" s="615" t="s">
        <v>783</v>
      </c>
      <c r="M1703" s="92"/>
      <c r="N1703" s="92"/>
      <c r="O1703" s="93">
        <f>IF(ISBLANK(M1703),0,ROUND(K1703*M1703,2))</f>
        <v>0</v>
      </c>
      <c r="P1703" s="93">
        <f t="shared" si="1133"/>
        <v>0</v>
      </c>
      <c r="Q1703" s="94"/>
      <c r="R1703" s="92">
        <f t="shared" si="1134"/>
        <v>0</v>
      </c>
      <c r="S1703" s="92">
        <f t="shared" si="1135"/>
        <v>0</v>
      </c>
      <c r="T1703" s="93">
        <f t="shared" si="1136"/>
        <v>0</v>
      </c>
      <c r="U1703" s="618">
        <f t="shared" si="1137"/>
        <v>0</v>
      </c>
      <c r="V1703" s="94"/>
      <c r="X1703" s="580" t="str">
        <f t="shared" si="1129"/>
        <v/>
      </c>
      <c r="Y1703" s="580" t="str">
        <f t="shared" si="1086"/>
        <v/>
      </c>
      <c r="Z1703" s="580" t="str">
        <f t="shared" si="1120"/>
        <v/>
      </c>
    </row>
    <row r="1704" spans="1:26" ht="13.5" hidden="1" thickBot="1" x14ac:dyDescent="0.25">
      <c r="A1704" s="602" t="s">
        <v>187</v>
      </c>
      <c r="B1704" s="1015" t="s">
        <v>187</v>
      </c>
      <c r="C1704" s="1016" t="s">
        <v>187</v>
      </c>
      <c r="D1704" s="616"/>
      <c r="E1704" s="609"/>
      <c r="F1704" s="677"/>
      <c r="G1704" s="610"/>
      <c r="H1704" s="611"/>
      <c r="I1704" s="612"/>
      <c r="J1704" s="613"/>
      <c r="K1704" s="617">
        <f t="shared" si="1131"/>
        <v>0</v>
      </c>
      <c r="L1704" s="615" t="s">
        <v>783</v>
      </c>
      <c r="M1704" s="92"/>
      <c r="N1704" s="92"/>
      <c r="O1704" s="93">
        <f t="shared" ref="O1704:O1733" si="1138">IF(ISBLANK(M1704),0,ROUND(K1704*M1704,2))</f>
        <v>0</v>
      </c>
      <c r="P1704" s="93">
        <f t="shared" si="1133"/>
        <v>0</v>
      </c>
      <c r="Q1704" s="94"/>
      <c r="R1704" s="92">
        <f t="shared" si="1134"/>
        <v>0</v>
      </c>
      <c r="S1704" s="92">
        <f t="shared" si="1135"/>
        <v>0</v>
      </c>
      <c r="T1704" s="93">
        <f t="shared" si="1136"/>
        <v>0</v>
      </c>
      <c r="U1704" s="95">
        <f t="shared" si="1137"/>
        <v>0</v>
      </c>
      <c r="V1704" s="94"/>
      <c r="X1704" s="580" t="str">
        <f t="shared" si="1129"/>
        <v/>
      </c>
      <c r="Y1704" s="580" t="str">
        <f t="shared" si="1086"/>
        <v/>
      </c>
      <c r="Z1704" s="580" t="str">
        <f t="shared" si="1120"/>
        <v/>
      </c>
    </row>
    <row r="1705" spans="1:26" ht="13.5" hidden="1" thickBot="1" x14ac:dyDescent="0.25">
      <c r="A1705" s="602" t="s">
        <v>187</v>
      </c>
      <c r="B1705" s="1015" t="s">
        <v>187</v>
      </c>
      <c r="C1705" s="1016" t="s">
        <v>187</v>
      </c>
      <c r="D1705" s="616"/>
      <c r="E1705" s="609"/>
      <c r="F1705" s="677"/>
      <c r="G1705" s="610"/>
      <c r="H1705" s="611"/>
      <c r="I1705" s="612"/>
      <c r="J1705" s="613"/>
      <c r="K1705" s="617">
        <f t="shared" si="1131"/>
        <v>0</v>
      </c>
      <c r="L1705" s="615" t="s">
        <v>783</v>
      </c>
      <c r="M1705" s="92"/>
      <c r="N1705" s="92"/>
      <c r="O1705" s="93">
        <f t="shared" si="1138"/>
        <v>0</v>
      </c>
      <c r="P1705" s="93">
        <f t="shared" si="1133"/>
        <v>0</v>
      </c>
      <c r="Q1705" s="94"/>
      <c r="R1705" s="92">
        <f t="shared" si="1134"/>
        <v>0</v>
      </c>
      <c r="S1705" s="92">
        <f t="shared" si="1135"/>
        <v>0</v>
      </c>
      <c r="T1705" s="93">
        <f t="shared" si="1136"/>
        <v>0</v>
      </c>
      <c r="U1705" s="95">
        <f t="shared" si="1137"/>
        <v>0</v>
      </c>
      <c r="V1705" s="94"/>
      <c r="X1705" s="580" t="str">
        <f t="shared" si="1129"/>
        <v/>
      </c>
      <c r="Y1705" s="580" t="str">
        <f t="shared" si="1086"/>
        <v/>
      </c>
      <c r="Z1705" s="580" t="str">
        <f t="shared" si="1120"/>
        <v/>
      </c>
    </row>
    <row r="1706" spans="1:26" ht="13.5" hidden="1" thickBot="1" x14ac:dyDescent="0.25">
      <c r="A1706" s="602" t="s">
        <v>187</v>
      </c>
      <c r="B1706" s="1015" t="s">
        <v>187</v>
      </c>
      <c r="C1706" s="1016" t="s">
        <v>187</v>
      </c>
      <c r="D1706" s="616"/>
      <c r="E1706" s="609"/>
      <c r="F1706" s="677"/>
      <c r="G1706" s="610"/>
      <c r="H1706" s="611"/>
      <c r="I1706" s="612"/>
      <c r="J1706" s="613"/>
      <c r="K1706" s="617">
        <f t="shared" si="1131"/>
        <v>0</v>
      </c>
      <c r="L1706" s="615" t="s">
        <v>783</v>
      </c>
      <c r="M1706" s="92"/>
      <c r="N1706" s="92"/>
      <c r="O1706" s="93">
        <f t="shared" ref="O1706:O1712" si="1139">IF(ISBLANK(M1706),0,ROUND(K1706*M1706,2))</f>
        <v>0</v>
      </c>
      <c r="P1706" s="93">
        <f t="shared" ref="P1706:P1712" si="1140">IF(ISBLANK(N1706),0,ROUND(M1706*N1706,2))</f>
        <v>0</v>
      </c>
      <c r="Q1706" s="94"/>
      <c r="R1706" s="92">
        <f t="shared" si="1134"/>
        <v>0</v>
      </c>
      <c r="S1706" s="92">
        <f t="shared" si="1135"/>
        <v>0</v>
      </c>
      <c r="T1706" s="93">
        <f t="shared" ref="T1706:T1712" si="1141">IF(ISBLANK(R1706),0,ROUND(K1706*R1706,2))</f>
        <v>0</v>
      </c>
      <c r="U1706" s="95">
        <f t="shared" si="1137"/>
        <v>0</v>
      </c>
      <c r="V1706" s="94"/>
      <c r="X1706" s="580" t="str">
        <f t="shared" si="1129"/>
        <v/>
      </c>
      <c r="Y1706" s="580" t="str">
        <f t="shared" si="1086"/>
        <v/>
      </c>
      <c r="Z1706" s="580" t="str">
        <f t="shared" si="1120"/>
        <v/>
      </c>
    </row>
    <row r="1707" spans="1:26" ht="13.5" hidden="1" thickBot="1" x14ac:dyDescent="0.25">
      <c r="A1707" s="602" t="s">
        <v>187</v>
      </c>
      <c r="B1707" s="1015" t="s">
        <v>187</v>
      </c>
      <c r="C1707" s="1016" t="s">
        <v>187</v>
      </c>
      <c r="D1707" s="616"/>
      <c r="E1707" s="609"/>
      <c r="F1707" s="677"/>
      <c r="G1707" s="610"/>
      <c r="H1707" s="611"/>
      <c r="I1707" s="612"/>
      <c r="J1707" s="613"/>
      <c r="K1707" s="617">
        <f t="shared" si="1131"/>
        <v>0</v>
      </c>
      <c r="L1707" s="615" t="s">
        <v>783</v>
      </c>
      <c r="M1707" s="92"/>
      <c r="N1707" s="92"/>
      <c r="O1707" s="93">
        <f t="shared" si="1139"/>
        <v>0</v>
      </c>
      <c r="P1707" s="93">
        <f t="shared" si="1140"/>
        <v>0</v>
      </c>
      <c r="Q1707" s="94"/>
      <c r="R1707" s="92">
        <f t="shared" si="1134"/>
        <v>0</v>
      </c>
      <c r="S1707" s="92">
        <f t="shared" si="1135"/>
        <v>0</v>
      </c>
      <c r="T1707" s="93">
        <f t="shared" si="1141"/>
        <v>0</v>
      </c>
      <c r="U1707" s="95">
        <f t="shared" si="1137"/>
        <v>0</v>
      </c>
      <c r="V1707" s="94"/>
      <c r="X1707" s="580" t="str">
        <f t="shared" si="1129"/>
        <v/>
      </c>
      <c r="Y1707" s="580" t="str">
        <f t="shared" si="1086"/>
        <v/>
      </c>
      <c r="Z1707" s="580" t="str">
        <f t="shared" si="1120"/>
        <v/>
      </c>
    </row>
    <row r="1708" spans="1:26" ht="13.5" hidden="1" thickBot="1" x14ac:dyDescent="0.25">
      <c r="A1708" s="602" t="s">
        <v>187</v>
      </c>
      <c r="B1708" s="1015" t="s">
        <v>187</v>
      </c>
      <c r="C1708" s="1016" t="s">
        <v>187</v>
      </c>
      <c r="D1708" s="616"/>
      <c r="E1708" s="609"/>
      <c r="F1708" s="677"/>
      <c r="G1708" s="610"/>
      <c r="H1708" s="611"/>
      <c r="I1708" s="612"/>
      <c r="J1708" s="613"/>
      <c r="K1708" s="617">
        <f t="shared" si="1131"/>
        <v>0</v>
      </c>
      <c r="L1708" s="615" t="s">
        <v>783</v>
      </c>
      <c r="M1708" s="92"/>
      <c r="N1708" s="92"/>
      <c r="O1708" s="93">
        <f t="shared" si="1139"/>
        <v>0</v>
      </c>
      <c r="P1708" s="93">
        <f t="shared" si="1140"/>
        <v>0</v>
      </c>
      <c r="Q1708" s="94"/>
      <c r="R1708" s="92">
        <f t="shared" si="1134"/>
        <v>0</v>
      </c>
      <c r="S1708" s="92">
        <f t="shared" si="1135"/>
        <v>0</v>
      </c>
      <c r="T1708" s="93">
        <f t="shared" si="1141"/>
        <v>0</v>
      </c>
      <c r="U1708" s="95">
        <f t="shared" si="1137"/>
        <v>0</v>
      </c>
      <c r="V1708" s="94"/>
      <c r="X1708" s="580" t="str">
        <f t="shared" si="1129"/>
        <v/>
      </c>
      <c r="Y1708" s="580" t="str">
        <f t="shared" si="1086"/>
        <v/>
      </c>
      <c r="Z1708" s="580" t="str">
        <f t="shared" si="1120"/>
        <v/>
      </c>
    </row>
    <row r="1709" spans="1:26" ht="13.5" hidden="1" thickBot="1" x14ac:dyDescent="0.25">
      <c r="A1709" s="602" t="s">
        <v>187</v>
      </c>
      <c r="B1709" s="1015" t="s">
        <v>187</v>
      </c>
      <c r="C1709" s="1016" t="s">
        <v>187</v>
      </c>
      <c r="D1709" s="616"/>
      <c r="E1709" s="609"/>
      <c r="F1709" s="677"/>
      <c r="G1709" s="610"/>
      <c r="H1709" s="611"/>
      <c r="I1709" s="612"/>
      <c r="J1709" s="613"/>
      <c r="K1709" s="617">
        <f t="shared" si="1131"/>
        <v>0</v>
      </c>
      <c r="L1709" s="615" t="s">
        <v>783</v>
      </c>
      <c r="M1709" s="92"/>
      <c r="N1709" s="92"/>
      <c r="O1709" s="93">
        <f t="shared" si="1139"/>
        <v>0</v>
      </c>
      <c r="P1709" s="93">
        <f t="shared" si="1140"/>
        <v>0</v>
      </c>
      <c r="Q1709" s="94"/>
      <c r="R1709" s="92">
        <f t="shared" si="1134"/>
        <v>0</v>
      </c>
      <c r="S1709" s="92">
        <f t="shared" si="1135"/>
        <v>0</v>
      </c>
      <c r="T1709" s="93">
        <f t="shared" si="1141"/>
        <v>0</v>
      </c>
      <c r="U1709" s="95">
        <f t="shared" si="1137"/>
        <v>0</v>
      </c>
      <c r="V1709" s="94"/>
      <c r="X1709" s="580" t="str">
        <f t="shared" si="1129"/>
        <v/>
      </c>
      <c r="Y1709" s="580" t="str">
        <f t="shared" ref="Y1709:Y2013" si="1142">IF(W1709="X","x",IF(W1709="y","x",IF(W1709="xx","x",IF(U1709&gt;0,"x",""))))</f>
        <v/>
      </c>
      <c r="Z1709" s="580" t="str">
        <f t="shared" si="1120"/>
        <v/>
      </c>
    </row>
    <row r="1710" spans="1:26" ht="13.5" hidden="1" thickBot="1" x14ac:dyDescent="0.25">
      <c r="A1710" s="602" t="s">
        <v>187</v>
      </c>
      <c r="B1710" s="1015" t="s">
        <v>187</v>
      </c>
      <c r="C1710" s="1016" t="s">
        <v>187</v>
      </c>
      <c r="D1710" s="616"/>
      <c r="E1710" s="609"/>
      <c r="F1710" s="677"/>
      <c r="G1710" s="610"/>
      <c r="H1710" s="611"/>
      <c r="I1710" s="612"/>
      <c r="J1710" s="613"/>
      <c r="K1710" s="617">
        <f t="shared" si="1131"/>
        <v>0</v>
      </c>
      <c r="L1710" s="615" t="s">
        <v>783</v>
      </c>
      <c r="M1710" s="92"/>
      <c r="N1710" s="92"/>
      <c r="O1710" s="93">
        <f t="shared" si="1139"/>
        <v>0</v>
      </c>
      <c r="P1710" s="93">
        <f t="shared" si="1140"/>
        <v>0</v>
      </c>
      <c r="Q1710" s="94"/>
      <c r="R1710" s="92">
        <f t="shared" si="1134"/>
        <v>0</v>
      </c>
      <c r="S1710" s="92">
        <f t="shared" si="1135"/>
        <v>0</v>
      </c>
      <c r="T1710" s="93">
        <f t="shared" si="1141"/>
        <v>0</v>
      </c>
      <c r="U1710" s="95">
        <f t="shared" si="1137"/>
        <v>0</v>
      </c>
      <c r="V1710" s="94"/>
      <c r="X1710" s="580" t="str">
        <f t="shared" si="1129"/>
        <v/>
      </c>
      <c r="Y1710" s="580" t="str">
        <f t="shared" si="1142"/>
        <v/>
      </c>
      <c r="Z1710" s="580" t="str">
        <f t="shared" si="1120"/>
        <v/>
      </c>
    </row>
    <row r="1711" spans="1:26" ht="13.5" hidden="1" thickBot="1" x14ac:dyDescent="0.25">
      <c r="A1711" s="602" t="s">
        <v>187</v>
      </c>
      <c r="B1711" s="1015" t="s">
        <v>187</v>
      </c>
      <c r="C1711" s="1016" t="s">
        <v>187</v>
      </c>
      <c r="D1711" s="616"/>
      <c r="E1711" s="609"/>
      <c r="F1711" s="677"/>
      <c r="G1711" s="610"/>
      <c r="H1711" s="611"/>
      <c r="I1711" s="612"/>
      <c r="J1711" s="613"/>
      <c r="K1711" s="617">
        <f t="shared" si="1131"/>
        <v>0</v>
      </c>
      <c r="L1711" s="615" t="s">
        <v>783</v>
      </c>
      <c r="M1711" s="92"/>
      <c r="N1711" s="92"/>
      <c r="O1711" s="93">
        <f t="shared" si="1139"/>
        <v>0</v>
      </c>
      <c r="P1711" s="93">
        <f t="shared" si="1140"/>
        <v>0</v>
      </c>
      <c r="Q1711" s="94"/>
      <c r="R1711" s="92">
        <f t="shared" si="1134"/>
        <v>0</v>
      </c>
      <c r="S1711" s="92">
        <f t="shared" si="1135"/>
        <v>0</v>
      </c>
      <c r="T1711" s="93">
        <f t="shared" si="1141"/>
        <v>0</v>
      </c>
      <c r="U1711" s="95">
        <f t="shared" si="1137"/>
        <v>0</v>
      </c>
      <c r="V1711" s="94"/>
      <c r="X1711" s="580" t="str">
        <f t="shared" si="1129"/>
        <v/>
      </c>
      <c r="Y1711" s="580" t="str">
        <f t="shared" si="1142"/>
        <v/>
      </c>
      <c r="Z1711" s="580" t="str">
        <f t="shared" si="1120"/>
        <v/>
      </c>
    </row>
    <row r="1712" spans="1:26" ht="13.5" hidden="1" thickBot="1" x14ac:dyDescent="0.25">
      <c r="A1712" s="602" t="s">
        <v>187</v>
      </c>
      <c r="B1712" s="1015" t="s">
        <v>187</v>
      </c>
      <c r="C1712" s="1016" t="s">
        <v>187</v>
      </c>
      <c r="D1712" s="616"/>
      <c r="E1712" s="609"/>
      <c r="F1712" s="677"/>
      <c r="G1712" s="610"/>
      <c r="H1712" s="611"/>
      <c r="I1712" s="612"/>
      <c r="J1712" s="613"/>
      <c r="K1712" s="617">
        <f t="shared" si="1131"/>
        <v>0</v>
      </c>
      <c r="L1712" s="615" t="s">
        <v>783</v>
      </c>
      <c r="M1712" s="92"/>
      <c r="N1712" s="92"/>
      <c r="O1712" s="93">
        <f t="shared" si="1139"/>
        <v>0</v>
      </c>
      <c r="P1712" s="93">
        <f t="shared" si="1140"/>
        <v>0</v>
      </c>
      <c r="Q1712" s="94"/>
      <c r="R1712" s="92">
        <f t="shared" si="1134"/>
        <v>0</v>
      </c>
      <c r="S1712" s="92">
        <f t="shared" si="1135"/>
        <v>0</v>
      </c>
      <c r="T1712" s="93">
        <f t="shared" si="1141"/>
        <v>0</v>
      </c>
      <c r="U1712" s="95">
        <f t="shared" si="1137"/>
        <v>0</v>
      </c>
      <c r="V1712" s="94"/>
      <c r="X1712" s="580" t="str">
        <f t="shared" si="1129"/>
        <v/>
      </c>
      <c r="Y1712" s="580" t="str">
        <f t="shared" si="1142"/>
        <v/>
      </c>
      <c r="Z1712" s="580" t="str">
        <f t="shared" si="1120"/>
        <v/>
      </c>
    </row>
    <row r="1713" spans="1:26" ht="13.5" hidden="1" thickBot="1" x14ac:dyDescent="0.25">
      <c r="A1713" s="602" t="s">
        <v>187</v>
      </c>
      <c r="B1713" s="1015" t="s">
        <v>187</v>
      </c>
      <c r="C1713" s="1016" t="s">
        <v>187</v>
      </c>
      <c r="D1713" s="616"/>
      <c r="E1713" s="609"/>
      <c r="F1713" s="677"/>
      <c r="G1713" s="610"/>
      <c r="H1713" s="611"/>
      <c r="I1713" s="612"/>
      <c r="J1713" s="613"/>
      <c r="K1713" s="617">
        <f t="shared" si="1131"/>
        <v>0</v>
      </c>
      <c r="L1713" s="615" t="s">
        <v>783</v>
      </c>
      <c r="M1713" s="92"/>
      <c r="N1713" s="92"/>
      <c r="O1713" s="93">
        <f t="shared" si="1138"/>
        <v>0</v>
      </c>
      <c r="P1713" s="93">
        <f t="shared" si="1133"/>
        <v>0</v>
      </c>
      <c r="Q1713" s="94"/>
      <c r="R1713" s="92">
        <f t="shared" si="1134"/>
        <v>0</v>
      </c>
      <c r="S1713" s="92">
        <f t="shared" si="1135"/>
        <v>0</v>
      </c>
      <c r="T1713" s="93">
        <f t="shared" si="1136"/>
        <v>0</v>
      </c>
      <c r="U1713" s="95">
        <f t="shared" si="1137"/>
        <v>0</v>
      </c>
      <c r="V1713" s="94"/>
      <c r="X1713" s="580" t="str">
        <f t="shared" si="1129"/>
        <v/>
      </c>
      <c r="Y1713" s="580" t="str">
        <f t="shared" si="1142"/>
        <v/>
      </c>
      <c r="Z1713" s="580" t="str">
        <f t="shared" si="1120"/>
        <v/>
      </c>
    </row>
    <row r="1714" spans="1:26" ht="13.5" hidden="1" thickBot="1" x14ac:dyDescent="0.25">
      <c r="A1714" s="602" t="s">
        <v>187</v>
      </c>
      <c r="B1714" s="1015" t="s">
        <v>187</v>
      </c>
      <c r="C1714" s="1016" t="s">
        <v>187</v>
      </c>
      <c r="D1714" s="616"/>
      <c r="E1714" s="609"/>
      <c r="F1714" s="677"/>
      <c r="G1714" s="610"/>
      <c r="H1714" s="611"/>
      <c r="I1714" s="612"/>
      <c r="J1714" s="613"/>
      <c r="K1714" s="617">
        <f t="shared" si="1131"/>
        <v>0</v>
      </c>
      <c r="L1714" s="615" t="s">
        <v>783</v>
      </c>
      <c r="M1714" s="92"/>
      <c r="N1714" s="92"/>
      <c r="O1714" s="93">
        <f t="shared" si="1138"/>
        <v>0</v>
      </c>
      <c r="P1714" s="93">
        <f t="shared" si="1133"/>
        <v>0</v>
      </c>
      <c r="Q1714" s="94"/>
      <c r="R1714" s="92">
        <f t="shared" si="1134"/>
        <v>0</v>
      </c>
      <c r="S1714" s="92">
        <f t="shared" si="1135"/>
        <v>0</v>
      </c>
      <c r="T1714" s="93">
        <f t="shared" si="1136"/>
        <v>0</v>
      </c>
      <c r="U1714" s="95">
        <f t="shared" si="1137"/>
        <v>0</v>
      </c>
      <c r="V1714" s="94"/>
      <c r="X1714" s="580" t="str">
        <f t="shared" si="1129"/>
        <v/>
      </c>
      <c r="Y1714" s="580" t="str">
        <f t="shared" si="1142"/>
        <v/>
      </c>
      <c r="Z1714" s="580" t="str">
        <f t="shared" si="1120"/>
        <v/>
      </c>
    </row>
    <row r="1715" spans="1:26" ht="13.5" hidden="1" thickBot="1" x14ac:dyDescent="0.25">
      <c r="A1715" s="602" t="s">
        <v>187</v>
      </c>
      <c r="B1715" s="1015" t="s">
        <v>187</v>
      </c>
      <c r="C1715" s="1016" t="s">
        <v>187</v>
      </c>
      <c r="D1715" s="616"/>
      <c r="E1715" s="609"/>
      <c r="F1715" s="677"/>
      <c r="G1715" s="610"/>
      <c r="H1715" s="611"/>
      <c r="I1715" s="612"/>
      <c r="J1715" s="613"/>
      <c r="K1715" s="617">
        <f t="shared" si="1131"/>
        <v>0</v>
      </c>
      <c r="L1715" s="615" t="s">
        <v>783</v>
      </c>
      <c r="M1715" s="92"/>
      <c r="N1715" s="92"/>
      <c r="O1715" s="93">
        <f t="shared" si="1138"/>
        <v>0</v>
      </c>
      <c r="P1715" s="93">
        <f t="shared" si="1133"/>
        <v>0</v>
      </c>
      <c r="Q1715" s="94"/>
      <c r="R1715" s="92">
        <f t="shared" si="1134"/>
        <v>0</v>
      </c>
      <c r="S1715" s="92">
        <f t="shared" si="1135"/>
        <v>0</v>
      </c>
      <c r="T1715" s="93">
        <f t="shared" si="1136"/>
        <v>0</v>
      </c>
      <c r="U1715" s="95">
        <f t="shared" si="1137"/>
        <v>0</v>
      </c>
      <c r="V1715" s="94"/>
      <c r="X1715" s="580" t="str">
        <f t="shared" si="1129"/>
        <v/>
      </c>
      <c r="Y1715" s="580" t="str">
        <f t="shared" si="1142"/>
        <v/>
      </c>
      <c r="Z1715" s="580" t="str">
        <f t="shared" si="1120"/>
        <v/>
      </c>
    </row>
    <row r="1716" spans="1:26" ht="13.5" hidden="1" thickBot="1" x14ac:dyDescent="0.25">
      <c r="A1716" s="602" t="s">
        <v>187</v>
      </c>
      <c r="B1716" s="1015" t="s">
        <v>187</v>
      </c>
      <c r="C1716" s="1016" t="s">
        <v>187</v>
      </c>
      <c r="D1716" s="616"/>
      <c r="E1716" s="609"/>
      <c r="F1716" s="677"/>
      <c r="G1716" s="610"/>
      <c r="H1716" s="611"/>
      <c r="I1716" s="612"/>
      <c r="J1716" s="613"/>
      <c r="K1716" s="617">
        <f t="shared" si="1131"/>
        <v>0</v>
      </c>
      <c r="L1716" s="615" t="s">
        <v>783</v>
      </c>
      <c r="M1716" s="92"/>
      <c r="N1716" s="92"/>
      <c r="O1716" s="93">
        <f t="shared" si="1138"/>
        <v>0</v>
      </c>
      <c r="P1716" s="93">
        <f t="shared" si="1133"/>
        <v>0</v>
      </c>
      <c r="Q1716" s="94"/>
      <c r="R1716" s="92">
        <f t="shared" si="1134"/>
        <v>0</v>
      </c>
      <c r="S1716" s="92">
        <f t="shared" si="1135"/>
        <v>0</v>
      </c>
      <c r="T1716" s="93">
        <f t="shared" si="1136"/>
        <v>0</v>
      </c>
      <c r="U1716" s="95">
        <f t="shared" si="1137"/>
        <v>0</v>
      </c>
      <c r="V1716" s="94"/>
      <c r="X1716" s="580" t="str">
        <f t="shared" si="1129"/>
        <v/>
      </c>
      <c r="Y1716" s="580" t="str">
        <f t="shared" si="1142"/>
        <v/>
      </c>
      <c r="Z1716" s="580" t="str">
        <f t="shared" si="1120"/>
        <v/>
      </c>
    </row>
    <row r="1717" spans="1:26" ht="13.5" hidden="1" thickBot="1" x14ac:dyDescent="0.25">
      <c r="A1717" s="602" t="s">
        <v>187</v>
      </c>
      <c r="B1717" s="1015" t="s">
        <v>187</v>
      </c>
      <c r="C1717" s="1016" t="s">
        <v>187</v>
      </c>
      <c r="D1717" s="616"/>
      <c r="E1717" s="609"/>
      <c r="F1717" s="677"/>
      <c r="G1717" s="610"/>
      <c r="H1717" s="611"/>
      <c r="I1717" s="612"/>
      <c r="J1717" s="613"/>
      <c r="K1717" s="617">
        <f t="shared" si="1131"/>
        <v>0</v>
      </c>
      <c r="L1717" s="615" t="s">
        <v>783</v>
      </c>
      <c r="M1717" s="92"/>
      <c r="N1717" s="92"/>
      <c r="O1717" s="93">
        <f t="shared" si="1138"/>
        <v>0</v>
      </c>
      <c r="P1717" s="93">
        <f t="shared" si="1133"/>
        <v>0</v>
      </c>
      <c r="Q1717" s="94"/>
      <c r="R1717" s="92">
        <f t="shared" si="1134"/>
        <v>0</v>
      </c>
      <c r="S1717" s="92">
        <f t="shared" si="1135"/>
        <v>0</v>
      </c>
      <c r="T1717" s="93">
        <f t="shared" si="1136"/>
        <v>0</v>
      </c>
      <c r="U1717" s="95">
        <f t="shared" si="1137"/>
        <v>0</v>
      </c>
      <c r="V1717" s="94"/>
      <c r="X1717" s="580" t="str">
        <f t="shared" si="1129"/>
        <v/>
      </c>
      <c r="Y1717" s="580" t="str">
        <f t="shared" si="1142"/>
        <v/>
      </c>
      <c r="Z1717" s="580" t="str">
        <f t="shared" si="1120"/>
        <v/>
      </c>
    </row>
    <row r="1718" spans="1:26" ht="13.5" hidden="1" thickBot="1" x14ac:dyDescent="0.25">
      <c r="A1718" s="602" t="s">
        <v>187</v>
      </c>
      <c r="B1718" s="1015" t="s">
        <v>187</v>
      </c>
      <c r="C1718" s="1016" t="s">
        <v>187</v>
      </c>
      <c r="D1718" s="616"/>
      <c r="E1718" s="609"/>
      <c r="F1718" s="677"/>
      <c r="G1718" s="610"/>
      <c r="H1718" s="611"/>
      <c r="I1718" s="612"/>
      <c r="J1718" s="613"/>
      <c r="K1718" s="617">
        <f t="shared" si="1131"/>
        <v>0</v>
      </c>
      <c r="L1718" s="615" t="s">
        <v>783</v>
      </c>
      <c r="M1718" s="92"/>
      <c r="N1718" s="92"/>
      <c r="O1718" s="93">
        <f t="shared" si="1138"/>
        <v>0</v>
      </c>
      <c r="P1718" s="93">
        <f t="shared" si="1133"/>
        <v>0</v>
      </c>
      <c r="Q1718" s="94"/>
      <c r="R1718" s="92">
        <f t="shared" si="1134"/>
        <v>0</v>
      </c>
      <c r="S1718" s="92">
        <f t="shared" si="1135"/>
        <v>0</v>
      </c>
      <c r="T1718" s="93">
        <f t="shared" si="1136"/>
        <v>0</v>
      </c>
      <c r="U1718" s="95">
        <f t="shared" si="1137"/>
        <v>0</v>
      </c>
      <c r="V1718" s="94"/>
      <c r="X1718" s="580" t="str">
        <f t="shared" si="1129"/>
        <v/>
      </c>
      <c r="Y1718" s="580" t="str">
        <f t="shared" si="1142"/>
        <v/>
      </c>
      <c r="Z1718" s="580" t="str">
        <f t="shared" si="1120"/>
        <v/>
      </c>
    </row>
    <row r="1719" spans="1:26" ht="13.5" hidden="1" thickBot="1" x14ac:dyDescent="0.25">
      <c r="A1719" s="602" t="s">
        <v>187</v>
      </c>
      <c r="B1719" s="1015" t="s">
        <v>187</v>
      </c>
      <c r="C1719" s="1016" t="s">
        <v>187</v>
      </c>
      <c r="D1719" s="616"/>
      <c r="E1719" s="609"/>
      <c r="F1719" s="677"/>
      <c r="G1719" s="610"/>
      <c r="H1719" s="611"/>
      <c r="I1719" s="612"/>
      <c r="J1719" s="613"/>
      <c r="K1719" s="617">
        <f t="shared" si="1131"/>
        <v>0</v>
      </c>
      <c r="L1719" s="615" t="s">
        <v>783</v>
      </c>
      <c r="M1719" s="92"/>
      <c r="N1719" s="92"/>
      <c r="O1719" s="93">
        <f t="shared" si="1138"/>
        <v>0</v>
      </c>
      <c r="P1719" s="93">
        <f t="shared" si="1133"/>
        <v>0</v>
      </c>
      <c r="Q1719" s="94"/>
      <c r="R1719" s="92">
        <f t="shared" si="1134"/>
        <v>0</v>
      </c>
      <c r="S1719" s="92">
        <f t="shared" si="1135"/>
        <v>0</v>
      </c>
      <c r="T1719" s="93">
        <f t="shared" si="1136"/>
        <v>0</v>
      </c>
      <c r="U1719" s="95">
        <f t="shared" si="1137"/>
        <v>0</v>
      </c>
      <c r="V1719" s="94"/>
      <c r="X1719" s="580" t="str">
        <f t="shared" si="1129"/>
        <v/>
      </c>
      <c r="Y1719" s="580" t="str">
        <f t="shared" si="1142"/>
        <v/>
      </c>
      <c r="Z1719" s="580" t="str">
        <f t="shared" si="1120"/>
        <v/>
      </c>
    </row>
    <row r="1720" spans="1:26" ht="13.5" hidden="1" thickBot="1" x14ac:dyDescent="0.25">
      <c r="A1720" s="602" t="s">
        <v>187</v>
      </c>
      <c r="B1720" s="1015" t="s">
        <v>187</v>
      </c>
      <c r="C1720" s="1016" t="s">
        <v>187</v>
      </c>
      <c r="D1720" s="616"/>
      <c r="E1720" s="609"/>
      <c r="F1720" s="677"/>
      <c r="G1720" s="610"/>
      <c r="H1720" s="611"/>
      <c r="I1720" s="612"/>
      <c r="J1720" s="613"/>
      <c r="K1720" s="617">
        <f t="shared" si="1131"/>
        <v>0</v>
      </c>
      <c r="L1720" s="615" t="s">
        <v>783</v>
      </c>
      <c r="M1720" s="92"/>
      <c r="N1720" s="92"/>
      <c r="O1720" s="93">
        <f t="shared" si="1138"/>
        <v>0</v>
      </c>
      <c r="P1720" s="93">
        <f t="shared" si="1133"/>
        <v>0</v>
      </c>
      <c r="Q1720" s="94"/>
      <c r="R1720" s="92">
        <f t="shared" si="1134"/>
        <v>0</v>
      </c>
      <c r="S1720" s="92">
        <f t="shared" si="1135"/>
        <v>0</v>
      </c>
      <c r="T1720" s="93">
        <f t="shared" si="1136"/>
        <v>0</v>
      </c>
      <c r="U1720" s="95">
        <f t="shared" si="1137"/>
        <v>0</v>
      </c>
      <c r="V1720" s="94"/>
      <c r="X1720" s="580" t="str">
        <f t="shared" si="1129"/>
        <v/>
      </c>
      <c r="Y1720" s="580" t="str">
        <f t="shared" si="1142"/>
        <v/>
      </c>
      <c r="Z1720" s="580" t="str">
        <f t="shared" si="1120"/>
        <v/>
      </c>
    </row>
    <row r="1721" spans="1:26" ht="13.5" hidden="1" thickBot="1" x14ac:dyDescent="0.25">
      <c r="A1721" s="602" t="s">
        <v>187</v>
      </c>
      <c r="B1721" s="1015" t="s">
        <v>187</v>
      </c>
      <c r="C1721" s="1016" t="s">
        <v>187</v>
      </c>
      <c r="D1721" s="616"/>
      <c r="E1721" s="609"/>
      <c r="F1721" s="677"/>
      <c r="G1721" s="610"/>
      <c r="H1721" s="611"/>
      <c r="I1721" s="612"/>
      <c r="J1721" s="613"/>
      <c r="K1721" s="617">
        <f t="shared" si="1131"/>
        <v>0</v>
      </c>
      <c r="L1721" s="615" t="s">
        <v>783</v>
      </c>
      <c r="M1721" s="92"/>
      <c r="N1721" s="92"/>
      <c r="O1721" s="93">
        <f t="shared" si="1138"/>
        <v>0</v>
      </c>
      <c r="P1721" s="93">
        <f t="shared" si="1133"/>
        <v>0</v>
      </c>
      <c r="Q1721" s="94"/>
      <c r="R1721" s="92">
        <f t="shared" si="1134"/>
        <v>0</v>
      </c>
      <c r="S1721" s="92">
        <f t="shared" si="1135"/>
        <v>0</v>
      </c>
      <c r="T1721" s="93">
        <f t="shared" si="1136"/>
        <v>0</v>
      </c>
      <c r="U1721" s="95">
        <f t="shared" si="1137"/>
        <v>0</v>
      </c>
      <c r="V1721" s="94"/>
      <c r="X1721" s="580" t="str">
        <f t="shared" si="1129"/>
        <v/>
      </c>
      <c r="Y1721" s="580" t="str">
        <f t="shared" si="1142"/>
        <v/>
      </c>
      <c r="Z1721" s="580" t="str">
        <f t="shared" si="1120"/>
        <v/>
      </c>
    </row>
    <row r="1722" spans="1:26" ht="13.5" hidden="1" thickBot="1" x14ac:dyDescent="0.25">
      <c r="A1722" s="602" t="s">
        <v>187</v>
      </c>
      <c r="B1722" s="1015" t="s">
        <v>187</v>
      </c>
      <c r="C1722" s="1016" t="s">
        <v>187</v>
      </c>
      <c r="D1722" s="616"/>
      <c r="E1722" s="609"/>
      <c r="F1722" s="677"/>
      <c r="G1722" s="610"/>
      <c r="H1722" s="611"/>
      <c r="I1722" s="612"/>
      <c r="J1722" s="613"/>
      <c r="K1722" s="617">
        <f t="shared" si="1131"/>
        <v>0</v>
      </c>
      <c r="L1722" s="615" t="s">
        <v>783</v>
      </c>
      <c r="M1722" s="92"/>
      <c r="N1722" s="92"/>
      <c r="O1722" s="93">
        <f t="shared" si="1138"/>
        <v>0</v>
      </c>
      <c r="P1722" s="93">
        <f t="shared" si="1133"/>
        <v>0</v>
      </c>
      <c r="Q1722" s="94"/>
      <c r="R1722" s="92">
        <f t="shared" si="1134"/>
        <v>0</v>
      </c>
      <c r="S1722" s="92">
        <f t="shared" si="1135"/>
        <v>0</v>
      </c>
      <c r="T1722" s="93">
        <f t="shared" si="1136"/>
        <v>0</v>
      </c>
      <c r="U1722" s="95">
        <f t="shared" si="1137"/>
        <v>0</v>
      </c>
      <c r="V1722" s="94"/>
      <c r="X1722" s="580" t="str">
        <f t="shared" si="1129"/>
        <v/>
      </c>
      <c r="Y1722" s="580" t="str">
        <f t="shared" si="1142"/>
        <v/>
      </c>
      <c r="Z1722" s="580" t="str">
        <f t="shared" si="1120"/>
        <v/>
      </c>
    </row>
    <row r="1723" spans="1:26" ht="13.5" hidden="1" thickBot="1" x14ac:dyDescent="0.25">
      <c r="A1723" s="602" t="s">
        <v>187</v>
      </c>
      <c r="B1723" s="1015" t="s">
        <v>187</v>
      </c>
      <c r="C1723" s="1016" t="s">
        <v>187</v>
      </c>
      <c r="D1723" s="616"/>
      <c r="E1723" s="609"/>
      <c r="F1723" s="677"/>
      <c r="G1723" s="610"/>
      <c r="H1723" s="611"/>
      <c r="I1723" s="612"/>
      <c r="J1723" s="613"/>
      <c r="K1723" s="617">
        <f t="shared" si="1131"/>
        <v>0</v>
      </c>
      <c r="L1723" s="615" t="s">
        <v>783</v>
      </c>
      <c r="M1723" s="92"/>
      <c r="N1723" s="92"/>
      <c r="O1723" s="93">
        <f t="shared" si="1138"/>
        <v>0</v>
      </c>
      <c r="P1723" s="93">
        <f t="shared" si="1133"/>
        <v>0</v>
      </c>
      <c r="Q1723" s="94"/>
      <c r="R1723" s="92">
        <f t="shared" si="1134"/>
        <v>0</v>
      </c>
      <c r="S1723" s="92">
        <f t="shared" si="1135"/>
        <v>0</v>
      </c>
      <c r="T1723" s="93">
        <f t="shared" si="1136"/>
        <v>0</v>
      </c>
      <c r="U1723" s="95">
        <f t="shared" si="1137"/>
        <v>0</v>
      </c>
      <c r="V1723" s="94"/>
      <c r="X1723" s="580" t="str">
        <f t="shared" si="1129"/>
        <v/>
      </c>
      <c r="Y1723" s="580" t="str">
        <f t="shared" si="1142"/>
        <v/>
      </c>
      <c r="Z1723" s="580" t="str">
        <f t="shared" si="1120"/>
        <v/>
      </c>
    </row>
    <row r="1724" spans="1:26" ht="13.5" hidden="1" thickBot="1" x14ac:dyDescent="0.25">
      <c r="A1724" s="602" t="s">
        <v>187</v>
      </c>
      <c r="B1724" s="1015" t="s">
        <v>187</v>
      </c>
      <c r="C1724" s="1016" t="s">
        <v>187</v>
      </c>
      <c r="D1724" s="616"/>
      <c r="E1724" s="609"/>
      <c r="F1724" s="677"/>
      <c r="G1724" s="610"/>
      <c r="H1724" s="611"/>
      <c r="I1724" s="612"/>
      <c r="J1724" s="613"/>
      <c r="K1724" s="617">
        <f t="shared" si="1131"/>
        <v>0</v>
      </c>
      <c r="L1724" s="615" t="s">
        <v>783</v>
      </c>
      <c r="M1724" s="92"/>
      <c r="N1724" s="92"/>
      <c r="O1724" s="93">
        <f t="shared" si="1138"/>
        <v>0</v>
      </c>
      <c r="P1724" s="93">
        <f t="shared" si="1133"/>
        <v>0</v>
      </c>
      <c r="Q1724" s="94"/>
      <c r="R1724" s="92">
        <f t="shared" si="1134"/>
        <v>0</v>
      </c>
      <c r="S1724" s="92">
        <f t="shared" si="1135"/>
        <v>0</v>
      </c>
      <c r="T1724" s="93">
        <f t="shared" si="1136"/>
        <v>0</v>
      </c>
      <c r="U1724" s="95">
        <f t="shared" si="1137"/>
        <v>0</v>
      </c>
      <c r="V1724" s="94"/>
      <c r="X1724" s="580" t="str">
        <f t="shared" si="1129"/>
        <v/>
      </c>
      <c r="Y1724" s="580" t="str">
        <f t="shared" si="1142"/>
        <v/>
      </c>
      <c r="Z1724" s="580" t="str">
        <f t="shared" si="1120"/>
        <v/>
      </c>
    </row>
    <row r="1725" spans="1:26" ht="13.5" hidden="1" thickBot="1" x14ac:dyDescent="0.25">
      <c r="A1725" s="602" t="s">
        <v>187</v>
      </c>
      <c r="B1725" s="1015" t="s">
        <v>187</v>
      </c>
      <c r="C1725" s="1016" t="s">
        <v>187</v>
      </c>
      <c r="D1725" s="616"/>
      <c r="E1725" s="609"/>
      <c r="F1725" s="677"/>
      <c r="G1725" s="610"/>
      <c r="H1725" s="611"/>
      <c r="I1725" s="612"/>
      <c r="J1725" s="613"/>
      <c r="K1725" s="617">
        <f t="shared" si="1131"/>
        <v>0</v>
      </c>
      <c r="L1725" s="615" t="s">
        <v>783</v>
      </c>
      <c r="M1725" s="92"/>
      <c r="N1725" s="92"/>
      <c r="O1725" s="93">
        <f t="shared" si="1138"/>
        <v>0</v>
      </c>
      <c r="P1725" s="93">
        <f t="shared" si="1133"/>
        <v>0</v>
      </c>
      <c r="Q1725" s="94"/>
      <c r="R1725" s="92">
        <f t="shared" si="1134"/>
        <v>0</v>
      </c>
      <c r="S1725" s="92">
        <f t="shared" si="1135"/>
        <v>0</v>
      </c>
      <c r="T1725" s="93">
        <f t="shared" si="1136"/>
        <v>0</v>
      </c>
      <c r="U1725" s="95">
        <f t="shared" si="1137"/>
        <v>0</v>
      </c>
      <c r="V1725" s="94"/>
      <c r="X1725" s="580" t="str">
        <f t="shared" si="1129"/>
        <v/>
      </c>
      <c r="Y1725" s="580" t="str">
        <f t="shared" si="1142"/>
        <v/>
      </c>
      <c r="Z1725" s="580" t="str">
        <f t="shared" si="1120"/>
        <v/>
      </c>
    </row>
    <row r="1726" spans="1:26" ht="13.5" hidden="1" thickBot="1" x14ac:dyDescent="0.25">
      <c r="A1726" s="602" t="s">
        <v>187</v>
      </c>
      <c r="B1726" s="1015" t="s">
        <v>187</v>
      </c>
      <c r="C1726" s="1016" t="s">
        <v>187</v>
      </c>
      <c r="D1726" s="616"/>
      <c r="E1726" s="609"/>
      <c r="F1726" s="677"/>
      <c r="G1726" s="610"/>
      <c r="H1726" s="611"/>
      <c r="I1726" s="612"/>
      <c r="J1726" s="613"/>
      <c r="K1726" s="617">
        <f t="shared" si="1131"/>
        <v>0</v>
      </c>
      <c r="L1726" s="615" t="s">
        <v>783</v>
      </c>
      <c r="M1726" s="92"/>
      <c r="N1726" s="92"/>
      <c r="O1726" s="93">
        <f t="shared" si="1138"/>
        <v>0</v>
      </c>
      <c r="P1726" s="93">
        <f t="shared" si="1133"/>
        <v>0</v>
      </c>
      <c r="Q1726" s="94"/>
      <c r="R1726" s="92">
        <f t="shared" si="1134"/>
        <v>0</v>
      </c>
      <c r="S1726" s="92">
        <f t="shared" si="1135"/>
        <v>0</v>
      </c>
      <c r="T1726" s="93">
        <f t="shared" si="1136"/>
        <v>0</v>
      </c>
      <c r="U1726" s="95">
        <f t="shared" si="1137"/>
        <v>0</v>
      </c>
      <c r="V1726" s="94"/>
      <c r="X1726" s="580" t="str">
        <f t="shared" si="1129"/>
        <v/>
      </c>
      <c r="Y1726" s="580" t="str">
        <f t="shared" si="1142"/>
        <v/>
      </c>
      <c r="Z1726" s="580" t="str">
        <f t="shared" si="1120"/>
        <v/>
      </c>
    </row>
    <row r="1727" spans="1:26" ht="13.5" hidden="1" thickBot="1" x14ac:dyDescent="0.25">
      <c r="A1727" s="602" t="s">
        <v>187</v>
      </c>
      <c r="B1727" s="1015" t="s">
        <v>187</v>
      </c>
      <c r="C1727" s="1016" t="s">
        <v>187</v>
      </c>
      <c r="D1727" s="616"/>
      <c r="E1727" s="609"/>
      <c r="F1727" s="677"/>
      <c r="G1727" s="610"/>
      <c r="H1727" s="611"/>
      <c r="I1727" s="612"/>
      <c r="J1727" s="613"/>
      <c r="K1727" s="617">
        <f t="shared" si="1131"/>
        <v>0</v>
      </c>
      <c r="L1727" s="615" t="s">
        <v>783</v>
      </c>
      <c r="M1727" s="92"/>
      <c r="N1727" s="92"/>
      <c r="O1727" s="93">
        <f t="shared" si="1138"/>
        <v>0</v>
      </c>
      <c r="P1727" s="93">
        <f t="shared" si="1133"/>
        <v>0</v>
      </c>
      <c r="Q1727" s="94"/>
      <c r="R1727" s="92">
        <f t="shared" si="1134"/>
        <v>0</v>
      </c>
      <c r="S1727" s="92">
        <f t="shared" si="1135"/>
        <v>0</v>
      </c>
      <c r="T1727" s="93">
        <f t="shared" si="1136"/>
        <v>0</v>
      </c>
      <c r="U1727" s="95">
        <f t="shared" si="1137"/>
        <v>0</v>
      </c>
      <c r="V1727" s="94"/>
      <c r="X1727" s="580" t="str">
        <f t="shared" si="1129"/>
        <v/>
      </c>
      <c r="Y1727" s="580" t="str">
        <f t="shared" si="1142"/>
        <v/>
      </c>
      <c r="Z1727" s="580" t="str">
        <f t="shared" si="1120"/>
        <v/>
      </c>
    </row>
    <row r="1728" spans="1:26" ht="13.5" hidden="1" thickBot="1" x14ac:dyDescent="0.25">
      <c r="A1728" s="602" t="s">
        <v>187</v>
      </c>
      <c r="B1728" s="1015" t="s">
        <v>187</v>
      </c>
      <c r="C1728" s="1016" t="s">
        <v>187</v>
      </c>
      <c r="D1728" s="616"/>
      <c r="E1728" s="609"/>
      <c r="F1728" s="677"/>
      <c r="G1728" s="610"/>
      <c r="H1728" s="611"/>
      <c r="I1728" s="612"/>
      <c r="J1728" s="613"/>
      <c r="K1728" s="617">
        <f t="shared" si="1131"/>
        <v>0</v>
      </c>
      <c r="L1728" s="615" t="s">
        <v>783</v>
      </c>
      <c r="M1728" s="92"/>
      <c r="N1728" s="92"/>
      <c r="O1728" s="93">
        <f t="shared" si="1138"/>
        <v>0</v>
      </c>
      <c r="P1728" s="93">
        <f t="shared" si="1133"/>
        <v>0</v>
      </c>
      <c r="Q1728" s="94"/>
      <c r="R1728" s="92">
        <f t="shared" si="1134"/>
        <v>0</v>
      </c>
      <c r="S1728" s="92">
        <f t="shared" si="1135"/>
        <v>0</v>
      </c>
      <c r="T1728" s="93">
        <f t="shared" si="1136"/>
        <v>0</v>
      </c>
      <c r="U1728" s="95">
        <f t="shared" si="1137"/>
        <v>0</v>
      </c>
      <c r="V1728" s="94"/>
      <c r="X1728" s="580" t="str">
        <f t="shared" si="1129"/>
        <v/>
      </c>
      <c r="Y1728" s="580" t="str">
        <f t="shared" si="1142"/>
        <v/>
      </c>
      <c r="Z1728" s="580" t="str">
        <f t="shared" si="1120"/>
        <v/>
      </c>
    </row>
    <row r="1729" spans="1:26" ht="13.5" hidden="1" thickBot="1" x14ac:dyDescent="0.25">
      <c r="A1729" s="602" t="s">
        <v>187</v>
      </c>
      <c r="B1729" s="1015" t="s">
        <v>187</v>
      </c>
      <c r="C1729" s="1016" t="s">
        <v>187</v>
      </c>
      <c r="D1729" s="616"/>
      <c r="E1729" s="609"/>
      <c r="F1729" s="677"/>
      <c r="G1729" s="610"/>
      <c r="H1729" s="611"/>
      <c r="I1729" s="612"/>
      <c r="J1729" s="613"/>
      <c r="K1729" s="617">
        <f t="shared" si="1131"/>
        <v>0</v>
      </c>
      <c r="L1729" s="615" t="s">
        <v>783</v>
      </c>
      <c r="M1729" s="92"/>
      <c r="N1729" s="92"/>
      <c r="O1729" s="93">
        <f t="shared" si="1138"/>
        <v>0</v>
      </c>
      <c r="P1729" s="93">
        <f t="shared" si="1133"/>
        <v>0</v>
      </c>
      <c r="Q1729" s="94"/>
      <c r="R1729" s="92">
        <f t="shared" si="1134"/>
        <v>0</v>
      </c>
      <c r="S1729" s="92">
        <f t="shared" si="1135"/>
        <v>0</v>
      </c>
      <c r="T1729" s="93">
        <f t="shared" si="1136"/>
        <v>0</v>
      </c>
      <c r="U1729" s="95">
        <f t="shared" si="1137"/>
        <v>0</v>
      </c>
      <c r="V1729" s="94"/>
      <c r="X1729" s="580" t="str">
        <f t="shared" si="1129"/>
        <v/>
      </c>
      <c r="Y1729" s="580" t="str">
        <f t="shared" si="1142"/>
        <v/>
      </c>
      <c r="Z1729" s="580" t="str">
        <f t="shared" si="1120"/>
        <v/>
      </c>
    </row>
    <row r="1730" spans="1:26" ht="13.5" hidden="1" thickBot="1" x14ac:dyDescent="0.25">
      <c r="A1730" s="602" t="s">
        <v>187</v>
      </c>
      <c r="B1730" s="1015" t="s">
        <v>187</v>
      </c>
      <c r="C1730" s="1016" t="s">
        <v>187</v>
      </c>
      <c r="D1730" s="616"/>
      <c r="E1730" s="609"/>
      <c r="F1730" s="677"/>
      <c r="G1730" s="610"/>
      <c r="H1730" s="611"/>
      <c r="I1730" s="612"/>
      <c r="J1730" s="613"/>
      <c r="K1730" s="617">
        <f t="shared" si="1131"/>
        <v>0</v>
      </c>
      <c r="L1730" s="615" t="s">
        <v>783</v>
      </c>
      <c r="M1730" s="92"/>
      <c r="N1730" s="92"/>
      <c r="O1730" s="93">
        <f t="shared" si="1138"/>
        <v>0</v>
      </c>
      <c r="P1730" s="93">
        <f t="shared" si="1133"/>
        <v>0</v>
      </c>
      <c r="Q1730" s="94"/>
      <c r="R1730" s="92">
        <f t="shared" si="1134"/>
        <v>0</v>
      </c>
      <c r="S1730" s="92">
        <f t="shared" si="1135"/>
        <v>0</v>
      </c>
      <c r="T1730" s="93">
        <f t="shared" si="1136"/>
        <v>0</v>
      </c>
      <c r="U1730" s="95">
        <f t="shared" si="1137"/>
        <v>0</v>
      </c>
      <c r="V1730" s="94"/>
      <c r="X1730" s="580" t="str">
        <f t="shared" si="1129"/>
        <v/>
      </c>
      <c r="Y1730" s="580" t="str">
        <f t="shared" si="1142"/>
        <v/>
      </c>
      <c r="Z1730" s="580" t="str">
        <f t="shared" si="1120"/>
        <v/>
      </c>
    </row>
    <row r="1731" spans="1:26" ht="13.5" hidden="1" thickBot="1" x14ac:dyDescent="0.25">
      <c r="A1731" s="602" t="s">
        <v>187</v>
      </c>
      <c r="B1731" s="1015" t="s">
        <v>187</v>
      </c>
      <c r="C1731" s="1016" t="s">
        <v>187</v>
      </c>
      <c r="D1731" s="616"/>
      <c r="E1731" s="609"/>
      <c r="F1731" s="677"/>
      <c r="G1731" s="610"/>
      <c r="H1731" s="611"/>
      <c r="I1731" s="612"/>
      <c r="J1731" s="613"/>
      <c r="K1731" s="617">
        <f t="shared" si="1131"/>
        <v>0</v>
      </c>
      <c r="L1731" s="615" t="s">
        <v>783</v>
      </c>
      <c r="M1731" s="92"/>
      <c r="N1731" s="92"/>
      <c r="O1731" s="93">
        <f t="shared" si="1138"/>
        <v>0</v>
      </c>
      <c r="P1731" s="93">
        <f t="shared" si="1133"/>
        <v>0</v>
      </c>
      <c r="Q1731" s="94"/>
      <c r="R1731" s="92">
        <f t="shared" si="1134"/>
        <v>0</v>
      </c>
      <c r="S1731" s="92">
        <f t="shared" si="1135"/>
        <v>0</v>
      </c>
      <c r="T1731" s="93">
        <f t="shared" si="1136"/>
        <v>0</v>
      </c>
      <c r="U1731" s="95">
        <f t="shared" si="1137"/>
        <v>0</v>
      </c>
      <c r="V1731" s="94"/>
      <c r="X1731" s="580" t="str">
        <f t="shared" si="1129"/>
        <v/>
      </c>
      <c r="Y1731" s="580" t="str">
        <f t="shared" si="1142"/>
        <v/>
      </c>
      <c r="Z1731" s="580" t="str">
        <f t="shared" si="1120"/>
        <v/>
      </c>
    </row>
    <row r="1732" spans="1:26" ht="13.5" hidden="1" thickBot="1" x14ac:dyDescent="0.25">
      <c r="A1732" s="602" t="s">
        <v>187</v>
      </c>
      <c r="B1732" s="1015" t="s">
        <v>187</v>
      </c>
      <c r="C1732" s="1016" t="s">
        <v>187</v>
      </c>
      <c r="D1732" s="616"/>
      <c r="E1732" s="609"/>
      <c r="F1732" s="677"/>
      <c r="G1732" s="610"/>
      <c r="H1732" s="611"/>
      <c r="I1732" s="612"/>
      <c r="J1732" s="613"/>
      <c r="K1732" s="617">
        <f t="shared" si="1131"/>
        <v>0</v>
      </c>
      <c r="L1732" s="615" t="s">
        <v>783</v>
      </c>
      <c r="M1732" s="92"/>
      <c r="N1732" s="92"/>
      <c r="O1732" s="93">
        <f t="shared" si="1138"/>
        <v>0</v>
      </c>
      <c r="P1732" s="93">
        <f t="shared" si="1133"/>
        <v>0</v>
      </c>
      <c r="Q1732" s="94"/>
      <c r="R1732" s="92">
        <f t="shared" si="1134"/>
        <v>0</v>
      </c>
      <c r="S1732" s="92">
        <f t="shared" si="1135"/>
        <v>0</v>
      </c>
      <c r="T1732" s="93">
        <f t="shared" si="1136"/>
        <v>0</v>
      </c>
      <c r="U1732" s="95">
        <f t="shared" si="1137"/>
        <v>0</v>
      </c>
      <c r="V1732" s="94"/>
      <c r="X1732" s="580" t="str">
        <f t="shared" si="1129"/>
        <v/>
      </c>
      <c r="Y1732" s="580" t="str">
        <f t="shared" si="1142"/>
        <v/>
      </c>
      <c r="Z1732" s="580" t="str">
        <f t="shared" si="1120"/>
        <v/>
      </c>
    </row>
    <row r="1733" spans="1:26" ht="13.5" hidden="1" thickBot="1" x14ac:dyDescent="0.25">
      <c r="A1733" s="602" t="s">
        <v>187</v>
      </c>
      <c r="B1733" s="1017" t="s">
        <v>187</v>
      </c>
      <c r="C1733" s="1018" t="s">
        <v>187</v>
      </c>
      <c r="D1733" s="619"/>
      <c r="E1733" s="620"/>
      <c r="F1733" s="678"/>
      <c r="G1733" s="621"/>
      <c r="H1733" s="622"/>
      <c r="I1733" s="623"/>
      <c r="J1733" s="624"/>
      <c r="K1733" s="625">
        <f t="shared" si="1131"/>
        <v>0</v>
      </c>
      <c r="L1733" s="626" t="s">
        <v>783</v>
      </c>
      <c r="M1733" s="92"/>
      <c r="N1733" s="92"/>
      <c r="O1733" s="627">
        <f t="shared" si="1138"/>
        <v>0</v>
      </c>
      <c r="P1733" s="627">
        <f t="shared" si="1133"/>
        <v>0</v>
      </c>
      <c r="Q1733" s="94"/>
      <c r="R1733" s="92">
        <f t="shared" si="1134"/>
        <v>0</v>
      </c>
      <c r="S1733" s="92">
        <f t="shared" si="1135"/>
        <v>0</v>
      </c>
      <c r="T1733" s="627">
        <f t="shared" si="1136"/>
        <v>0</v>
      </c>
      <c r="U1733" s="628">
        <f t="shared" si="1137"/>
        <v>0</v>
      </c>
      <c r="V1733" s="94"/>
      <c r="X1733" s="580" t="str">
        <f t="shared" si="1129"/>
        <v/>
      </c>
      <c r="Y1733" s="580" t="str">
        <f t="shared" si="1142"/>
        <v/>
      </c>
      <c r="Z1733" s="580" t="str">
        <f t="shared" si="1120"/>
        <v/>
      </c>
    </row>
    <row r="1734" spans="1:26" ht="13.5" thickBot="1" x14ac:dyDescent="0.25">
      <c r="A1734" s="602" t="s">
        <v>187</v>
      </c>
      <c r="B1734" s="1124" t="s">
        <v>509</v>
      </c>
      <c r="C1734" s="1125"/>
      <c r="D1734" s="1126" t="s">
        <v>498</v>
      </c>
      <c r="E1734" s="1102"/>
      <c r="F1734" s="679"/>
      <c r="G1734" s="574"/>
      <c r="H1734" s="77"/>
      <c r="I1734" s="576"/>
      <c r="J1734" s="576"/>
      <c r="K1734" s="576"/>
      <c r="L1734" s="576" t="s">
        <v>783</v>
      </c>
      <c r="M1734" s="575"/>
      <c r="N1734" s="576"/>
      <c r="O1734" s="576"/>
      <c r="P1734" s="577"/>
      <c r="Q1734" s="578">
        <f>SUM(P1735:P2611)</f>
        <v>287094.28000000003</v>
      </c>
      <c r="R1734" s="1103"/>
      <c r="S1734" s="1104"/>
      <c r="T1734" s="1104"/>
      <c r="U1734" s="1105"/>
      <c r="V1734" s="1106">
        <f>SUM(U1735:U2611)</f>
        <v>278168.89</v>
      </c>
      <c r="W1734" s="579" t="str">
        <f>IF(OR(Q1734&gt;0,V1734&gt;0),"X","")</f>
        <v>X</v>
      </c>
      <c r="X1734" s="580" t="str">
        <f t="shared" si="1129"/>
        <v>x</v>
      </c>
      <c r="Y1734" s="580" t="str">
        <f t="shared" si="1142"/>
        <v>x</v>
      </c>
      <c r="Z1734" s="580" t="str">
        <f t="shared" si="1120"/>
        <v>x</v>
      </c>
    </row>
    <row r="1735" spans="1:26" hidden="1" x14ac:dyDescent="0.2">
      <c r="A1735" s="1008">
        <v>600000</v>
      </c>
      <c r="B1735" s="1010" t="s">
        <v>2173</v>
      </c>
      <c r="C1735" s="978" t="s">
        <v>212</v>
      </c>
      <c r="D1735" s="595" t="s">
        <v>341</v>
      </c>
      <c r="E1735" s="596"/>
      <c r="F1735" s="671">
        <v>0</v>
      </c>
      <c r="G1735" s="597">
        <v>0</v>
      </c>
      <c r="H1735" s="682">
        <v>0</v>
      </c>
      <c r="I1735" s="592">
        <v>41.86</v>
      </c>
      <c r="J1735" s="592">
        <f>IF(ISBLANK(I1735),"",SUM(H1735:I1735))</f>
        <v>41.86</v>
      </c>
      <c r="K1735" s="593">
        <f t="shared" ref="K1735:K1804" si="1143">IF(ISBLANK(I1735),0,ROUND(J1735*(1+$F$10)*(1+$F$11*E1735),2))</f>
        <v>50.95</v>
      </c>
      <c r="L1735" s="594" t="s">
        <v>16</v>
      </c>
      <c r="M1735" s="92"/>
      <c r="N1735" s="92"/>
      <c r="O1735" s="93">
        <f t="shared" ref="O1735:O1996" si="1144">IF(ISBLANK(M1735),0,ROUND(K1735*M1735,2))</f>
        <v>0</v>
      </c>
      <c r="P1735" s="93">
        <f t="shared" ref="P1735:P1996" si="1145">IF(ISBLANK(N1735),0,ROUND(M1735*N1735,2))</f>
        <v>0</v>
      </c>
      <c r="Q1735" s="94"/>
      <c r="R1735" s="92">
        <f t="shared" ref="R1735:R1996" si="1146">M1735</f>
        <v>0</v>
      </c>
      <c r="S1735" s="92">
        <f t="shared" ref="S1735:S1996" si="1147">N1735</f>
        <v>0</v>
      </c>
      <c r="T1735" s="93">
        <f t="shared" ref="T1735:T1996" si="1148">IF(ISBLANK(R1735),0,ROUND(K1735*R1735,2))</f>
        <v>0</v>
      </c>
      <c r="U1735" s="95">
        <f t="shared" ref="U1735:U1995" si="1149">IF(ISBLANK(R1735),0,ROUND(R1735*S1735,2))</f>
        <v>0</v>
      </c>
      <c r="V1735" s="94"/>
      <c r="X1735" s="580" t="str">
        <f t="shared" si="1129"/>
        <v/>
      </c>
      <c r="Y1735" s="580" t="str">
        <f t="shared" si="1142"/>
        <v/>
      </c>
      <c r="Z1735" s="580" t="str">
        <f t="shared" si="1120"/>
        <v/>
      </c>
    </row>
    <row r="1736" spans="1:26" x14ac:dyDescent="0.2">
      <c r="A1736" s="1008">
        <v>600300</v>
      </c>
      <c r="B1736" s="1107">
        <v>600300</v>
      </c>
      <c r="C1736" s="1108" t="s">
        <v>212</v>
      </c>
      <c r="D1736" s="1109" t="s">
        <v>342</v>
      </c>
      <c r="E1736" s="1110"/>
      <c r="F1736" s="671">
        <v>0</v>
      </c>
      <c r="G1736" s="597">
        <v>0</v>
      </c>
      <c r="H1736" s="682">
        <v>0</v>
      </c>
      <c r="I1736" s="592">
        <v>7.68</v>
      </c>
      <c r="J1736" s="592">
        <f t="shared" ref="J1736:J1750" si="1150">IF(ISBLANK(I1736),"",SUM(H1736:I1736))</f>
        <v>7.68</v>
      </c>
      <c r="K1736" s="593">
        <f t="shared" si="1143"/>
        <v>9.35</v>
      </c>
      <c r="L1736" s="594" t="s">
        <v>16</v>
      </c>
      <c r="M1736" s="92">
        <v>847.23</v>
      </c>
      <c r="N1736" s="92">
        <v>9.51</v>
      </c>
      <c r="O1736" s="93">
        <f t="shared" si="1144"/>
        <v>7921.6</v>
      </c>
      <c r="P1736" s="93">
        <f t="shared" si="1145"/>
        <v>8057.16</v>
      </c>
      <c r="Q1736" s="94"/>
      <c r="R1736" s="1111">
        <f t="shared" si="1146"/>
        <v>847.23</v>
      </c>
      <c r="S1736" s="1111">
        <f>K1736</f>
        <v>9.35</v>
      </c>
      <c r="T1736" s="1112">
        <f t="shared" si="1148"/>
        <v>7921.6</v>
      </c>
      <c r="U1736" s="1113">
        <f t="shared" si="1149"/>
        <v>7921.6</v>
      </c>
      <c r="V1736" s="1114"/>
      <c r="X1736" s="580" t="str">
        <f t="shared" si="1129"/>
        <v>x</v>
      </c>
      <c r="Y1736" s="580" t="str">
        <f t="shared" si="1142"/>
        <v>x</v>
      </c>
      <c r="Z1736" s="580" t="str">
        <f t="shared" si="1120"/>
        <v>x</v>
      </c>
    </row>
    <row r="1737" spans="1:26" hidden="1" x14ac:dyDescent="0.2">
      <c r="A1737" s="1008">
        <v>600400</v>
      </c>
      <c r="B1737" s="1010">
        <v>600400</v>
      </c>
      <c r="C1737" s="978" t="s">
        <v>212</v>
      </c>
      <c r="D1737" s="595" t="s">
        <v>343</v>
      </c>
      <c r="E1737" s="596"/>
      <c r="F1737" s="671">
        <v>0</v>
      </c>
      <c r="G1737" s="597"/>
      <c r="H1737" s="682"/>
      <c r="I1737" s="592">
        <v>7.83</v>
      </c>
      <c r="J1737" s="592">
        <f t="shared" si="1150"/>
        <v>7.83</v>
      </c>
      <c r="K1737" s="593">
        <f t="shared" si="1143"/>
        <v>9.5299999999999994</v>
      </c>
      <c r="L1737" s="594" t="s">
        <v>16</v>
      </c>
      <c r="M1737" s="92"/>
      <c r="N1737" s="92"/>
      <c r="O1737" s="93">
        <f t="shared" si="1144"/>
        <v>0</v>
      </c>
      <c r="P1737" s="93">
        <f t="shared" si="1145"/>
        <v>0</v>
      </c>
      <c r="Q1737" s="94"/>
      <c r="R1737" s="92">
        <f t="shared" si="1146"/>
        <v>0</v>
      </c>
      <c r="S1737" s="92">
        <f t="shared" si="1147"/>
        <v>0</v>
      </c>
      <c r="T1737" s="93">
        <f t="shared" si="1148"/>
        <v>0</v>
      </c>
      <c r="U1737" s="95">
        <f t="shared" si="1149"/>
        <v>0</v>
      </c>
      <c r="V1737" s="94"/>
      <c r="X1737" s="580" t="str">
        <f t="shared" si="1129"/>
        <v/>
      </c>
      <c r="Y1737" s="580" t="str">
        <f t="shared" si="1142"/>
        <v/>
      </c>
      <c r="Z1737" s="580" t="str">
        <f t="shared" si="1120"/>
        <v/>
      </c>
    </row>
    <row r="1738" spans="1:26" hidden="1" x14ac:dyDescent="0.2">
      <c r="A1738" s="1008">
        <v>600500</v>
      </c>
      <c r="B1738" s="1010">
        <v>600500</v>
      </c>
      <c r="C1738" s="978" t="s">
        <v>212</v>
      </c>
      <c r="D1738" s="595" t="s">
        <v>344</v>
      </c>
      <c r="E1738" s="596"/>
      <c r="F1738" s="671">
        <v>0</v>
      </c>
      <c r="G1738" s="597"/>
      <c r="H1738" s="682"/>
      <c r="I1738" s="592">
        <v>52.08</v>
      </c>
      <c r="J1738" s="592">
        <f t="shared" si="1150"/>
        <v>52.08</v>
      </c>
      <c r="K1738" s="593">
        <f t="shared" si="1143"/>
        <v>63.39</v>
      </c>
      <c r="L1738" s="594" t="s">
        <v>16</v>
      </c>
      <c r="M1738" s="92"/>
      <c r="N1738" s="92"/>
      <c r="O1738" s="93">
        <f t="shared" si="1144"/>
        <v>0</v>
      </c>
      <c r="P1738" s="93">
        <f t="shared" si="1145"/>
        <v>0</v>
      </c>
      <c r="Q1738" s="94"/>
      <c r="R1738" s="92">
        <f t="shared" si="1146"/>
        <v>0</v>
      </c>
      <c r="S1738" s="92">
        <f t="shared" si="1147"/>
        <v>0</v>
      </c>
      <c r="T1738" s="93">
        <f t="shared" si="1148"/>
        <v>0</v>
      </c>
      <c r="U1738" s="95">
        <f t="shared" si="1149"/>
        <v>0</v>
      </c>
      <c r="V1738" s="94"/>
      <c r="X1738" s="580" t="str">
        <f t="shared" si="1129"/>
        <v/>
      </c>
      <c r="Y1738" s="580" t="str">
        <f t="shared" si="1142"/>
        <v/>
      </c>
      <c r="Z1738" s="580" t="str">
        <f t="shared" si="1120"/>
        <v/>
      </c>
    </row>
    <row r="1739" spans="1:26" hidden="1" x14ac:dyDescent="0.2">
      <c r="A1739" s="1008">
        <v>600310</v>
      </c>
      <c r="B1739" s="1010" t="s">
        <v>1916</v>
      </c>
      <c r="C1739" s="978" t="s">
        <v>212</v>
      </c>
      <c r="D1739" s="589" t="s">
        <v>510</v>
      </c>
      <c r="E1739" s="590"/>
      <c r="F1739" s="601"/>
      <c r="G1739" s="591"/>
      <c r="H1739" s="908"/>
      <c r="I1739" s="592">
        <v>113.81</v>
      </c>
      <c r="J1739" s="592">
        <f t="shared" ref="J1739:J1742" si="1151">IF(ISBLANK(I1739),"",SUM(H1739:I1739))</f>
        <v>113.81</v>
      </c>
      <c r="K1739" s="593">
        <f t="shared" si="1143"/>
        <v>138.52000000000001</v>
      </c>
      <c r="L1739" s="594" t="s">
        <v>21</v>
      </c>
      <c r="M1739" s="92"/>
      <c r="N1739" s="92"/>
      <c r="O1739" s="93">
        <f t="shared" si="1144"/>
        <v>0</v>
      </c>
      <c r="P1739" s="93">
        <f t="shared" si="1145"/>
        <v>0</v>
      </c>
      <c r="Q1739" s="94"/>
      <c r="R1739" s="92">
        <f t="shared" si="1146"/>
        <v>0</v>
      </c>
      <c r="S1739" s="92">
        <f t="shared" si="1147"/>
        <v>0</v>
      </c>
      <c r="T1739" s="93">
        <f t="shared" si="1148"/>
        <v>0</v>
      </c>
      <c r="U1739" s="95">
        <f t="shared" si="1149"/>
        <v>0</v>
      </c>
      <c r="V1739" s="94"/>
      <c r="X1739" s="580" t="str">
        <f t="shared" si="1129"/>
        <v/>
      </c>
      <c r="Y1739" s="580" t="str">
        <f t="shared" si="1142"/>
        <v/>
      </c>
      <c r="Z1739" s="580" t="str">
        <f t="shared" si="1120"/>
        <v/>
      </c>
    </row>
    <row r="1740" spans="1:26" hidden="1" x14ac:dyDescent="0.2">
      <c r="A1740" s="1008">
        <v>633000</v>
      </c>
      <c r="B1740" s="1010" t="s">
        <v>2175</v>
      </c>
      <c r="C1740" s="978" t="s">
        <v>212</v>
      </c>
      <c r="D1740" s="589" t="s">
        <v>796</v>
      </c>
      <c r="E1740" s="590"/>
      <c r="F1740" s="601"/>
      <c r="G1740" s="591"/>
      <c r="H1740" s="908"/>
      <c r="I1740" s="592">
        <v>69.77</v>
      </c>
      <c r="J1740" s="592">
        <f t="shared" si="1151"/>
        <v>69.77</v>
      </c>
      <c r="K1740" s="593">
        <f t="shared" si="1143"/>
        <v>84.92</v>
      </c>
      <c r="L1740" s="594" t="s">
        <v>19</v>
      </c>
      <c r="M1740" s="92"/>
      <c r="N1740" s="92"/>
      <c r="O1740" s="93">
        <f t="shared" si="1144"/>
        <v>0</v>
      </c>
      <c r="P1740" s="93">
        <f t="shared" si="1145"/>
        <v>0</v>
      </c>
      <c r="Q1740" s="94"/>
      <c r="R1740" s="92">
        <f t="shared" si="1146"/>
        <v>0</v>
      </c>
      <c r="S1740" s="92">
        <f t="shared" si="1147"/>
        <v>0</v>
      </c>
      <c r="T1740" s="93">
        <f t="shared" si="1148"/>
        <v>0</v>
      </c>
      <c r="U1740" s="95">
        <f t="shared" si="1149"/>
        <v>0</v>
      </c>
      <c r="V1740" s="94"/>
      <c r="X1740" s="580" t="str">
        <f t="shared" si="1129"/>
        <v/>
      </c>
      <c r="Y1740" s="580" t="str">
        <f t="shared" si="1142"/>
        <v/>
      </c>
      <c r="Z1740" s="580" t="str">
        <f t="shared" si="1120"/>
        <v/>
      </c>
    </row>
    <row r="1741" spans="1:26" hidden="1" x14ac:dyDescent="0.2">
      <c r="A1741" s="1008">
        <v>633100</v>
      </c>
      <c r="B1741" s="1010" t="s">
        <v>2178</v>
      </c>
      <c r="C1741" s="978" t="s">
        <v>212</v>
      </c>
      <c r="D1741" s="589" t="s">
        <v>797</v>
      </c>
      <c r="E1741" s="590"/>
      <c r="F1741" s="601"/>
      <c r="G1741" s="591"/>
      <c r="H1741" s="908"/>
      <c r="I1741" s="592">
        <v>139.54</v>
      </c>
      <c r="J1741" s="592">
        <f t="shared" si="1151"/>
        <v>139.54</v>
      </c>
      <c r="K1741" s="593">
        <f t="shared" si="1143"/>
        <v>169.83</v>
      </c>
      <c r="L1741" s="594" t="s">
        <v>19</v>
      </c>
      <c r="M1741" s="92"/>
      <c r="N1741" s="92"/>
      <c r="O1741" s="93">
        <f t="shared" si="1144"/>
        <v>0</v>
      </c>
      <c r="P1741" s="93">
        <f t="shared" si="1145"/>
        <v>0</v>
      </c>
      <c r="Q1741" s="94"/>
      <c r="R1741" s="92">
        <f t="shared" si="1146"/>
        <v>0</v>
      </c>
      <c r="S1741" s="92">
        <f t="shared" si="1147"/>
        <v>0</v>
      </c>
      <c r="T1741" s="93">
        <f t="shared" si="1148"/>
        <v>0</v>
      </c>
      <c r="U1741" s="95">
        <f t="shared" si="1149"/>
        <v>0</v>
      </c>
      <c r="V1741" s="94"/>
      <c r="X1741" s="580" t="str">
        <f t="shared" si="1129"/>
        <v/>
      </c>
      <c r="Y1741" s="580" t="str">
        <f t="shared" si="1142"/>
        <v/>
      </c>
      <c r="Z1741" s="580" t="str">
        <f t="shared" si="1120"/>
        <v/>
      </c>
    </row>
    <row r="1742" spans="1:26" hidden="1" x14ac:dyDescent="0.2">
      <c r="A1742" s="1008">
        <v>633200</v>
      </c>
      <c r="B1742" s="1010" t="s">
        <v>2179</v>
      </c>
      <c r="C1742" s="978" t="s">
        <v>212</v>
      </c>
      <c r="D1742" s="589" t="s">
        <v>798</v>
      </c>
      <c r="E1742" s="590"/>
      <c r="F1742" s="601"/>
      <c r="G1742" s="591"/>
      <c r="H1742" s="908"/>
      <c r="I1742" s="592">
        <v>209.31</v>
      </c>
      <c r="J1742" s="592">
        <f t="shared" si="1151"/>
        <v>209.31</v>
      </c>
      <c r="K1742" s="593">
        <f t="shared" si="1143"/>
        <v>254.75</v>
      </c>
      <c r="L1742" s="594" t="s">
        <v>19</v>
      </c>
      <c r="M1742" s="92"/>
      <c r="N1742" s="92"/>
      <c r="O1742" s="93">
        <f t="shared" si="1144"/>
        <v>0</v>
      </c>
      <c r="P1742" s="93">
        <f t="shared" si="1145"/>
        <v>0</v>
      </c>
      <c r="Q1742" s="94"/>
      <c r="R1742" s="92">
        <f t="shared" si="1146"/>
        <v>0</v>
      </c>
      <c r="S1742" s="92">
        <f t="shared" si="1147"/>
        <v>0</v>
      </c>
      <c r="T1742" s="93">
        <f t="shared" si="1148"/>
        <v>0</v>
      </c>
      <c r="U1742" s="95">
        <f t="shared" si="1149"/>
        <v>0</v>
      </c>
      <c r="V1742" s="94"/>
      <c r="X1742" s="580" t="str">
        <f t="shared" si="1129"/>
        <v/>
      </c>
      <c r="Y1742" s="580" t="str">
        <f t="shared" si="1142"/>
        <v/>
      </c>
      <c r="Z1742" s="580" t="str">
        <f t="shared" si="1120"/>
        <v/>
      </c>
    </row>
    <row r="1743" spans="1:26" hidden="1" x14ac:dyDescent="0.2">
      <c r="A1743" s="1008">
        <v>630300</v>
      </c>
      <c r="B1743" s="1010">
        <v>630300</v>
      </c>
      <c r="C1743" s="978" t="s">
        <v>212</v>
      </c>
      <c r="D1743" s="595" t="s">
        <v>345</v>
      </c>
      <c r="E1743" s="596"/>
      <c r="F1743" s="671"/>
      <c r="G1743" s="597"/>
      <c r="H1743" s="908"/>
      <c r="I1743" s="592">
        <v>14.31</v>
      </c>
      <c r="J1743" s="592">
        <f t="shared" si="1150"/>
        <v>14.31</v>
      </c>
      <c r="K1743" s="593">
        <f t="shared" si="1143"/>
        <v>17.420000000000002</v>
      </c>
      <c r="L1743" s="594" t="s">
        <v>19</v>
      </c>
      <c r="M1743" s="92"/>
      <c r="N1743" s="92"/>
      <c r="O1743" s="93">
        <f t="shared" si="1144"/>
        <v>0</v>
      </c>
      <c r="P1743" s="93">
        <f t="shared" si="1145"/>
        <v>0</v>
      </c>
      <c r="Q1743" s="94"/>
      <c r="R1743" s="92">
        <f t="shared" si="1146"/>
        <v>0</v>
      </c>
      <c r="S1743" s="92">
        <f t="shared" si="1147"/>
        <v>0</v>
      </c>
      <c r="T1743" s="93">
        <f t="shared" si="1148"/>
        <v>0</v>
      </c>
      <c r="U1743" s="95">
        <f t="shared" si="1149"/>
        <v>0</v>
      </c>
      <c r="V1743" s="94"/>
      <c r="X1743" s="580" t="str">
        <f t="shared" si="1129"/>
        <v/>
      </c>
      <c r="Y1743" s="580" t="str">
        <f t="shared" si="1142"/>
        <v/>
      </c>
      <c r="Z1743" s="580" t="str">
        <f t="shared" si="1120"/>
        <v/>
      </c>
    </row>
    <row r="1744" spans="1:26" x14ac:dyDescent="0.2">
      <c r="A1744" s="1008">
        <v>630400</v>
      </c>
      <c r="B1744" s="1107">
        <v>630400</v>
      </c>
      <c r="C1744" s="1108" t="s">
        <v>212</v>
      </c>
      <c r="D1744" s="1153" t="s">
        <v>346</v>
      </c>
      <c r="E1744" s="1110"/>
      <c r="F1744" s="671"/>
      <c r="G1744" s="597"/>
      <c r="H1744" s="908"/>
      <c r="I1744" s="592">
        <v>17.89</v>
      </c>
      <c r="J1744" s="592">
        <f t="shared" si="1150"/>
        <v>17.89</v>
      </c>
      <c r="K1744" s="593">
        <f t="shared" si="1143"/>
        <v>21.77</v>
      </c>
      <c r="L1744" s="594" t="s">
        <v>19</v>
      </c>
      <c r="M1744" s="92">
        <v>58</v>
      </c>
      <c r="N1744" s="92">
        <v>22.15</v>
      </c>
      <c r="O1744" s="93">
        <f t="shared" si="1144"/>
        <v>1262.6600000000001</v>
      </c>
      <c r="P1744" s="93">
        <f t="shared" si="1145"/>
        <v>1284.7</v>
      </c>
      <c r="Q1744" s="94"/>
      <c r="R1744" s="1111">
        <f t="shared" si="1146"/>
        <v>58</v>
      </c>
      <c r="S1744" s="1111">
        <f>K1744</f>
        <v>21.77</v>
      </c>
      <c r="T1744" s="1112">
        <f t="shared" si="1148"/>
        <v>1262.6600000000001</v>
      </c>
      <c r="U1744" s="1113">
        <f t="shared" si="1149"/>
        <v>1262.6600000000001</v>
      </c>
      <c r="V1744" s="1114"/>
      <c r="X1744" s="580" t="str">
        <f t="shared" si="1129"/>
        <v>x</v>
      </c>
      <c r="Y1744" s="580" t="str">
        <f t="shared" si="1142"/>
        <v>x</v>
      </c>
      <c r="Z1744" s="580" t="str">
        <f t="shared" si="1120"/>
        <v>x</v>
      </c>
    </row>
    <row r="1745" spans="1:26" hidden="1" x14ac:dyDescent="0.2">
      <c r="A1745" s="1008">
        <v>630500</v>
      </c>
      <c r="B1745" s="1010">
        <v>630500</v>
      </c>
      <c r="C1745" s="978" t="s">
        <v>212</v>
      </c>
      <c r="D1745" s="631" t="s">
        <v>347</v>
      </c>
      <c r="E1745" s="596"/>
      <c r="F1745" s="671"/>
      <c r="G1745" s="597"/>
      <c r="H1745" s="682"/>
      <c r="I1745" s="592">
        <v>19.52</v>
      </c>
      <c r="J1745" s="592">
        <f t="shared" si="1150"/>
        <v>19.52</v>
      </c>
      <c r="K1745" s="593">
        <f t="shared" si="1143"/>
        <v>23.76</v>
      </c>
      <c r="L1745" s="594" t="s">
        <v>19</v>
      </c>
      <c r="M1745" s="92"/>
      <c r="N1745" s="92"/>
      <c r="O1745" s="93">
        <f t="shared" si="1144"/>
        <v>0</v>
      </c>
      <c r="P1745" s="93">
        <f t="shared" si="1145"/>
        <v>0</v>
      </c>
      <c r="Q1745" s="94"/>
      <c r="R1745" s="92">
        <f t="shared" si="1146"/>
        <v>0</v>
      </c>
      <c r="S1745" s="92">
        <f t="shared" si="1147"/>
        <v>0</v>
      </c>
      <c r="T1745" s="93">
        <f t="shared" si="1148"/>
        <v>0</v>
      </c>
      <c r="U1745" s="95">
        <f t="shared" si="1149"/>
        <v>0</v>
      </c>
      <c r="V1745" s="94"/>
      <c r="X1745" s="580" t="str">
        <f t="shared" si="1129"/>
        <v/>
      </c>
      <c r="Y1745" s="580" t="str">
        <f t="shared" si="1142"/>
        <v/>
      </c>
      <c r="Z1745" s="580" t="str">
        <f t="shared" si="1120"/>
        <v/>
      </c>
    </row>
    <row r="1746" spans="1:26" hidden="1" x14ac:dyDescent="0.2">
      <c r="A1746" s="1008">
        <v>630600</v>
      </c>
      <c r="B1746" s="1010">
        <v>630600</v>
      </c>
      <c r="C1746" s="978" t="s">
        <v>212</v>
      </c>
      <c r="D1746" s="631" t="s">
        <v>348</v>
      </c>
      <c r="E1746" s="596"/>
      <c r="F1746" s="671"/>
      <c r="G1746" s="597"/>
      <c r="H1746" s="682"/>
      <c r="I1746" s="592">
        <v>21.47</v>
      </c>
      <c r="J1746" s="592">
        <f t="shared" si="1150"/>
        <v>21.47</v>
      </c>
      <c r="K1746" s="593">
        <f t="shared" si="1143"/>
        <v>26.13</v>
      </c>
      <c r="L1746" s="594" t="s">
        <v>19</v>
      </c>
      <c r="M1746" s="92"/>
      <c r="N1746" s="92">
        <v>26.13</v>
      </c>
      <c r="O1746" s="93">
        <f t="shared" si="1144"/>
        <v>0</v>
      </c>
      <c r="P1746" s="93">
        <f t="shared" si="1145"/>
        <v>0</v>
      </c>
      <c r="Q1746" s="94"/>
      <c r="R1746" s="92">
        <f t="shared" si="1146"/>
        <v>0</v>
      </c>
      <c r="S1746" s="92">
        <f t="shared" si="1147"/>
        <v>26.13</v>
      </c>
      <c r="T1746" s="93">
        <f t="shared" si="1148"/>
        <v>0</v>
      </c>
      <c r="U1746" s="95">
        <f t="shared" si="1149"/>
        <v>0</v>
      </c>
      <c r="V1746" s="94"/>
      <c r="X1746" s="580" t="str">
        <f t="shared" si="1129"/>
        <v/>
      </c>
      <c r="Y1746" s="580" t="str">
        <f t="shared" si="1142"/>
        <v/>
      </c>
      <c r="Z1746" s="580" t="str">
        <f t="shared" ref="Z1746:Z1859" si="1152">IF(W1746="X","x",IF(U1746&gt;0,"x",""))</f>
        <v/>
      </c>
    </row>
    <row r="1747" spans="1:26" hidden="1" x14ac:dyDescent="0.2">
      <c r="A1747" s="1008">
        <v>630800</v>
      </c>
      <c r="B1747" s="1010">
        <v>630800</v>
      </c>
      <c r="C1747" s="978" t="s">
        <v>212</v>
      </c>
      <c r="D1747" s="595" t="s">
        <v>349</v>
      </c>
      <c r="E1747" s="596"/>
      <c r="F1747" s="671"/>
      <c r="G1747" s="597"/>
      <c r="H1747" s="682"/>
      <c r="I1747" s="592">
        <v>42.95</v>
      </c>
      <c r="J1747" s="592">
        <f t="shared" si="1150"/>
        <v>42.95</v>
      </c>
      <c r="K1747" s="593">
        <f t="shared" si="1143"/>
        <v>52.27</v>
      </c>
      <c r="L1747" s="594" t="s">
        <v>19</v>
      </c>
      <c r="M1747" s="92"/>
      <c r="N1747" s="92"/>
      <c r="O1747" s="93">
        <f t="shared" si="1144"/>
        <v>0</v>
      </c>
      <c r="P1747" s="93">
        <f t="shared" si="1145"/>
        <v>0</v>
      </c>
      <c r="Q1747" s="94"/>
      <c r="R1747" s="92">
        <f t="shared" si="1146"/>
        <v>0</v>
      </c>
      <c r="S1747" s="92">
        <f t="shared" si="1147"/>
        <v>0</v>
      </c>
      <c r="T1747" s="93">
        <f t="shared" si="1148"/>
        <v>0</v>
      </c>
      <c r="U1747" s="95">
        <f t="shared" si="1149"/>
        <v>0</v>
      </c>
      <c r="V1747" s="94"/>
      <c r="X1747" s="580" t="str">
        <f t="shared" si="1129"/>
        <v/>
      </c>
      <c r="Y1747" s="580" t="str">
        <f t="shared" si="1142"/>
        <v/>
      </c>
      <c r="Z1747" s="580" t="str">
        <f t="shared" si="1152"/>
        <v/>
      </c>
    </row>
    <row r="1748" spans="1:26" hidden="1" x14ac:dyDescent="0.2">
      <c r="A1748" s="1008">
        <v>631000</v>
      </c>
      <c r="B1748" s="1010">
        <v>631000</v>
      </c>
      <c r="C1748" s="978" t="s">
        <v>212</v>
      </c>
      <c r="D1748" s="595" t="s">
        <v>350</v>
      </c>
      <c r="E1748" s="596"/>
      <c r="F1748" s="671"/>
      <c r="G1748" s="597"/>
      <c r="H1748" s="682"/>
      <c r="I1748" s="592">
        <v>33.630000000000003</v>
      </c>
      <c r="J1748" s="592">
        <f t="shared" si="1150"/>
        <v>33.630000000000003</v>
      </c>
      <c r="K1748" s="593">
        <f t="shared" si="1143"/>
        <v>40.93</v>
      </c>
      <c r="L1748" s="594" t="s">
        <v>19</v>
      </c>
      <c r="M1748" s="92"/>
      <c r="N1748" s="92"/>
      <c r="O1748" s="93">
        <f t="shared" si="1144"/>
        <v>0</v>
      </c>
      <c r="P1748" s="93">
        <f t="shared" si="1145"/>
        <v>0</v>
      </c>
      <c r="Q1748" s="94"/>
      <c r="R1748" s="92">
        <f t="shared" si="1146"/>
        <v>0</v>
      </c>
      <c r="S1748" s="92">
        <f t="shared" si="1147"/>
        <v>0</v>
      </c>
      <c r="T1748" s="93">
        <f t="shared" si="1148"/>
        <v>0</v>
      </c>
      <c r="U1748" s="95">
        <f t="shared" si="1149"/>
        <v>0</v>
      </c>
      <c r="V1748" s="94"/>
      <c r="X1748" s="580" t="str">
        <f t="shared" si="1129"/>
        <v/>
      </c>
      <c r="Y1748" s="580" t="str">
        <f t="shared" si="1142"/>
        <v/>
      </c>
      <c r="Z1748" s="580" t="str">
        <f t="shared" si="1152"/>
        <v/>
      </c>
    </row>
    <row r="1749" spans="1:26" hidden="1" x14ac:dyDescent="0.2">
      <c r="A1749" s="1008">
        <v>631200</v>
      </c>
      <c r="B1749" s="1010">
        <v>631200</v>
      </c>
      <c r="C1749" s="978" t="s">
        <v>212</v>
      </c>
      <c r="D1749" s="595" t="s">
        <v>351</v>
      </c>
      <c r="E1749" s="596"/>
      <c r="F1749" s="671"/>
      <c r="G1749" s="597"/>
      <c r="H1749" s="682"/>
      <c r="I1749" s="592">
        <v>40.36</v>
      </c>
      <c r="J1749" s="592">
        <f t="shared" si="1150"/>
        <v>40.36</v>
      </c>
      <c r="K1749" s="593">
        <f t="shared" si="1143"/>
        <v>49.12</v>
      </c>
      <c r="L1749" s="594" t="s">
        <v>19</v>
      </c>
      <c r="M1749" s="92"/>
      <c r="N1749" s="92"/>
      <c r="O1749" s="93">
        <f t="shared" si="1144"/>
        <v>0</v>
      </c>
      <c r="P1749" s="93">
        <f t="shared" si="1145"/>
        <v>0</v>
      </c>
      <c r="Q1749" s="94"/>
      <c r="R1749" s="92">
        <f t="shared" si="1146"/>
        <v>0</v>
      </c>
      <c r="S1749" s="92">
        <f t="shared" si="1147"/>
        <v>0</v>
      </c>
      <c r="T1749" s="93">
        <f t="shared" si="1148"/>
        <v>0</v>
      </c>
      <c r="U1749" s="95">
        <f t="shared" si="1149"/>
        <v>0</v>
      </c>
      <c r="V1749" s="94"/>
      <c r="X1749" s="580" t="str">
        <f t="shared" si="1129"/>
        <v/>
      </c>
      <c r="Y1749" s="580" t="str">
        <f t="shared" si="1142"/>
        <v/>
      </c>
      <c r="Z1749" s="580" t="str">
        <f t="shared" si="1152"/>
        <v/>
      </c>
    </row>
    <row r="1750" spans="1:26" hidden="1" x14ac:dyDescent="0.2">
      <c r="A1750" s="1008">
        <v>631500</v>
      </c>
      <c r="B1750" s="1010">
        <v>631500</v>
      </c>
      <c r="C1750" s="978" t="s">
        <v>212</v>
      </c>
      <c r="D1750" s="595" t="s">
        <v>352</v>
      </c>
      <c r="E1750" s="596"/>
      <c r="F1750" s="671"/>
      <c r="G1750" s="597"/>
      <c r="H1750" s="682"/>
      <c r="I1750" s="592">
        <v>50.45</v>
      </c>
      <c r="J1750" s="592">
        <f t="shared" si="1150"/>
        <v>50.45</v>
      </c>
      <c r="K1750" s="593">
        <f t="shared" si="1143"/>
        <v>61.4</v>
      </c>
      <c r="L1750" s="594" t="s">
        <v>19</v>
      </c>
      <c r="M1750" s="92"/>
      <c r="N1750" s="92"/>
      <c r="O1750" s="93">
        <f t="shared" si="1144"/>
        <v>0</v>
      </c>
      <c r="P1750" s="93">
        <f t="shared" si="1145"/>
        <v>0</v>
      </c>
      <c r="Q1750" s="94"/>
      <c r="R1750" s="92">
        <f t="shared" si="1146"/>
        <v>0</v>
      </c>
      <c r="S1750" s="92">
        <f t="shared" si="1147"/>
        <v>0</v>
      </c>
      <c r="T1750" s="93">
        <f t="shared" si="1148"/>
        <v>0</v>
      </c>
      <c r="U1750" s="95">
        <f t="shared" si="1149"/>
        <v>0</v>
      </c>
      <c r="V1750" s="94"/>
      <c r="X1750" s="580" t="str">
        <f t="shared" si="1129"/>
        <v/>
      </c>
      <c r="Y1750" s="580" t="str">
        <f t="shared" si="1142"/>
        <v/>
      </c>
      <c r="Z1750" s="580" t="str">
        <f t="shared" si="1152"/>
        <v/>
      </c>
    </row>
    <row r="1751" spans="1:26" hidden="1" x14ac:dyDescent="0.2">
      <c r="A1751" s="1008">
        <v>860200</v>
      </c>
      <c r="B1751" s="1010">
        <v>860200</v>
      </c>
      <c r="C1751" s="978" t="s">
        <v>212</v>
      </c>
      <c r="D1751" s="595" t="s">
        <v>1112</v>
      </c>
      <c r="E1751" s="596"/>
      <c r="F1751" s="671"/>
      <c r="G1751" s="597"/>
      <c r="H1751" s="682">
        <f>SUM(H1752:H1753)</f>
        <v>14.852385</v>
      </c>
      <c r="I1751" s="592">
        <v>715.57999999999993</v>
      </c>
      <c r="J1751" s="592">
        <f>IF(ISBLANK(I1751),"",SUM(H1751:I1751))</f>
        <v>730.43238499999995</v>
      </c>
      <c r="K1751" s="593">
        <f t="shared" si="1143"/>
        <v>889.01</v>
      </c>
      <c r="L1751" s="594" t="s">
        <v>16</v>
      </c>
      <c r="M1751" s="92"/>
      <c r="N1751" s="92"/>
      <c r="O1751" s="93">
        <f t="shared" si="1144"/>
        <v>0</v>
      </c>
      <c r="P1751" s="93">
        <f t="shared" si="1145"/>
        <v>0</v>
      </c>
      <c r="Q1751" s="94"/>
      <c r="R1751" s="92">
        <f t="shared" si="1146"/>
        <v>0</v>
      </c>
      <c r="S1751" s="92">
        <f t="shared" si="1147"/>
        <v>0</v>
      </c>
      <c r="T1751" s="93">
        <f t="shared" si="1148"/>
        <v>0</v>
      </c>
      <c r="U1751" s="95">
        <f t="shared" si="1149"/>
        <v>0</v>
      </c>
      <c r="V1751" s="94"/>
      <c r="X1751" s="580" t="str">
        <f t="shared" si="1129"/>
        <v/>
      </c>
      <c r="Y1751" s="580" t="str">
        <f t="shared" si="1142"/>
        <v/>
      </c>
      <c r="Z1751" s="580" t="str">
        <f t="shared" si="1152"/>
        <v/>
      </c>
    </row>
    <row r="1752" spans="1:26" hidden="1" x14ac:dyDescent="0.2">
      <c r="A1752" s="97" t="s">
        <v>165</v>
      </c>
      <c r="B1752" s="1031" t="s">
        <v>165</v>
      </c>
      <c r="C1752" s="978"/>
      <c r="D1752" s="631" t="s">
        <v>1113</v>
      </c>
      <c r="E1752" s="596"/>
      <c r="F1752" s="671">
        <v>10</v>
      </c>
      <c r="G1752" s="597">
        <v>1.7250000000000001</v>
      </c>
      <c r="H1752" s="682">
        <f t="shared" ref="H1752:H1753" si="1153">IF(F1752=0,0,IF(F1752&lt;=30,(0.7*F1752+1.45)*G1752,((0.7*30+1.45)+0.58*(F1752-30))*G1752))</f>
        <v>14.57625</v>
      </c>
      <c r="I1752" s="592"/>
      <c r="J1752" s="592"/>
      <c r="K1752" s="593">
        <f t="shared" si="1143"/>
        <v>0</v>
      </c>
      <c r="L1752" s="670" t="s">
        <v>783</v>
      </c>
      <c r="M1752" s="632"/>
      <c r="N1752" s="633"/>
      <c r="O1752" s="93">
        <f t="shared" si="1144"/>
        <v>0</v>
      </c>
      <c r="P1752" s="93">
        <f t="shared" si="1145"/>
        <v>0</v>
      </c>
      <c r="Q1752" s="94"/>
      <c r="R1752" s="632">
        <f t="shared" si="1146"/>
        <v>0</v>
      </c>
      <c r="S1752" s="633">
        <f t="shared" si="1147"/>
        <v>0</v>
      </c>
      <c r="T1752" s="93">
        <f t="shared" si="1148"/>
        <v>0</v>
      </c>
      <c r="U1752" s="95">
        <f t="shared" si="1149"/>
        <v>0</v>
      </c>
      <c r="V1752" s="94"/>
      <c r="W1752" s="579" t="str">
        <f>IF(U1751&gt;0,"xx",IF(P1751&gt;0,"xy",""))</f>
        <v/>
      </c>
      <c r="X1752" s="580" t="str">
        <f t="shared" si="1129"/>
        <v/>
      </c>
      <c r="Y1752" s="580" t="str">
        <f t="shared" si="1142"/>
        <v/>
      </c>
      <c r="Z1752" s="580" t="str">
        <f t="shared" si="1152"/>
        <v/>
      </c>
    </row>
    <row r="1753" spans="1:26" hidden="1" x14ac:dyDescent="0.2">
      <c r="A1753" s="97" t="s">
        <v>165</v>
      </c>
      <c r="B1753" s="1031" t="s">
        <v>165</v>
      </c>
      <c r="C1753" s="978"/>
      <c r="D1753" s="631" t="s">
        <v>353</v>
      </c>
      <c r="E1753" s="596"/>
      <c r="F1753" s="671">
        <v>30</v>
      </c>
      <c r="G1753" s="597">
        <v>1.23E-2</v>
      </c>
      <c r="H1753" s="682">
        <f t="shared" si="1153"/>
        <v>0.27613500000000002</v>
      </c>
      <c r="I1753" s="592"/>
      <c r="J1753" s="592"/>
      <c r="K1753" s="593">
        <f t="shared" si="1143"/>
        <v>0</v>
      </c>
      <c r="L1753" s="670" t="s">
        <v>783</v>
      </c>
      <c r="M1753" s="632"/>
      <c r="N1753" s="633"/>
      <c r="O1753" s="93">
        <f t="shared" si="1144"/>
        <v>0</v>
      </c>
      <c r="P1753" s="93">
        <f t="shared" si="1145"/>
        <v>0</v>
      </c>
      <c r="Q1753" s="94"/>
      <c r="R1753" s="632">
        <f t="shared" si="1146"/>
        <v>0</v>
      </c>
      <c r="S1753" s="633">
        <f t="shared" si="1147"/>
        <v>0</v>
      </c>
      <c r="T1753" s="93">
        <f t="shared" si="1148"/>
        <v>0</v>
      </c>
      <c r="U1753" s="95">
        <f t="shared" si="1149"/>
        <v>0</v>
      </c>
      <c r="V1753" s="94"/>
      <c r="W1753" s="579" t="str">
        <f>IF(U1751&gt;0,"xx",IF(P1751&gt;0,"xy",""))</f>
        <v/>
      </c>
      <c r="X1753" s="580" t="str">
        <f t="shared" si="1129"/>
        <v/>
      </c>
      <c r="Y1753" s="580" t="str">
        <f t="shared" si="1142"/>
        <v/>
      </c>
      <c r="Z1753" s="580" t="str">
        <f t="shared" si="1152"/>
        <v/>
      </c>
    </row>
    <row r="1754" spans="1:26" hidden="1" x14ac:dyDescent="0.2">
      <c r="A1754" s="1008">
        <v>860100</v>
      </c>
      <c r="B1754" s="1010">
        <v>860100</v>
      </c>
      <c r="C1754" s="978" t="s">
        <v>212</v>
      </c>
      <c r="D1754" s="595" t="s">
        <v>1114</v>
      </c>
      <c r="E1754" s="596"/>
      <c r="F1754" s="671"/>
      <c r="G1754" s="597"/>
      <c r="H1754" s="682">
        <f>SUM(H1755:H1756)</f>
        <v>14.865855</v>
      </c>
      <c r="I1754" s="592">
        <v>805.22</v>
      </c>
      <c r="J1754" s="592">
        <f>IF(ISBLANK(I1754),"",SUM(H1754:I1754))</f>
        <v>820.08585500000004</v>
      </c>
      <c r="K1754" s="593">
        <f t="shared" si="1143"/>
        <v>998.13</v>
      </c>
      <c r="L1754" s="594" t="s">
        <v>16</v>
      </c>
      <c r="M1754" s="92"/>
      <c r="N1754" s="92"/>
      <c r="O1754" s="93">
        <f t="shared" ref="O1754:O1759" si="1154">IF(ISBLANK(M1754),0,ROUND(K1754*M1754,2))</f>
        <v>0</v>
      </c>
      <c r="P1754" s="93">
        <f t="shared" ref="P1754:P1759" si="1155">IF(ISBLANK(N1754),0,ROUND(M1754*N1754,2))</f>
        <v>0</v>
      </c>
      <c r="Q1754" s="94"/>
      <c r="R1754" s="92">
        <f t="shared" ref="R1754:R1759" si="1156">M1754</f>
        <v>0</v>
      </c>
      <c r="S1754" s="92">
        <f t="shared" ref="S1754:S1759" si="1157">N1754</f>
        <v>0</v>
      </c>
      <c r="T1754" s="93">
        <f t="shared" ref="T1754:T1759" si="1158">IF(ISBLANK(R1754),0,ROUND(K1754*R1754,2))</f>
        <v>0</v>
      </c>
      <c r="U1754" s="95">
        <f t="shared" ref="U1754:U1759" si="1159">IF(ISBLANK(R1754),0,ROUND(R1754*S1754,2))</f>
        <v>0</v>
      </c>
      <c r="V1754" s="94"/>
      <c r="X1754" s="580" t="str">
        <f t="shared" ref="X1754:X1759" si="1160">IF(W1754="X","x",IF(W1754="xx","x",IF(W1754="xy","x",IF(W1754="y","x",IF(OR(P1754&gt;0,U1754&gt;0),"x","")))))</f>
        <v/>
      </c>
      <c r="Y1754" s="580" t="str">
        <f t="shared" ref="Y1754:Y1759" si="1161">IF(W1754="X","x",IF(W1754="y","x",IF(W1754="xx","x",IF(U1754&gt;0,"x",""))))</f>
        <v/>
      </c>
      <c r="Z1754" s="580" t="str">
        <f t="shared" ref="Z1754:Z1759" si="1162">IF(W1754="X","x",IF(U1754&gt;0,"x",""))</f>
        <v/>
      </c>
    </row>
    <row r="1755" spans="1:26" hidden="1" x14ac:dyDescent="0.2">
      <c r="A1755" s="97" t="s">
        <v>165</v>
      </c>
      <c r="B1755" s="1031" t="s">
        <v>165</v>
      </c>
      <c r="C1755" s="978"/>
      <c r="D1755" s="631" t="s">
        <v>1113</v>
      </c>
      <c r="E1755" s="596"/>
      <c r="F1755" s="671">
        <v>10</v>
      </c>
      <c r="G1755" s="597">
        <v>1.7250000000000001</v>
      </c>
      <c r="H1755" s="682">
        <f t="shared" ref="H1755:H1756" si="1163">IF(F1755=0,0,IF(F1755&lt;=30,(0.7*F1755+1.45)*G1755,((0.7*30+1.45)+0.58*(F1755-30))*G1755))</f>
        <v>14.57625</v>
      </c>
      <c r="I1755" s="592"/>
      <c r="J1755" s="592"/>
      <c r="K1755" s="593">
        <f t="shared" si="1143"/>
        <v>0</v>
      </c>
      <c r="L1755" s="670" t="s">
        <v>783</v>
      </c>
      <c r="M1755" s="632"/>
      <c r="N1755" s="633"/>
      <c r="O1755" s="93">
        <f t="shared" si="1154"/>
        <v>0</v>
      </c>
      <c r="P1755" s="93">
        <f t="shared" si="1155"/>
        <v>0</v>
      </c>
      <c r="Q1755" s="94"/>
      <c r="R1755" s="632">
        <f t="shared" si="1156"/>
        <v>0</v>
      </c>
      <c r="S1755" s="633">
        <f t="shared" si="1157"/>
        <v>0</v>
      </c>
      <c r="T1755" s="93">
        <f t="shared" si="1158"/>
        <v>0</v>
      </c>
      <c r="U1755" s="95">
        <f t="shared" si="1159"/>
        <v>0</v>
      </c>
      <c r="V1755" s="94"/>
      <c r="W1755" s="579" t="str">
        <f>IF(U1754&gt;0,"xx",IF(P1754&gt;0,"xy",""))</f>
        <v/>
      </c>
      <c r="X1755" s="580" t="str">
        <f t="shared" si="1160"/>
        <v/>
      </c>
      <c r="Y1755" s="580" t="str">
        <f t="shared" si="1161"/>
        <v/>
      </c>
      <c r="Z1755" s="580" t="str">
        <f t="shared" si="1162"/>
        <v/>
      </c>
    </row>
    <row r="1756" spans="1:26" hidden="1" x14ac:dyDescent="0.2">
      <c r="A1756" s="97" t="s">
        <v>165</v>
      </c>
      <c r="B1756" s="1031" t="s">
        <v>165</v>
      </c>
      <c r="C1756" s="978"/>
      <c r="D1756" s="631" t="s">
        <v>353</v>
      </c>
      <c r="E1756" s="596"/>
      <c r="F1756" s="671">
        <v>30</v>
      </c>
      <c r="G1756" s="597">
        <v>1.29E-2</v>
      </c>
      <c r="H1756" s="682">
        <f t="shared" si="1163"/>
        <v>0.289605</v>
      </c>
      <c r="I1756" s="592"/>
      <c r="J1756" s="592"/>
      <c r="K1756" s="593">
        <f t="shared" si="1143"/>
        <v>0</v>
      </c>
      <c r="L1756" s="670" t="s">
        <v>783</v>
      </c>
      <c r="M1756" s="632"/>
      <c r="N1756" s="633"/>
      <c r="O1756" s="93">
        <f t="shared" si="1154"/>
        <v>0</v>
      </c>
      <c r="P1756" s="93">
        <f t="shared" si="1155"/>
        <v>0</v>
      </c>
      <c r="Q1756" s="94"/>
      <c r="R1756" s="632">
        <f t="shared" si="1156"/>
        <v>0</v>
      </c>
      <c r="S1756" s="633">
        <f t="shared" si="1157"/>
        <v>0</v>
      </c>
      <c r="T1756" s="93">
        <f t="shared" si="1158"/>
        <v>0</v>
      </c>
      <c r="U1756" s="95">
        <f t="shared" si="1159"/>
        <v>0</v>
      </c>
      <c r="V1756" s="94"/>
      <c r="W1756" s="579" t="str">
        <f>IF(U1754&gt;0,"xx",IF(P1754&gt;0,"xy",""))</f>
        <v/>
      </c>
      <c r="X1756" s="580" t="str">
        <f t="shared" si="1160"/>
        <v/>
      </c>
      <c r="Y1756" s="580" t="str">
        <f t="shared" si="1161"/>
        <v/>
      </c>
      <c r="Z1756" s="580" t="str">
        <f t="shared" si="1162"/>
        <v/>
      </c>
    </row>
    <row r="1757" spans="1:26" hidden="1" x14ac:dyDescent="0.2">
      <c r="A1757" s="1008">
        <v>860150</v>
      </c>
      <c r="B1757" s="1010">
        <v>860150</v>
      </c>
      <c r="C1757" s="978" t="s">
        <v>212</v>
      </c>
      <c r="D1757" s="595" t="s">
        <v>1115</v>
      </c>
      <c r="E1757" s="596"/>
      <c r="F1757" s="671"/>
      <c r="G1757" s="597"/>
      <c r="H1757" s="682">
        <f>SUM(H1758:H1759)</f>
        <v>14.767075</v>
      </c>
      <c r="I1757" s="592">
        <v>579.44000000000005</v>
      </c>
      <c r="J1757" s="592">
        <f>IF(ISBLANK(I1757),"",SUM(H1757:I1757))</f>
        <v>594.20707500000003</v>
      </c>
      <c r="K1757" s="593">
        <f t="shared" si="1143"/>
        <v>723.21</v>
      </c>
      <c r="L1757" s="594" t="s">
        <v>16</v>
      </c>
      <c r="M1757" s="92"/>
      <c r="N1757" s="92"/>
      <c r="O1757" s="93">
        <f t="shared" si="1154"/>
        <v>0</v>
      </c>
      <c r="P1757" s="93">
        <f t="shared" si="1155"/>
        <v>0</v>
      </c>
      <c r="Q1757" s="94"/>
      <c r="R1757" s="92">
        <f t="shared" si="1156"/>
        <v>0</v>
      </c>
      <c r="S1757" s="92">
        <f t="shared" si="1157"/>
        <v>0</v>
      </c>
      <c r="T1757" s="93">
        <f t="shared" si="1158"/>
        <v>0</v>
      </c>
      <c r="U1757" s="95">
        <f t="shared" si="1159"/>
        <v>0</v>
      </c>
      <c r="V1757" s="94"/>
      <c r="X1757" s="580" t="str">
        <f t="shared" si="1160"/>
        <v/>
      </c>
      <c r="Y1757" s="580" t="str">
        <f t="shared" si="1161"/>
        <v/>
      </c>
      <c r="Z1757" s="580" t="str">
        <f t="shared" si="1162"/>
        <v/>
      </c>
    </row>
    <row r="1758" spans="1:26" hidden="1" x14ac:dyDescent="0.2">
      <c r="A1758" s="97" t="s">
        <v>165</v>
      </c>
      <c r="B1758" s="1031" t="s">
        <v>165</v>
      </c>
      <c r="C1758" s="978"/>
      <c r="D1758" s="631" t="s">
        <v>1113</v>
      </c>
      <c r="E1758" s="596"/>
      <c r="F1758" s="671">
        <v>10</v>
      </c>
      <c r="G1758" s="597">
        <v>1.7250000000000001</v>
      </c>
      <c r="H1758" s="682">
        <f t="shared" ref="H1758:H1759" si="1164">IF(F1758=0,0,IF(F1758&lt;=30,(0.7*F1758+1.45)*G1758,((0.7*30+1.45)+0.58*(F1758-30))*G1758))</f>
        <v>14.57625</v>
      </c>
      <c r="I1758" s="592"/>
      <c r="J1758" s="592"/>
      <c r="K1758" s="593">
        <f t="shared" si="1143"/>
        <v>0</v>
      </c>
      <c r="L1758" s="670" t="s">
        <v>783</v>
      </c>
      <c r="M1758" s="632"/>
      <c r="N1758" s="633"/>
      <c r="O1758" s="93">
        <f t="shared" si="1154"/>
        <v>0</v>
      </c>
      <c r="P1758" s="93">
        <f t="shared" si="1155"/>
        <v>0</v>
      </c>
      <c r="Q1758" s="94"/>
      <c r="R1758" s="632">
        <f t="shared" si="1156"/>
        <v>0</v>
      </c>
      <c r="S1758" s="633">
        <f t="shared" si="1157"/>
        <v>0</v>
      </c>
      <c r="T1758" s="93">
        <f t="shared" si="1158"/>
        <v>0</v>
      </c>
      <c r="U1758" s="95">
        <f t="shared" si="1159"/>
        <v>0</v>
      </c>
      <c r="V1758" s="94"/>
      <c r="W1758" s="579" t="str">
        <f>IF(U1757&gt;0,"xx",IF(P1757&gt;0,"xy",""))</f>
        <v/>
      </c>
      <c r="X1758" s="580" t="str">
        <f t="shared" si="1160"/>
        <v/>
      </c>
      <c r="Y1758" s="580" t="str">
        <f t="shared" si="1161"/>
        <v/>
      </c>
      <c r="Z1758" s="580" t="str">
        <f t="shared" si="1162"/>
        <v/>
      </c>
    </row>
    <row r="1759" spans="1:26" hidden="1" x14ac:dyDescent="0.2">
      <c r="A1759" s="97" t="s">
        <v>165</v>
      </c>
      <c r="B1759" s="1031" t="s">
        <v>165</v>
      </c>
      <c r="C1759" s="978"/>
      <c r="D1759" s="631" t="s">
        <v>353</v>
      </c>
      <c r="E1759" s="596"/>
      <c r="F1759" s="671">
        <v>30</v>
      </c>
      <c r="G1759" s="597">
        <v>8.5000000000000006E-3</v>
      </c>
      <c r="H1759" s="682">
        <f t="shared" si="1164"/>
        <v>0.19082499999999999</v>
      </c>
      <c r="I1759" s="592"/>
      <c r="J1759" s="592"/>
      <c r="K1759" s="593">
        <f t="shared" si="1143"/>
        <v>0</v>
      </c>
      <c r="L1759" s="670" t="s">
        <v>783</v>
      </c>
      <c r="M1759" s="632"/>
      <c r="N1759" s="633"/>
      <c r="O1759" s="93">
        <f t="shared" si="1154"/>
        <v>0</v>
      </c>
      <c r="P1759" s="93">
        <f t="shared" si="1155"/>
        <v>0</v>
      </c>
      <c r="Q1759" s="94"/>
      <c r="R1759" s="632">
        <f t="shared" si="1156"/>
        <v>0</v>
      </c>
      <c r="S1759" s="633">
        <f t="shared" si="1157"/>
        <v>0</v>
      </c>
      <c r="T1759" s="93">
        <f t="shared" si="1158"/>
        <v>0</v>
      </c>
      <c r="U1759" s="95">
        <f t="shared" si="1159"/>
        <v>0</v>
      </c>
      <c r="V1759" s="94"/>
      <c r="W1759" s="579" t="str">
        <f>IF(U1757&gt;0,"xx",IF(P1757&gt;0,"xy",""))</f>
        <v/>
      </c>
      <c r="X1759" s="580" t="str">
        <f t="shared" si="1160"/>
        <v/>
      </c>
      <c r="Y1759" s="580" t="str">
        <f t="shared" si="1161"/>
        <v/>
      </c>
      <c r="Z1759" s="580" t="str">
        <f t="shared" si="1162"/>
        <v/>
      </c>
    </row>
    <row r="1760" spans="1:26" hidden="1" x14ac:dyDescent="0.2">
      <c r="A1760" s="1008">
        <v>860000</v>
      </c>
      <c r="B1760" s="1010">
        <v>860000</v>
      </c>
      <c r="C1760" s="978" t="s">
        <v>212</v>
      </c>
      <c r="D1760" s="595" t="s">
        <v>1116</v>
      </c>
      <c r="E1760" s="596"/>
      <c r="F1760" s="671"/>
      <c r="G1760" s="597"/>
      <c r="H1760" s="682">
        <f>SUM(H1761:H1762)</f>
        <v>14.780545</v>
      </c>
      <c r="I1760" s="592">
        <v>626.02</v>
      </c>
      <c r="J1760" s="592">
        <f>IF(ISBLANK(I1760),"",SUM(H1760:I1760))</f>
        <v>640.80054499999994</v>
      </c>
      <c r="K1760" s="593">
        <f t="shared" si="1143"/>
        <v>779.92</v>
      </c>
      <c r="L1760" s="594" t="s">
        <v>16</v>
      </c>
      <c r="M1760" s="92"/>
      <c r="N1760" s="92"/>
      <c r="O1760" s="93">
        <f t="shared" ref="O1760:O1772" si="1165">IF(ISBLANK(M1760),0,ROUND(K1760*M1760,2))</f>
        <v>0</v>
      </c>
      <c r="P1760" s="93">
        <f t="shared" ref="P1760:P1772" si="1166">IF(ISBLANK(N1760),0,ROUND(M1760*N1760,2))</f>
        <v>0</v>
      </c>
      <c r="Q1760" s="94"/>
      <c r="R1760" s="92">
        <f t="shared" ref="R1760:R1772" si="1167">M1760</f>
        <v>0</v>
      </c>
      <c r="S1760" s="92">
        <f t="shared" ref="S1760:S1771" si="1168">N1760</f>
        <v>0</v>
      </c>
      <c r="T1760" s="93">
        <f t="shared" ref="T1760:T1772" si="1169">IF(ISBLANK(R1760),0,ROUND(K1760*R1760,2))</f>
        <v>0</v>
      </c>
      <c r="U1760" s="95">
        <f t="shared" ref="U1760:U1772" si="1170">IF(ISBLANK(R1760),0,ROUND(R1760*S1760,2))</f>
        <v>0</v>
      </c>
      <c r="V1760" s="94"/>
      <c r="X1760" s="580" t="str">
        <f t="shared" ref="X1760:X1772" si="1171">IF(W1760="X","x",IF(W1760="xx","x",IF(W1760="xy","x",IF(W1760="y","x",IF(OR(P1760&gt;0,U1760&gt;0),"x","")))))</f>
        <v/>
      </c>
      <c r="Y1760" s="580" t="str">
        <f t="shared" ref="Y1760:Y1772" si="1172">IF(W1760="X","x",IF(W1760="y","x",IF(W1760="xx","x",IF(U1760&gt;0,"x",""))))</f>
        <v/>
      </c>
      <c r="Z1760" s="580" t="str">
        <f t="shared" ref="Z1760:Z1772" si="1173">IF(W1760="X","x",IF(U1760&gt;0,"x",""))</f>
        <v/>
      </c>
    </row>
    <row r="1761" spans="1:26" hidden="1" x14ac:dyDescent="0.2">
      <c r="A1761" s="97" t="s">
        <v>165</v>
      </c>
      <c r="B1761" s="1031" t="s">
        <v>165</v>
      </c>
      <c r="C1761" s="978"/>
      <c r="D1761" s="631" t="s">
        <v>1113</v>
      </c>
      <c r="E1761" s="596"/>
      <c r="F1761" s="671">
        <v>10</v>
      </c>
      <c r="G1761" s="597">
        <v>1.7250000000000001</v>
      </c>
      <c r="H1761" s="682">
        <f t="shared" ref="H1761:H1762" si="1174">IF(F1761=0,0,IF(F1761&lt;=30,(0.7*F1761+1.45)*G1761,((0.7*30+1.45)+0.58*(F1761-30))*G1761))</f>
        <v>14.57625</v>
      </c>
      <c r="I1761" s="592"/>
      <c r="J1761" s="592"/>
      <c r="K1761" s="593">
        <f t="shared" si="1143"/>
        <v>0</v>
      </c>
      <c r="L1761" s="670" t="s">
        <v>783</v>
      </c>
      <c r="M1761" s="632"/>
      <c r="N1761" s="633"/>
      <c r="O1761" s="93">
        <f t="shared" si="1165"/>
        <v>0</v>
      </c>
      <c r="P1761" s="93">
        <f t="shared" si="1166"/>
        <v>0</v>
      </c>
      <c r="Q1761" s="94"/>
      <c r="R1761" s="632">
        <f t="shared" si="1167"/>
        <v>0</v>
      </c>
      <c r="S1761" s="633">
        <f t="shared" si="1168"/>
        <v>0</v>
      </c>
      <c r="T1761" s="93">
        <f t="shared" si="1169"/>
        <v>0</v>
      </c>
      <c r="U1761" s="95">
        <f t="shared" si="1170"/>
        <v>0</v>
      </c>
      <c r="V1761" s="94"/>
      <c r="W1761" s="579" t="str">
        <f>IF(U1760&gt;0,"xx",IF(P1760&gt;0,"xy",""))</f>
        <v/>
      </c>
      <c r="X1761" s="580" t="str">
        <f t="shared" si="1171"/>
        <v/>
      </c>
      <c r="Y1761" s="580" t="str">
        <f t="shared" si="1172"/>
        <v/>
      </c>
      <c r="Z1761" s="580" t="str">
        <f t="shared" si="1173"/>
        <v/>
      </c>
    </row>
    <row r="1762" spans="1:26" hidden="1" x14ac:dyDescent="0.2">
      <c r="A1762" s="97" t="s">
        <v>165</v>
      </c>
      <c r="B1762" s="1031" t="s">
        <v>165</v>
      </c>
      <c r="C1762" s="978"/>
      <c r="D1762" s="631" t="s">
        <v>353</v>
      </c>
      <c r="E1762" s="596"/>
      <c r="F1762" s="671">
        <v>30</v>
      </c>
      <c r="G1762" s="597">
        <v>9.1000000000000004E-3</v>
      </c>
      <c r="H1762" s="682">
        <f t="shared" si="1174"/>
        <v>0.204295</v>
      </c>
      <c r="I1762" s="592"/>
      <c r="J1762" s="592"/>
      <c r="K1762" s="593">
        <f t="shared" si="1143"/>
        <v>0</v>
      </c>
      <c r="L1762" s="670" t="s">
        <v>783</v>
      </c>
      <c r="M1762" s="632"/>
      <c r="N1762" s="633"/>
      <c r="O1762" s="93">
        <f t="shared" si="1165"/>
        <v>0</v>
      </c>
      <c r="P1762" s="93">
        <f t="shared" si="1166"/>
        <v>0</v>
      </c>
      <c r="Q1762" s="94"/>
      <c r="R1762" s="632">
        <f t="shared" si="1167"/>
        <v>0</v>
      </c>
      <c r="S1762" s="633">
        <f t="shared" si="1168"/>
        <v>0</v>
      </c>
      <c r="T1762" s="93">
        <f t="shared" si="1169"/>
        <v>0</v>
      </c>
      <c r="U1762" s="95">
        <f t="shared" si="1170"/>
        <v>0</v>
      </c>
      <c r="V1762" s="94"/>
      <c r="W1762" s="579" t="str">
        <f>IF(U1760&gt;0,"xx",IF(P1760&gt;0,"xy",""))</f>
        <v/>
      </c>
      <c r="X1762" s="580" t="str">
        <f t="shared" si="1171"/>
        <v/>
      </c>
      <c r="Y1762" s="580" t="str">
        <f t="shared" si="1172"/>
        <v/>
      </c>
      <c r="Z1762" s="580" t="str">
        <f t="shared" si="1173"/>
        <v/>
      </c>
    </row>
    <row r="1763" spans="1:26" hidden="1" x14ac:dyDescent="0.2">
      <c r="A1763" s="1008">
        <v>860017</v>
      </c>
      <c r="B1763" s="1010">
        <v>860017</v>
      </c>
      <c r="C1763" s="978" t="s">
        <v>212</v>
      </c>
      <c r="D1763" s="595" t="s">
        <v>1117</v>
      </c>
      <c r="E1763" s="596"/>
      <c r="F1763" s="671"/>
      <c r="G1763" s="597"/>
      <c r="H1763" s="682">
        <f>SUM(H1764:H1765)</f>
        <v>2.6135749999999995</v>
      </c>
      <c r="I1763" s="592">
        <v>243.32</v>
      </c>
      <c r="J1763" s="592">
        <f>IF(ISBLANK(I1763),"",SUM(H1763:I1763))</f>
        <v>245.93357499999999</v>
      </c>
      <c r="K1763" s="593">
        <f t="shared" si="1143"/>
        <v>299.33</v>
      </c>
      <c r="L1763" s="594" t="s">
        <v>16</v>
      </c>
      <c r="M1763" s="92"/>
      <c r="N1763" s="92"/>
      <c r="O1763" s="93">
        <f t="shared" si="1165"/>
        <v>0</v>
      </c>
      <c r="P1763" s="93">
        <f t="shared" si="1166"/>
        <v>0</v>
      </c>
      <c r="Q1763" s="94"/>
      <c r="R1763" s="92">
        <f t="shared" si="1167"/>
        <v>0</v>
      </c>
      <c r="S1763" s="92">
        <f t="shared" si="1168"/>
        <v>0</v>
      </c>
      <c r="T1763" s="93">
        <f t="shared" si="1169"/>
        <v>0</v>
      </c>
      <c r="U1763" s="95">
        <f t="shared" si="1170"/>
        <v>0</v>
      </c>
      <c r="V1763" s="94"/>
      <c r="X1763" s="580" t="str">
        <f t="shared" si="1171"/>
        <v/>
      </c>
      <c r="Y1763" s="580" t="str">
        <f t="shared" si="1172"/>
        <v/>
      </c>
      <c r="Z1763" s="580" t="str">
        <f t="shared" si="1173"/>
        <v/>
      </c>
    </row>
    <row r="1764" spans="1:26" hidden="1" x14ac:dyDescent="0.2">
      <c r="A1764" s="97" t="s">
        <v>165</v>
      </c>
      <c r="B1764" s="1031" t="s">
        <v>165</v>
      </c>
      <c r="C1764" s="978"/>
      <c r="D1764" s="631" t="s">
        <v>1113</v>
      </c>
      <c r="E1764" s="596"/>
      <c r="F1764" s="671">
        <v>10</v>
      </c>
      <c r="G1764" s="597">
        <v>0.3</v>
      </c>
      <c r="H1764" s="682">
        <f t="shared" ref="H1764:H1765" si="1175">IF(F1764=0,0,IF(F1764&lt;=30,(0.7*F1764+1.45)*G1764,((0.7*30+1.45)+0.58*(F1764-30))*G1764))</f>
        <v>2.5349999999999997</v>
      </c>
      <c r="I1764" s="592"/>
      <c r="J1764" s="592"/>
      <c r="K1764" s="593">
        <f t="shared" si="1143"/>
        <v>0</v>
      </c>
      <c r="L1764" s="670" t="s">
        <v>783</v>
      </c>
      <c r="M1764" s="632"/>
      <c r="N1764" s="633"/>
      <c r="O1764" s="93">
        <f t="shared" si="1165"/>
        <v>0</v>
      </c>
      <c r="P1764" s="93">
        <f t="shared" si="1166"/>
        <v>0</v>
      </c>
      <c r="Q1764" s="94"/>
      <c r="R1764" s="632">
        <f t="shared" si="1167"/>
        <v>0</v>
      </c>
      <c r="S1764" s="633">
        <f t="shared" si="1168"/>
        <v>0</v>
      </c>
      <c r="T1764" s="93">
        <f t="shared" si="1169"/>
        <v>0</v>
      </c>
      <c r="U1764" s="95">
        <f t="shared" si="1170"/>
        <v>0</v>
      </c>
      <c r="V1764" s="94"/>
      <c r="W1764" s="579" t="str">
        <f>IF(U1763&gt;0,"xx",IF(P1763&gt;0,"xy",""))</f>
        <v/>
      </c>
      <c r="X1764" s="580" t="str">
        <f t="shared" si="1171"/>
        <v/>
      </c>
      <c r="Y1764" s="580" t="str">
        <f t="shared" si="1172"/>
        <v/>
      </c>
      <c r="Z1764" s="580" t="str">
        <f t="shared" si="1173"/>
        <v/>
      </c>
    </row>
    <row r="1765" spans="1:26" hidden="1" x14ac:dyDescent="0.2">
      <c r="A1765" s="97" t="s">
        <v>165</v>
      </c>
      <c r="B1765" s="1031" t="s">
        <v>165</v>
      </c>
      <c r="C1765" s="978"/>
      <c r="D1765" s="631" t="s">
        <v>353</v>
      </c>
      <c r="E1765" s="596"/>
      <c r="F1765" s="671">
        <v>30</v>
      </c>
      <c r="G1765" s="597">
        <v>3.5000000000000001E-3</v>
      </c>
      <c r="H1765" s="682">
        <f t="shared" si="1175"/>
        <v>7.8575000000000006E-2</v>
      </c>
      <c r="I1765" s="592"/>
      <c r="J1765" s="592"/>
      <c r="K1765" s="593">
        <f t="shared" si="1143"/>
        <v>0</v>
      </c>
      <c r="L1765" s="670" t="s">
        <v>783</v>
      </c>
      <c r="M1765" s="632"/>
      <c r="N1765" s="633"/>
      <c r="O1765" s="93">
        <f t="shared" si="1165"/>
        <v>0</v>
      </c>
      <c r="P1765" s="93">
        <f t="shared" si="1166"/>
        <v>0</v>
      </c>
      <c r="Q1765" s="94"/>
      <c r="R1765" s="632">
        <f t="shared" si="1167"/>
        <v>0</v>
      </c>
      <c r="S1765" s="633">
        <f t="shared" si="1168"/>
        <v>0</v>
      </c>
      <c r="T1765" s="93">
        <f t="shared" si="1169"/>
        <v>0</v>
      </c>
      <c r="U1765" s="95">
        <f t="shared" si="1170"/>
        <v>0</v>
      </c>
      <c r="V1765" s="94"/>
      <c r="W1765" s="579" t="str">
        <f>IF(U1763&gt;0,"xx",IF(P1763&gt;0,"xy",""))</f>
        <v/>
      </c>
      <c r="X1765" s="580" t="str">
        <f t="shared" si="1171"/>
        <v/>
      </c>
      <c r="Y1765" s="580" t="str">
        <f t="shared" si="1172"/>
        <v/>
      </c>
      <c r="Z1765" s="580" t="str">
        <f t="shared" si="1173"/>
        <v/>
      </c>
    </row>
    <row r="1766" spans="1:26" hidden="1" x14ac:dyDescent="0.2">
      <c r="A1766" s="1008">
        <v>860023</v>
      </c>
      <c r="B1766" s="1010">
        <v>860023</v>
      </c>
      <c r="C1766" s="978" t="s">
        <v>212</v>
      </c>
      <c r="D1766" s="595" t="s">
        <v>1118</v>
      </c>
      <c r="E1766" s="596"/>
      <c r="F1766" s="671"/>
      <c r="G1766" s="597"/>
      <c r="H1766" s="682">
        <f>SUM(H1767:H1768)</f>
        <v>4.4671649999999996</v>
      </c>
      <c r="I1766" s="592">
        <v>287.10000000000002</v>
      </c>
      <c r="J1766" s="592">
        <f>IF(ISBLANK(I1766),"",SUM(H1766:I1766))</f>
        <v>291.56716500000005</v>
      </c>
      <c r="K1766" s="593">
        <f t="shared" si="1143"/>
        <v>354.87</v>
      </c>
      <c r="L1766" s="594" t="s">
        <v>16</v>
      </c>
      <c r="M1766" s="92"/>
      <c r="N1766" s="92"/>
      <c r="O1766" s="93">
        <f t="shared" si="1165"/>
        <v>0</v>
      </c>
      <c r="P1766" s="93">
        <f t="shared" si="1166"/>
        <v>0</v>
      </c>
      <c r="Q1766" s="94"/>
      <c r="R1766" s="92">
        <f t="shared" si="1167"/>
        <v>0</v>
      </c>
      <c r="S1766" s="92">
        <f t="shared" si="1168"/>
        <v>0</v>
      </c>
      <c r="T1766" s="93">
        <f t="shared" si="1169"/>
        <v>0</v>
      </c>
      <c r="U1766" s="95">
        <f t="shared" si="1170"/>
        <v>0</v>
      </c>
      <c r="V1766" s="94"/>
      <c r="X1766" s="580" t="str">
        <f t="shared" si="1171"/>
        <v/>
      </c>
      <c r="Y1766" s="580" t="str">
        <f t="shared" si="1172"/>
        <v/>
      </c>
      <c r="Z1766" s="580" t="str">
        <f t="shared" si="1173"/>
        <v/>
      </c>
    </row>
    <row r="1767" spans="1:26" hidden="1" x14ac:dyDescent="0.2">
      <c r="A1767" s="97" t="s">
        <v>165</v>
      </c>
      <c r="B1767" s="1031" t="s">
        <v>165</v>
      </c>
      <c r="C1767" s="978"/>
      <c r="D1767" s="631" t="s">
        <v>1113</v>
      </c>
      <c r="E1767" s="596"/>
      <c r="F1767" s="671">
        <v>10</v>
      </c>
      <c r="G1767" s="597">
        <v>0.51749999999999996</v>
      </c>
      <c r="H1767" s="682">
        <f t="shared" ref="H1767:H1768" si="1176">IF(F1767=0,0,IF(F1767&lt;=30,(0.7*F1767+1.45)*G1767,((0.7*30+1.45)+0.58*(F1767-30))*G1767))</f>
        <v>4.3728749999999996</v>
      </c>
      <c r="I1767" s="592"/>
      <c r="J1767" s="592"/>
      <c r="K1767" s="593">
        <f t="shared" si="1143"/>
        <v>0</v>
      </c>
      <c r="L1767" s="670" t="s">
        <v>783</v>
      </c>
      <c r="M1767" s="632"/>
      <c r="N1767" s="633"/>
      <c r="O1767" s="93">
        <f t="shared" si="1165"/>
        <v>0</v>
      </c>
      <c r="P1767" s="93">
        <f t="shared" si="1166"/>
        <v>0</v>
      </c>
      <c r="Q1767" s="94"/>
      <c r="R1767" s="632">
        <f t="shared" si="1167"/>
        <v>0</v>
      </c>
      <c r="S1767" s="633">
        <f t="shared" si="1168"/>
        <v>0</v>
      </c>
      <c r="T1767" s="93">
        <f t="shared" si="1169"/>
        <v>0</v>
      </c>
      <c r="U1767" s="95">
        <f t="shared" si="1170"/>
        <v>0</v>
      </c>
      <c r="V1767" s="94"/>
      <c r="W1767" s="579" t="str">
        <f>IF(U1766&gt;0,"xx",IF(P1766&gt;0,"xy",""))</f>
        <v/>
      </c>
      <c r="X1767" s="580" t="str">
        <f t="shared" si="1171"/>
        <v/>
      </c>
      <c r="Y1767" s="580" t="str">
        <f t="shared" si="1172"/>
        <v/>
      </c>
      <c r="Z1767" s="580" t="str">
        <f t="shared" si="1173"/>
        <v/>
      </c>
    </row>
    <row r="1768" spans="1:26" hidden="1" x14ac:dyDescent="0.2">
      <c r="A1768" s="97" t="s">
        <v>165</v>
      </c>
      <c r="B1768" s="1031" t="s">
        <v>165</v>
      </c>
      <c r="C1768" s="978"/>
      <c r="D1768" s="631" t="s">
        <v>353</v>
      </c>
      <c r="E1768" s="596"/>
      <c r="F1768" s="671">
        <v>30</v>
      </c>
      <c r="G1768" s="597">
        <v>4.1999999999999997E-3</v>
      </c>
      <c r="H1768" s="682">
        <f t="shared" si="1176"/>
        <v>9.4289999999999985E-2</v>
      </c>
      <c r="I1768" s="592"/>
      <c r="J1768" s="592"/>
      <c r="K1768" s="593">
        <f t="shared" si="1143"/>
        <v>0</v>
      </c>
      <c r="L1768" s="670" t="s">
        <v>783</v>
      </c>
      <c r="M1768" s="632"/>
      <c r="N1768" s="633"/>
      <c r="O1768" s="93">
        <f t="shared" si="1165"/>
        <v>0</v>
      </c>
      <c r="P1768" s="93">
        <f t="shared" si="1166"/>
        <v>0</v>
      </c>
      <c r="Q1768" s="94"/>
      <c r="R1768" s="632">
        <f t="shared" si="1167"/>
        <v>0</v>
      </c>
      <c r="S1768" s="633">
        <f t="shared" si="1168"/>
        <v>0</v>
      </c>
      <c r="T1768" s="93">
        <f t="shared" si="1169"/>
        <v>0</v>
      </c>
      <c r="U1768" s="95">
        <f t="shared" si="1170"/>
        <v>0</v>
      </c>
      <c r="V1768" s="94"/>
      <c r="W1768" s="579" t="str">
        <f>IF(U1766&gt;0,"xx",IF(P1766&gt;0,"xy",""))</f>
        <v/>
      </c>
      <c r="X1768" s="580" t="str">
        <f t="shared" si="1171"/>
        <v/>
      </c>
      <c r="Y1768" s="580" t="str">
        <f t="shared" si="1172"/>
        <v/>
      </c>
      <c r="Z1768" s="580" t="str">
        <f t="shared" si="1173"/>
        <v/>
      </c>
    </row>
    <row r="1769" spans="1:26" hidden="1" x14ac:dyDescent="0.2">
      <c r="A1769" s="1008">
        <v>861030</v>
      </c>
      <c r="B1769" s="1010">
        <v>861030</v>
      </c>
      <c r="C1769" s="978" t="s">
        <v>212</v>
      </c>
      <c r="D1769" s="595" t="s">
        <v>1119</v>
      </c>
      <c r="E1769" s="596"/>
      <c r="F1769" s="671"/>
      <c r="G1769" s="597"/>
      <c r="H1769" s="682">
        <f>SUM(H1770:H1771)</f>
        <v>14.852385</v>
      </c>
      <c r="I1769" s="592">
        <v>314.88</v>
      </c>
      <c r="J1769" s="592">
        <f>IF(ISBLANK(I1769),"",SUM(H1769:I1769))</f>
        <v>329.73238500000002</v>
      </c>
      <c r="K1769" s="614">
        <f t="shared" si="1143"/>
        <v>401.32</v>
      </c>
      <c r="L1769" s="594" t="s">
        <v>16</v>
      </c>
      <c r="M1769" s="92"/>
      <c r="N1769" s="92"/>
      <c r="O1769" s="93">
        <f t="shared" si="1165"/>
        <v>0</v>
      </c>
      <c r="P1769" s="93">
        <f t="shared" si="1166"/>
        <v>0</v>
      </c>
      <c r="Q1769" s="94"/>
      <c r="R1769" s="92">
        <f t="shared" si="1167"/>
        <v>0</v>
      </c>
      <c r="S1769" s="92">
        <f t="shared" si="1168"/>
        <v>0</v>
      </c>
      <c r="T1769" s="93">
        <f t="shared" si="1169"/>
        <v>0</v>
      </c>
      <c r="U1769" s="95">
        <f t="shared" si="1170"/>
        <v>0</v>
      </c>
      <c r="V1769" s="94"/>
      <c r="X1769" s="580" t="str">
        <f t="shared" si="1171"/>
        <v/>
      </c>
      <c r="Y1769" s="580" t="str">
        <f t="shared" si="1172"/>
        <v/>
      </c>
      <c r="Z1769" s="580" t="str">
        <f t="shared" si="1173"/>
        <v/>
      </c>
    </row>
    <row r="1770" spans="1:26" hidden="1" x14ac:dyDescent="0.2">
      <c r="A1770" s="97" t="s">
        <v>165</v>
      </c>
      <c r="B1770" s="1031" t="s">
        <v>165</v>
      </c>
      <c r="C1770" s="978"/>
      <c r="D1770" s="631" t="s">
        <v>1113</v>
      </c>
      <c r="E1770" s="596"/>
      <c r="F1770" s="671">
        <v>10</v>
      </c>
      <c r="G1770" s="597">
        <v>1.7250000000000001</v>
      </c>
      <c r="H1770" s="682">
        <f t="shared" ref="H1770:H1771" si="1177">IF(F1770=0,0,IF(F1770&lt;=30,(0.7*F1770+1.45)*G1770,((0.7*30+1.45)+0.58*(F1770-30))*G1770))</f>
        <v>14.57625</v>
      </c>
      <c r="I1770" s="592"/>
      <c r="J1770" s="592"/>
      <c r="K1770" s="593">
        <f t="shared" si="1143"/>
        <v>0</v>
      </c>
      <c r="L1770" s="670" t="s">
        <v>783</v>
      </c>
      <c r="M1770" s="632"/>
      <c r="N1770" s="633"/>
      <c r="O1770" s="93">
        <f t="shared" si="1165"/>
        <v>0</v>
      </c>
      <c r="P1770" s="93">
        <f t="shared" si="1166"/>
        <v>0</v>
      </c>
      <c r="Q1770" s="94"/>
      <c r="R1770" s="632">
        <f t="shared" si="1167"/>
        <v>0</v>
      </c>
      <c r="S1770" s="633">
        <f t="shared" si="1168"/>
        <v>0</v>
      </c>
      <c r="T1770" s="93">
        <f t="shared" si="1169"/>
        <v>0</v>
      </c>
      <c r="U1770" s="95">
        <f t="shared" si="1170"/>
        <v>0</v>
      </c>
      <c r="V1770" s="94"/>
      <c r="W1770" s="579" t="str">
        <f>IF(U1769&gt;0,"xx",IF(P1769&gt;0,"xy",""))</f>
        <v/>
      </c>
      <c r="X1770" s="580" t="str">
        <f t="shared" si="1171"/>
        <v/>
      </c>
      <c r="Y1770" s="580" t="str">
        <f t="shared" si="1172"/>
        <v/>
      </c>
      <c r="Z1770" s="580" t="str">
        <f t="shared" si="1173"/>
        <v/>
      </c>
    </row>
    <row r="1771" spans="1:26" hidden="1" x14ac:dyDescent="0.2">
      <c r="A1771" s="97" t="s">
        <v>165</v>
      </c>
      <c r="B1771" s="1031" t="s">
        <v>165</v>
      </c>
      <c r="C1771" s="978"/>
      <c r="D1771" s="631" t="s">
        <v>353</v>
      </c>
      <c r="E1771" s="596"/>
      <c r="F1771" s="671">
        <v>30</v>
      </c>
      <c r="G1771" s="597">
        <v>1.23E-2</v>
      </c>
      <c r="H1771" s="682">
        <f t="shared" si="1177"/>
        <v>0.27613500000000002</v>
      </c>
      <c r="I1771" s="592"/>
      <c r="J1771" s="592"/>
      <c r="K1771" s="593">
        <f t="shared" si="1143"/>
        <v>0</v>
      </c>
      <c r="L1771" s="670" t="s">
        <v>783</v>
      </c>
      <c r="M1771" s="632"/>
      <c r="N1771" s="633"/>
      <c r="O1771" s="93">
        <f t="shared" si="1165"/>
        <v>0</v>
      </c>
      <c r="P1771" s="93">
        <f t="shared" si="1166"/>
        <v>0</v>
      </c>
      <c r="Q1771" s="94"/>
      <c r="R1771" s="632">
        <f t="shared" si="1167"/>
        <v>0</v>
      </c>
      <c r="S1771" s="633">
        <f t="shared" si="1168"/>
        <v>0</v>
      </c>
      <c r="T1771" s="93">
        <f t="shared" si="1169"/>
        <v>0</v>
      </c>
      <c r="U1771" s="95">
        <f t="shared" si="1170"/>
        <v>0</v>
      </c>
      <c r="V1771" s="94"/>
      <c r="W1771" s="579" t="str">
        <f>IF(U1769&gt;0,"xx",IF(P1769&gt;0,"xy",""))</f>
        <v/>
      </c>
      <c r="X1771" s="580" t="str">
        <f t="shared" si="1171"/>
        <v/>
      </c>
      <c r="Y1771" s="580" t="str">
        <f t="shared" si="1172"/>
        <v/>
      </c>
      <c r="Z1771" s="580" t="str">
        <f t="shared" si="1173"/>
        <v/>
      </c>
    </row>
    <row r="1772" spans="1:26" x14ac:dyDescent="0.2">
      <c r="A1772" s="1008">
        <v>601200</v>
      </c>
      <c r="B1772" s="1107" t="s">
        <v>2180</v>
      </c>
      <c r="C1772" s="1108" t="s">
        <v>212</v>
      </c>
      <c r="D1772" s="1109" t="s">
        <v>1826</v>
      </c>
      <c r="E1772" s="1110"/>
      <c r="F1772" s="671"/>
      <c r="G1772" s="597"/>
      <c r="H1772" s="682"/>
      <c r="I1772" s="592">
        <v>28.89</v>
      </c>
      <c r="J1772" s="592">
        <f>IF(ISBLANK(I1772),"",SUM(H1772:I1772))*0.9</f>
        <v>26.001000000000001</v>
      </c>
      <c r="K1772" s="593">
        <f t="shared" si="1143"/>
        <v>31.65</v>
      </c>
      <c r="L1772" s="594" t="s">
        <v>16</v>
      </c>
      <c r="M1772" s="92">
        <v>451.87</v>
      </c>
      <c r="N1772" s="92">
        <v>32.200000000000003</v>
      </c>
      <c r="O1772" s="93">
        <f t="shared" si="1165"/>
        <v>14301.69</v>
      </c>
      <c r="P1772" s="93">
        <f t="shared" si="1166"/>
        <v>14550.21</v>
      </c>
      <c r="Q1772" s="94"/>
      <c r="R1772" s="1111">
        <f t="shared" si="1167"/>
        <v>451.87</v>
      </c>
      <c r="S1772" s="1111">
        <f>K1772</f>
        <v>31.65</v>
      </c>
      <c r="T1772" s="1112">
        <f t="shared" si="1169"/>
        <v>14301.69</v>
      </c>
      <c r="U1772" s="1113">
        <f t="shared" si="1170"/>
        <v>14301.69</v>
      </c>
      <c r="V1772" s="1114"/>
      <c r="X1772" s="580" t="str">
        <f t="shared" si="1171"/>
        <v>x</v>
      </c>
      <c r="Y1772" s="580" t="str">
        <f t="shared" si="1172"/>
        <v>x</v>
      </c>
      <c r="Z1772" s="580" t="str">
        <f t="shared" si="1173"/>
        <v>x</v>
      </c>
    </row>
    <row r="1773" spans="1:26" hidden="1" x14ac:dyDescent="0.2">
      <c r="A1773" s="1008">
        <v>601200</v>
      </c>
      <c r="B1773" s="1010" t="s">
        <v>2181</v>
      </c>
      <c r="C1773" s="978" t="s">
        <v>212</v>
      </c>
      <c r="D1773" s="595" t="s">
        <v>355</v>
      </c>
      <c r="E1773" s="596"/>
      <c r="F1773" s="671"/>
      <c r="G1773" s="597"/>
      <c r="H1773" s="682"/>
      <c r="I1773" s="592">
        <v>14.445</v>
      </c>
      <c r="J1773" s="592">
        <f>IF(ISBLANK(I1773),"",SUM(H1773:I1773))*0.9</f>
        <v>13.000500000000001</v>
      </c>
      <c r="K1773" s="593">
        <f t="shared" si="1143"/>
        <v>15.82</v>
      </c>
      <c r="L1773" s="594" t="s">
        <v>1827</v>
      </c>
      <c r="M1773" s="92"/>
      <c r="N1773" s="92"/>
      <c r="O1773" s="93">
        <f t="shared" ref="O1773:O1775" si="1178">IF(ISBLANK(M1773),0,ROUND(K1773*M1773,2))</f>
        <v>0</v>
      </c>
      <c r="P1773" s="93">
        <f t="shared" ref="P1773:P1775" si="1179">IF(ISBLANK(N1773),0,ROUND(M1773*N1773,2))</f>
        <v>0</v>
      </c>
      <c r="Q1773" s="94"/>
      <c r="R1773" s="92">
        <f t="shared" ref="R1773:R1775" si="1180">M1773</f>
        <v>0</v>
      </c>
      <c r="S1773" s="92">
        <f t="shared" ref="S1773:S1775" si="1181">N1773</f>
        <v>0</v>
      </c>
      <c r="T1773" s="93">
        <f t="shared" ref="T1773:T1775" si="1182">IF(ISBLANK(R1773),0,ROUND(K1773*R1773,2))</f>
        <v>0</v>
      </c>
      <c r="U1773" s="95">
        <f t="shared" ref="U1773:U1775" si="1183">IF(ISBLANK(R1773),0,ROUND(R1773*S1773,2))</f>
        <v>0</v>
      </c>
      <c r="V1773" s="94"/>
      <c r="X1773" s="580" t="str">
        <f t="shared" ref="X1773:X1775" si="1184">IF(W1773="X","x",IF(W1773="xx","x",IF(W1773="xy","x",IF(W1773="y","x",IF(OR(P1773&gt;0,U1773&gt;0),"x","")))))</f>
        <v/>
      </c>
      <c r="Y1773" s="580" t="str">
        <f t="shared" ref="Y1773:Y1775" si="1185">IF(W1773="X","x",IF(W1773="y","x",IF(W1773="xx","x",IF(U1773&gt;0,"x",""))))</f>
        <v/>
      </c>
      <c r="Z1773" s="580" t="str">
        <f t="shared" ref="Z1773:Z1775" si="1186">IF(W1773="X","x",IF(U1773&gt;0,"x",""))</f>
        <v/>
      </c>
    </row>
    <row r="1774" spans="1:26" hidden="1" x14ac:dyDescent="0.2">
      <c r="A1774" s="1008">
        <v>97623</v>
      </c>
      <c r="B1774" s="1010" t="s">
        <v>2057</v>
      </c>
      <c r="C1774" s="978" t="s">
        <v>883</v>
      </c>
      <c r="D1774" s="589" t="s">
        <v>2052</v>
      </c>
      <c r="E1774" s="590"/>
      <c r="F1774" s="601"/>
      <c r="G1774" s="591"/>
      <c r="H1774" s="908"/>
      <c r="I1774" s="592">
        <v>155.36000000000001</v>
      </c>
      <c r="J1774" s="592">
        <f t="shared" ref="J1774" si="1187">IF(ISBLANK(I1774),"",SUM(H1774:I1774))</f>
        <v>155.36000000000001</v>
      </c>
      <c r="K1774" s="593">
        <f t="shared" si="1143"/>
        <v>189.09</v>
      </c>
      <c r="L1774" s="594" t="s">
        <v>16</v>
      </c>
      <c r="M1774" s="92"/>
      <c r="N1774" s="92">
        <v>168.87</v>
      </c>
      <c r="O1774" s="93">
        <f t="shared" si="1178"/>
        <v>0</v>
      </c>
      <c r="P1774" s="95">
        <f t="shared" si="1179"/>
        <v>0</v>
      </c>
      <c r="Q1774" s="94"/>
      <c r="R1774" s="598">
        <f t="shared" si="1180"/>
        <v>0</v>
      </c>
      <c r="S1774" s="599">
        <f t="shared" si="1181"/>
        <v>168.87</v>
      </c>
      <c r="T1774" s="93">
        <f t="shared" si="1182"/>
        <v>0</v>
      </c>
      <c r="U1774" s="95">
        <f t="shared" si="1183"/>
        <v>0</v>
      </c>
      <c r="V1774" s="94"/>
      <c r="X1774" s="580" t="str">
        <f t="shared" si="1184"/>
        <v/>
      </c>
      <c r="Y1774" s="580" t="str">
        <f t="shared" si="1185"/>
        <v/>
      </c>
      <c r="Z1774" s="580" t="str">
        <f t="shared" si="1186"/>
        <v/>
      </c>
    </row>
    <row r="1775" spans="1:26" hidden="1" x14ac:dyDescent="0.2">
      <c r="A1775" s="1008">
        <v>97624</v>
      </c>
      <c r="B1775" s="1010" t="s">
        <v>2058</v>
      </c>
      <c r="C1775" s="978" t="s">
        <v>883</v>
      </c>
      <c r="D1775" s="589" t="s">
        <v>2053</v>
      </c>
      <c r="E1775" s="590"/>
      <c r="F1775" s="601"/>
      <c r="G1775" s="591"/>
      <c r="H1775" s="908"/>
      <c r="I1775" s="592">
        <v>95.35</v>
      </c>
      <c r="J1775" s="592">
        <f>IF(ISBLANK(I1775),"",SUM(H1775:I1775))</f>
        <v>95.35</v>
      </c>
      <c r="K1775" s="593">
        <f t="shared" si="1143"/>
        <v>116.05</v>
      </c>
      <c r="L1775" s="594" t="s">
        <v>16</v>
      </c>
      <c r="M1775" s="92"/>
      <c r="N1775" s="92"/>
      <c r="O1775" s="93">
        <f t="shared" si="1178"/>
        <v>0</v>
      </c>
      <c r="P1775" s="95">
        <f t="shared" si="1179"/>
        <v>0</v>
      </c>
      <c r="Q1775" s="94"/>
      <c r="R1775" s="598">
        <f t="shared" si="1180"/>
        <v>0</v>
      </c>
      <c r="S1775" s="599">
        <f t="shared" si="1181"/>
        <v>0</v>
      </c>
      <c r="T1775" s="93">
        <f t="shared" si="1182"/>
        <v>0</v>
      </c>
      <c r="U1775" s="95">
        <f t="shared" si="1183"/>
        <v>0</v>
      </c>
      <c r="V1775" s="94"/>
      <c r="X1775" s="580" t="str">
        <f t="shared" si="1184"/>
        <v/>
      </c>
      <c r="Y1775" s="580" t="str">
        <f t="shared" si="1185"/>
        <v/>
      </c>
      <c r="Z1775" s="580" t="str">
        <f t="shared" si="1186"/>
        <v/>
      </c>
    </row>
    <row r="1776" spans="1:26" hidden="1" x14ac:dyDescent="0.2">
      <c r="A1776" s="1008">
        <v>606500</v>
      </c>
      <c r="B1776" s="1010" t="s">
        <v>2059</v>
      </c>
      <c r="C1776" s="978" t="s">
        <v>212</v>
      </c>
      <c r="D1776" s="595" t="s">
        <v>540</v>
      </c>
      <c r="E1776" s="596"/>
      <c r="F1776" s="671"/>
      <c r="G1776" s="597"/>
      <c r="H1776" s="682"/>
      <c r="I1776" s="592">
        <v>154.16</v>
      </c>
      <c r="J1776" s="592">
        <f>IF(ISBLANK(I1776),"",SUM(H1776:I1776))</f>
        <v>154.16</v>
      </c>
      <c r="K1776" s="593">
        <f t="shared" si="1143"/>
        <v>187.63</v>
      </c>
      <c r="L1776" s="594" t="s">
        <v>16</v>
      </c>
      <c r="M1776" s="92"/>
      <c r="N1776" s="92"/>
      <c r="O1776" s="93">
        <f t="shared" si="1144"/>
        <v>0</v>
      </c>
      <c r="P1776" s="93">
        <f t="shared" si="1145"/>
        <v>0</v>
      </c>
      <c r="Q1776" s="94"/>
      <c r="R1776" s="92">
        <f t="shared" si="1146"/>
        <v>0</v>
      </c>
      <c r="S1776" s="92">
        <f t="shared" si="1147"/>
        <v>0</v>
      </c>
      <c r="T1776" s="93">
        <f t="shared" si="1148"/>
        <v>0</v>
      </c>
      <c r="U1776" s="95">
        <f t="shared" si="1149"/>
        <v>0</v>
      </c>
      <c r="V1776" s="94"/>
      <c r="X1776" s="580" t="str">
        <f t="shared" si="1129"/>
        <v/>
      </c>
      <c r="Y1776" s="580" t="str">
        <f t="shared" si="1142"/>
        <v/>
      </c>
      <c r="Z1776" s="580" t="str">
        <f t="shared" si="1152"/>
        <v/>
      </c>
    </row>
    <row r="1777" spans="1:26" hidden="1" x14ac:dyDescent="0.2">
      <c r="A1777" s="1008">
        <v>606700</v>
      </c>
      <c r="B1777" s="1010" t="s">
        <v>1911</v>
      </c>
      <c r="C1777" s="978" t="s">
        <v>212</v>
      </c>
      <c r="D1777" s="595" t="s">
        <v>204</v>
      </c>
      <c r="E1777" s="596"/>
      <c r="F1777" s="671"/>
      <c r="G1777" s="597"/>
      <c r="H1777" s="682">
        <f>IF(F1777&lt;=30,(0.31*F1777+0.77)*G1777,((0.31*30+0.77)+0.31*(F1777-30))*G1777)</f>
        <v>0</v>
      </c>
      <c r="I1777" s="592">
        <v>123.85000000000001</v>
      </c>
      <c r="J1777" s="592">
        <f t="shared" ref="J1777:J1780" si="1188">IF(ISBLANK(I1777),"",SUM(H1777:I1777))</f>
        <v>123.85000000000001</v>
      </c>
      <c r="K1777" s="593">
        <f t="shared" si="1143"/>
        <v>150.74</v>
      </c>
      <c r="L1777" s="594" t="s">
        <v>16</v>
      </c>
      <c r="M1777" s="92"/>
      <c r="N1777" s="92"/>
      <c r="O1777" s="93">
        <f t="shared" si="1144"/>
        <v>0</v>
      </c>
      <c r="P1777" s="93">
        <f t="shared" si="1145"/>
        <v>0</v>
      </c>
      <c r="Q1777" s="94"/>
      <c r="R1777" s="92">
        <f t="shared" si="1146"/>
        <v>0</v>
      </c>
      <c r="S1777" s="92">
        <f t="shared" si="1147"/>
        <v>0</v>
      </c>
      <c r="T1777" s="93">
        <f t="shared" si="1148"/>
        <v>0</v>
      </c>
      <c r="U1777" s="95">
        <f t="shared" si="1149"/>
        <v>0</v>
      </c>
      <c r="V1777" s="94"/>
      <c r="X1777" s="580" t="str">
        <f t="shared" si="1129"/>
        <v/>
      </c>
      <c r="Y1777" s="580" t="str">
        <f t="shared" si="1142"/>
        <v/>
      </c>
      <c r="Z1777" s="580" t="str">
        <f t="shared" si="1152"/>
        <v/>
      </c>
    </row>
    <row r="1778" spans="1:26" hidden="1" x14ac:dyDescent="0.2">
      <c r="A1778" s="1008">
        <v>606600</v>
      </c>
      <c r="B1778" s="1010" t="s">
        <v>1907</v>
      </c>
      <c r="C1778" s="978" t="s">
        <v>212</v>
      </c>
      <c r="D1778" s="595" t="s">
        <v>205</v>
      </c>
      <c r="E1778" s="596"/>
      <c r="F1778" s="671"/>
      <c r="G1778" s="597"/>
      <c r="H1778" s="682">
        <f>IF(F1778&lt;=30,(0.31*F1778+0.77)*G1778,((0.31*30+0.77)+0.31*(F1778-30))*G1778)</f>
        <v>0</v>
      </c>
      <c r="I1778" s="592">
        <v>259.06</v>
      </c>
      <c r="J1778" s="592">
        <f t="shared" si="1188"/>
        <v>259.06</v>
      </c>
      <c r="K1778" s="593">
        <f t="shared" si="1143"/>
        <v>315.3</v>
      </c>
      <c r="L1778" s="594" t="s">
        <v>16</v>
      </c>
      <c r="M1778" s="92"/>
      <c r="N1778" s="92"/>
      <c r="O1778" s="93">
        <f t="shared" si="1144"/>
        <v>0</v>
      </c>
      <c r="P1778" s="93">
        <f t="shared" si="1145"/>
        <v>0</v>
      </c>
      <c r="Q1778" s="94"/>
      <c r="R1778" s="92">
        <f t="shared" si="1146"/>
        <v>0</v>
      </c>
      <c r="S1778" s="92">
        <f t="shared" si="1147"/>
        <v>0</v>
      </c>
      <c r="T1778" s="93">
        <f t="shared" si="1148"/>
        <v>0</v>
      </c>
      <c r="U1778" s="95">
        <f t="shared" si="1149"/>
        <v>0</v>
      </c>
      <c r="V1778" s="94"/>
      <c r="X1778" s="580" t="str">
        <f t="shared" ref="X1778:X1873" si="1189">IF(W1778="X","x",IF(W1778="xx","x",IF(W1778="xy","x",IF(W1778="y","x",IF(OR(P1778&gt;0,U1778&gt;0),"x","")))))</f>
        <v/>
      </c>
      <c r="Y1778" s="580" t="str">
        <f t="shared" si="1142"/>
        <v/>
      </c>
      <c r="Z1778" s="580" t="str">
        <f t="shared" si="1152"/>
        <v/>
      </c>
    </row>
    <row r="1779" spans="1:26" hidden="1" x14ac:dyDescent="0.2">
      <c r="A1779" s="1008">
        <v>602100</v>
      </c>
      <c r="B1779" s="1010" t="s">
        <v>2136</v>
      </c>
      <c r="C1779" s="978" t="s">
        <v>212</v>
      </c>
      <c r="D1779" s="595" t="s">
        <v>290</v>
      </c>
      <c r="E1779" s="596"/>
      <c r="F1779" s="671"/>
      <c r="G1779" s="597"/>
      <c r="H1779" s="682">
        <f t="shared" ref="H1779:H1781" si="1190">IF(F1779&lt;=30,(0.31*F1779+0.77)*G1779,((0.31*30+0.77)+0.31*(F1779-30))*G1779)</f>
        <v>0</v>
      </c>
      <c r="I1779" s="592">
        <v>90.759999999999991</v>
      </c>
      <c r="J1779" s="592">
        <f t="shared" si="1188"/>
        <v>90.759999999999991</v>
      </c>
      <c r="K1779" s="593">
        <f t="shared" si="1143"/>
        <v>110.46</v>
      </c>
      <c r="L1779" s="594" t="s">
        <v>18</v>
      </c>
      <c r="M1779" s="92"/>
      <c r="N1779" s="92"/>
      <c r="O1779" s="93">
        <f t="shared" si="1144"/>
        <v>0</v>
      </c>
      <c r="P1779" s="93">
        <f t="shared" si="1145"/>
        <v>0</v>
      </c>
      <c r="Q1779" s="94"/>
      <c r="R1779" s="92">
        <f t="shared" si="1146"/>
        <v>0</v>
      </c>
      <c r="S1779" s="92">
        <f t="shared" si="1147"/>
        <v>0</v>
      </c>
      <c r="T1779" s="93">
        <f t="shared" si="1148"/>
        <v>0</v>
      </c>
      <c r="U1779" s="95">
        <f t="shared" si="1149"/>
        <v>0</v>
      </c>
      <c r="V1779" s="94"/>
      <c r="X1779" s="580" t="str">
        <f t="shared" si="1189"/>
        <v/>
      </c>
      <c r="Y1779" s="580" t="str">
        <f t="shared" si="1142"/>
        <v/>
      </c>
      <c r="Z1779" s="580" t="str">
        <f t="shared" si="1152"/>
        <v/>
      </c>
    </row>
    <row r="1780" spans="1:26" hidden="1" x14ac:dyDescent="0.2">
      <c r="A1780" s="1008">
        <v>603000</v>
      </c>
      <c r="B1780" s="1010" t="s">
        <v>2139</v>
      </c>
      <c r="C1780" s="978" t="s">
        <v>212</v>
      </c>
      <c r="D1780" s="595" t="s">
        <v>291</v>
      </c>
      <c r="E1780" s="596"/>
      <c r="F1780" s="671"/>
      <c r="G1780" s="597"/>
      <c r="H1780" s="682">
        <f t="shared" si="1190"/>
        <v>0</v>
      </c>
      <c r="I1780" s="592">
        <v>18.079999999999998</v>
      </c>
      <c r="J1780" s="592">
        <f t="shared" si="1188"/>
        <v>18.079999999999998</v>
      </c>
      <c r="K1780" s="593">
        <f t="shared" si="1143"/>
        <v>22.01</v>
      </c>
      <c r="L1780" s="594" t="s">
        <v>23</v>
      </c>
      <c r="M1780" s="92"/>
      <c r="N1780" s="92"/>
      <c r="O1780" s="93">
        <f t="shared" si="1144"/>
        <v>0</v>
      </c>
      <c r="P1780" s="93">
        <f t="shared" si="1145"/>
        <v>0</v>
      </c>
      <c r="Q1780" s="94"/>
      <c r="R1780" s="92">
        <f t="shared" si="1146"/>
        <v>0</v>
      </c>
      <c r="S1780" s="92">
        <f t="shared" si="1147"/>
        <v>0</v>
      </c>
      <c r="T1780" s="93">
        <f t="shared" si="1148"/>
        <v>0</v>
      </c>
      <c r="U1780" s="95">
        <f t="shared" si="1149"/>
        <v>0</v>
      </c>
      <c r="V1780" s="94"/>
      <c r="X1780" s="580" t="str">
        <f t="shared" si="1189"/>
        <v/>
      </c>
      <c r="Y1780" s="580" t="str">
        <f t="shared" si="1142"/>
        <v/>
      </c>
      <c r="Z1780" s="580" t="str">
        <f t="shared" si="1152"/>
        <v/>
      </c>
    </row>
    <row r="1781" spans="1:26" hidden="1" x14ac:dyDescent="0.2">
      <c r="A1781" s="1008">
        <v>603300</v>
      </c>
      <c r="B1781" s="1010" t="s">
        <v>2142</v>
      </c>
      <c r="C1781" s="978" t="s">
        <v>212</v>
      </c>
      <c r="D1781" s="595" t="s">
        <v>292</v>
      </c>
      <c r="E1781" s="596"/>
      <c r="F1781" s="671"/>
      <c r="G1781" s="597"/>
      <c r="H1781" s="682">
        <f t="shared" si="1190"/>
        <v>0</v>
      </c>
      <c r="I1781" s="592">
        <v>19.34</v>
      </c>
      <c r="J1781" s="592">
        <f>IF(ISBLANK(I1781),"",SUM(H1781:I1781))</f>
        <v>19.34</v>
      </c>
      <c r="K1781" s="593">
        <f t="shared" si="1143"/>
        <v>23.54</v>
      </c>
      <c r="L1781" s="594" t="s">
        <v>23</v>
      </c>
      <c r="M1781" s="92"/>
      <c r="N1781" s="92"/>
      <c r="O1781" s="93">
        <f t="shared" si="1144"/>
        <v>0</v>
      </c>
      <c r="P1781" s="93">
        <f t="shared" si="1145"/>
        <v>0</v>
      </c>
      <c r="Q1781" s="94"/>
      <c r="R1781" s="92">
        <f t="shared" si="1146"/>
        <v>0</v>
      </c>
      <c r="S1781" s="92">
        <f t="shared" si="1147"/>
        <v>0</v>
      </c>
      <c r="T1781" s="93">
        <f t="shared" si="1148"/>
        <v>0</v>
      </c>
      <c r="U1781" s="95">
        <f t="shared" si="1149"/>
        <v>0</v>
      </c>
      <c r="V1781" s="94"/>
      <c r="X1781" s="580" t="str">
        <f t="shared" si="1189"/>
        <v/>
      </c>
      <c r="Y1781" s="580" t="str">
        <f t="shared" si="1142"/>
        <v/>
      </c>
      <c r="Z1781" s="580" t="str">
        <f t="shared" si="1152"/>
        <v/>
      </c>
    </row>
    <row r="1782" spans="1:26" hidden="1" x14ac:dyDescent="0.2">
      <c r="A1782" s="1008">
        <v>603600</v>
      </c>
      <c r="B1782" s="1010">
        <v>603600</v>
      </c>
      <c r="C1782" s="978" t="s">
        <v>212</v>
      </c>
      <c r="D1782" s="595" t="s">
        <v>356</v>
      </c>
      <c r="E1782" s="596"/>
      <c r="F1782" s="671"/>
      <c r="G1782" s="597"/>
      <c r="H1782" s="682">
        <f>SUM(H1783:H1785)</f>
        <v>100.69250000000001</v>
      </c>
      <c r="I1782" s="592">
        <v>238</v>
      </c>
      <c r="J1782" s="592">
        <f t="shared" ref="J1782" si="1191">IF(ISBLANK(I1782),"",SUM(H1782:I1782))</f>
        <v>338.6925</v>
      </c>
      <c r="K1782" s="593">
        <f t="shared" si="1143"/>
        <v>412.22</v>
      </c>
      <c r="L1782" s="594" t="s">
        <v>16</v>
      </c>
      <c r="M1782" s="92"/>
      <c r="N1782" s="92"/>
      <c r="O1782" s="93">
        <f t="shared" si="1144"/>
        <v>0</v>
      </c>
      <c r="P1782" s="93">
        <f t="shared" si="1145"/>
        <v>0</v>
      </c>
      <c r="Q1782" s="94"/>
      <c r="R1782" s="92">
        <f t="shared" si="1146"/>
        <v>0</v>
      </c>
      <c r="S1782" s="92">
        <f t="shared" si="1147"/>
        <v>0</v>
      </c>
      <c r="T1782" s="93">
        <f t="shared" si="1148"/>
        <v>0</v>
      </c>
      <c r="U1782" s="95">
        <f t="shared" si="1149"/>
        <v>0</v>
      </c>
      <c r="V1782" s="94"/>
      <c r="X1782" s="580" t="str">
        <f t="shared" si="1189"/>
        <v/>
      </c>
      <c r="Y1782" s="580" t="str">
        <f t="shared" si="1142"/>
        <v/>
      </c>
      <c r="Z1782" s="580" t="str">
        <f t="shared" si="1152"/>
        <v/>
      </c>
    </row>
    <row r="1783" spans="1:26" hidden="1" x14ac:dyDescent="0.2">
      <c r="A1783" s="97" t="s">
        <v>165</v>
      </c>
      <c r="B1783" s="1031" t="s">
        <v>165</v>
      </c>
      <c r="C1783" s="978"/>
      <c r="D1783" s="595" t="s">
        <v>218</v>
      </c>
      <c r="E1783" s="596"/>
      <c r="F1783" s="671">
        <v>500</v>
      </c>
      <c r="G1783" s="597">
        <v>0.1</v>
      </c>
      <c r="H1783" s="682">
        <f>IF(F1783&lt;=30,(0.51*F1783+4.28)*G1783,((0.51*30+4.28)+0.42*(F1783-30))*G1783)</f>
        <v>21.698000000000004</v>
      </c>
      <c r="I1783" s="592"/>
      <c r="J1783" s="592"/>
      <c r="K1783" s="593">
        <f t="shared" si="1143"/>
        <v>0</v>
      </c>
      <c r="L1783" s="594"/>
      <c r="M1783" s="92"/>
      <c r="N1783" s="92"/>
      <c r="O1783" s="93">
        <f t="shared" si="1144"/>
        <v>0</v>
      </c>
      <c r="P1783" s="93">
        <f t="shared" si="1145"/>
        <v>0</v>
      </c>
      <c r="Q1783" s="94"/>
      <c r="R1783" s="92">
        <f t="shared" si="1146"/>
        <v>0</v>
      </c>
      <c r="S1783" s="92">
        <f t="shared" si="1147"/>
        <v>0</v>
      </c>
      <c r="T1783" s="93">
        <f t="shared" si="1148"/>
        <v>0</v>
      </c>
      <c r="U1783" s="95">
        <f t="shared" si="1149"/>
        <v>0</v>
      </c>
      <c r="V1783" s="94"/>
      <c r="W1783" s="96" t="str">
        <f>IF(U1782&gt;0,"xx",IF(P1782&gt;0,"xy",""))</f>
        <v/>
      </c>
      <c r="X1783" s="580" t="str">
        <f t="shared" si="1189"/>
        <v/>
      </c>
      <c r="Y1783" s="580" t="str">
        <f t="shared" si="1142"/>
        <v/>
      </c>
      <c r="Z1783" s="580" t="str">
        <f t="shared" si="1152"/>
        <v/>
      </c>
    </row>
    <row r="1784" spans="1:26" hidden="1" x14ac:dyDescent="0.2">
      <c r="A1784" s="97" t="s">
        <v>165</v>
      </c>
      <c r="B1784" s="1031" t="s">
        <v>165</v>
      </c>
      <c r="C1784" s="978"/>
      <c r="D1784" s="595" t="s">
        <v>257</v>
      </c>
      <c r="E1784" s="596"/>
      <c r="F1784" s="671">
        <v>180</v>
      </c>
      <c r="G1784" s="597">
        <v>0.51</v>
      </c>
      <c r="H1784" s="682">
        <f>IF(F1784=0,0,IF(F1784&lt;=30,(0.7*F1784+1.45)*G1784,((0.7*30+1.45)+0.58*(F1784-30))*G1784))</f>
        <v>55.819500000000005</v>
      </c>
      <c r="I1784" s="592"/>
      <c r="J1784" s="592"/>
      <c r="K1784" s="593">
        <f t="shared" si="1143"/>
        <v>0</v>
      </c>
      <c r="L1784" s="594"/>
      <c r="M1784" s="92"/>
      <c r="N1784" s="92"/>
      <c r="O1784" s="93">
        <f t="shared" si="1144"/>
        <v>0</v>
      </c>
      <c r="P1784" s="93">
        <f t="shared" si="1145"/>
        <v>0</v>
      </c>
      <c r="Q1784" s="94"/>
      <c r="R1784" s="92">
        <f t="shared" si="1146"/>
        <v>0</v>
      </c>
      <c r="S1784" s="92">
        <f t="shared" si="1147"/>
        <v>0</v>
      </c>
      <c r="T1784" s="93">
        <f t="shared" si="1148"/>
        <v>0</v>
      </c>
      <c r="U1784" s="95">
        <f t="shared" si="1149"/>
        <v>0</v>
      </c>
      <c r="V1784" s="94"/>
      <c r="W1784" s="96" t="str">
        <f>IF(U1782&gt;0,"xx",IF(P1782&gt;0,"xy",""))</f>
        <v/>
      </c>
      <c r="X1784" s="580" t="str">
        <f t="shared" si="1189"/>
        <v/>
      </c>
      <c r="Y1784" s="580" t="str">
        <f t="shared" si="1142"/>
        <v/>
      </c>
      <c r="Z1784" s="580" t="str">
        <f t="shared" si="1152"/>
        <v/>
      </c>
    </row>
    <row r="1785" spans="1:26" hidden="1" x14ac:dyDescent="0.2">
      <c r="A1785" s="97" t="s">
        <v>165</v>
      </c>
      <c r="B1785" s="1031" t="s">
        <v>165</v>
      </c>
      <c r="C1785" s="978"/>
      <c r="D1785" s="595" t="s">
        <v>261</v>
      </c>
      <c r="E1785" s="596"/>
      <c r="F1785" s="671">
        <v>20</v>
      </c>
      <c r="G1785" s="597">
        <v>1.5</v>
      </c>
      <c r="H1785" s="682">
        <f>IF(F1785=0,0,IF(F1785&lt;=30,(0.7*F1785+1.45)*G1785,((0.7*30+1.45)+0.58*(F1785-30))*G1785))</f>
        <v>23.174999999999997</v>
      </c>
      <c r="I1785" s="592"/>
      <c r="J1785" s="592"/>
      <c r="K1785" s="593">
        <f t="shared" si="1143"/>
        <v>0</v>
      </c>
      <c r="L1785" s="594"/>
      <c r="M1785" s="92"/>
      <c r="N1785" s="92"/>
      <c r="O1785" s="93">
        <f t="shared" si="1144"/>
        <v>0</v>
      </c>
      <c r="P1785" s="93">
        <f t="shared" si="1145"/>
        <v>0</v>
      </c>
      <c r="Q1785" s="94"/>
      <c r="R1785" s="92">
        <f t="shared" si="1146"/>
        <v>0</v>
      </c>
      <c r="S1785" s="92">
        <f t="shared" si="1147"/>
        <v>0</v>
      </c>
      <c r="T1785" s="93">
        <f t="shared" si="1148"/>
        <v>0</v>
      </c>
      <c r="U1785" s="95">
        <f t="shared" si="1149"/>
        <v>0</v>
      </c>
      <c r="V1785" s="94"/>
      <c r="W1785" s="96" t="str">
        <f>IF(U1782&gt;0,"xx",IF(P1782&gt;0,"xy",""))</f>
        <v/>
      </c>
      <c r="X1785" s="580" t="str">
        <f t="shared" si="1189"/>
        <v/>
      </c>
      <c r="Y1785" s="580" t="str">
        <f t="shared" si="1142"/>
        <v/>
      </c>
      <c r="Z1785" s="580" t="str">
        <f t="shared" si="1152"/>
        <v/>
      </c>
    </row>
    <row r="1786" spans="1:26" hidden="1" x14ac:dyDescent="0.2">
      <c r="A1786" s="1008">
        <v>603700</v>
      </c>
      <c r="B1786" s="1010" t="s">
        <v>2170</v>
      </c>
      <c r="C1786" s="978" t="s">
        <v>212</v>
      </c>
      <c r="D1786" s="595" t="s">
        <v>357</v>
      </c>
      <c r="E1786" s="596"/>
      <c r="F1786" s="671">
        <v>20</v>
      </c>
      <c r="G1786" s="597">
        <v>1.8</v>
      </c>
      <c r="H1786" s="682">
        <f t="shared" ref="H1786:H1789" si="1192">IF(F1786=0,0,IF(F1786&lt;=30,(0.7*F1786+1.45)*G1786,((0.7*30+1.45)+0.58*(F1786-30))*G1786))</f>
        <v>27.81</v>
      </c>
      <c r="I1786" s="592">
        <v>180.75</v>
      </c>
      <c r="J1786" s="592">
        <f>IF(ISBLANK(I1786),"",SUM(H1786:I1786))</f>
        <v>208.56</v>
      </c>
      <c r="K1786" s="593">
        <f t="shared" si="1143"/>
        <v>253.84</v>
      </c>
      <c r="L1786" s="594" t="s">
        <v>16</v>
      </c>
      <c r="M1786" s="92"/>
      <c r="N1786" s="92"/>
      <c r="O1786" s="93">
        <f t="shared" si="1144"/>
        <v>0</v>
      </c>
      <c r="P1786" s="93">
        <f t="shared" si="1145"/>
        <v>0</v>
      </c>
      <c r="Q1786" s="94"/>
      <c r="R1786" s="92">
        <f t="shared" si="1146"/>
        <v>0</v>
      </c>
      <c r="S1786" s="92">
        <f t="shared" si="1147"/>
        <v>0</v>
      </c>
      <c r="T1786" s="93">
        <f t="shared" si="1148"/>
        <v>0</v>
      </c>
      <c r="U1786" s="95">
        <f t="shared" si="1149"/>
        <v>0</v>
      </c>
      <c r="V1786" s="94"/>
      <c r="X1786" s="580" t="str">
        <f t="shared" si="1189"/>
        <v/>
      </c>
      <c r="Y1786" s="580" t="str">
        <f t="shared" si="1142"/>
        <v/>
      </c>
      <c r="Z1786" s="580" t="str">
        <f t="shared" si="1152"/>
        <v/>
      </c>
    </row>
    <row r="1787" spans="1:26" hidden="1" x14ac:dyDescent="0.2">
      <c r="A1787" s="1008">
        <v>603800</v>
      </c>
      <c r="B1787" s="1010" t="s">
        <v>2171</v>
      </c>
      <c r="C1787" s="978" t="s">
        <v>212</v>
      </c>
      <c r="D1787" s="595" t="s">
        <v>358</v>
      </c>
      <c r="E1787" s="596"/>
      <c r="F1787" s="671">
        <v>20</v>
      </c>
      <c r="G1787" s="597">
        <v>1.5</v>
      </c>
      <c r="H1787" s="682">
        <f t="shared" si="1192"/>
        <v>23.174999999999997</v>
      </c>
      <c r="I1787" s="592">
        <v>106.55000000000001</v>
      </c>
      <c r="J1787" s="592">
        <f>IF(ISBLANK(I1787),"",SUM(H1787:I1787))</f>
        <v>129.72500000000002</v>
      </c>
      <c r="K1787" s="593">
        <f t="shared" si="1143"/>
        <v>157.88999999999999</v>
      </c>
      <c r="L1787" s="594" t="s">
        <v>16</v>
      </c>
      <c r="M1787" s="92"/>
      <c r="N1787" s="92"/>
      <c r="O1787" s="93">
        <f t="shared" ref="O1787" si="1193">IF(ISBLANK(M1787),0,ROUND(K1787*M1787,2))</f>
        <v>0</v>
      </c>
      <c r="P1787" s="93">
        <f t="shared" ref="P1787" si="1194">IF(ISBLANK(N1787),0,ROUND(M1787*N1787,2))</f>
        <v>0</v>
      </c>
      <c r="Q1787" s="94"/>
      <c r="R1787" s="92">
        <f t="shared" ref="R1787:S1787" si="1195">M1787</f>
        <v>0</v>
      </c>
      <c r="S1787" s="92">
        <f t="shared" si="1195"/>
        <v>0</v>
      </c>
      <c r="T1787" s="93">
        <f t="shared" ref="T1787" si="1196">IF(ISBLANK(R1787),0,ROUND(K1787*R1787,2))</f>
        <v>0</v>
      </c>
      <c r="U1787" s="95">
        <f t="shared" ref="U1787" si="1197">IF(ISBLANK(R1787),0,ROUND(R1787*S1787,2))</f>
        <v>0</v>
      </c>
      <c r="V1787" s="94"/>
      <c r="X1787" s="580" t="str">
        <f t="shared" si="1189"/>
        <v/>
      </c>
      <c r="Y1787" s="580" t="str">
        <f t="shared" si="1142"/>
        <v/>
      </c>
      <c r="Z1787" s="580" t="str">
        <f t="shared" si="1152"/>
        <v/>
      </c>
    </row>
    <row r="1788" spans="1:26" hidden="1" x14ac:dyDescent="0.2">
      <c r="A1788" s="1008">
        <v>532500</v>
      </c>
      <c r="B1788" s="1010" t="s">
        <v>2074</v>
      </c>
      <c r="C1788" s="978" t="s">
        <v>212</v>
      </c>
      <c r="D1788" s="595" t="s">
        <v>359</v>
      </c>
      <c r="E1788" s="596"/>
      <c r="F1788" s="671">
        <v>20</v>
      </c>
      <c r="G1788" s="597">
        <v>1.7250000000000001</v>
      </c>
      <c r="H1788" s="682">
        <f t="shared" si="1192"/>
        <v>26.651250000000001</v>
      </c>
      <c r="I1788" s="592">
        <v>64.550000000000011</v>
      </c>
      <c r="J1788" s="592">
        <f>IF(ISBLANK(I1788),"",SUM(H1788:I1788))</f>
        <v>91.201250000000016</v>
      </c>
      <c r="K1788" s="593">
        <f t="shared" si="1143"/>
        <v>111</v>
      </c>
      <c r="L1788" s="594" t="s">
        <v>16</v>
      </c>
      <c r="M1788" s="92"/>
      <c r="N1788" s="92"/>
      <c r="O1788" s="93">
        <f t="shared" si="1144"/>
        <v>0</v>
      </c>
      <c r="P1788" s="93">
        <f t="shared" si="1145"/>
        <v>0</v>
      </c>
      <c r="Q1788" s="94"/>
      <c r="R1788" s="92">
        <f t="shared" si="1146"/>
        <v>0</v>
      </c>
      <c r="S1788" s="92">
        <f t="shared" si="1147"/>
        <v>0</v>
      </c>
      <c r="T1788" s="93">
        <f t="shared" si="1148"/>
        <v>0</v>
      </c>
      <c r="U1788" s="95">
        <f t="shared" si="1149"/>
        <v>0</v>
      </c>
      <c r="V1788" s="94"/>
      <c r="X1788" s="580" t="str">
        <f t="shared" si="1189"/>
        <v/>
      </c>
      <c r="Y1788" s="580" t="str">
        <f t="shared" si="1142"/>
        <v/>
      </c>
      <c r="Z1788" s="580" t="str">
        <f t="shared" si="1152"/>
        <v/>
      </c>
    </row>
    <row r="1789" spans="1:26" hidden="1" x14ac:dyDescent="0.2">
      <c r="A1789" s="1008">
        <v>603900</v>
      </c>
      <c r="B1789" s="1010" t="s">
        <v>2073</v>
      </c>
      <c r="C1789" s="978" t="s">
        <v>212</v>
      </c>
      <c r="D1789" s="595" t="s">
        <v>360</v>
      </c>
      <c r="E1789" s="596"/>
      <c r="F1789" s="671">
        <v>20</v>
      </c>
      <c r="G1789" s="597">
        <v>1.5</v>
      </c>
      <c r="H1789" s="682">
        <f t="shared" si="1192"/>
        <v>23.174999999999997</v>
      </c>
      <c r="I1789" s="592">
        <v>107.99000000000001</v>
      </c>
      <c r="J1789" s="592">
        <f>IF(ISBLANK(I1789),"",SUM(H1789:I1789))</f>
        <v>131.16500000000002</v>
      </c>
      <c r="K1789" s="593">
        <f t="shared" si="1143"/>
        <v>159.63999999999999</v>
      </c>
      <c r="L1789" s="594" t="s">
        <v>16</v>
      </c>
      <c r="M1789" s="92"/>
      <c r="N1789" s="92"/>
      <c r="O1789" s="93">
        <f t="shared" si="1144"/>
        <v>0</v>
      </c>
      <c r="P1789" s="93">
        <f t="shared" si="1145"/>
        <v>0</v>
      </c>
      <c r="Q1789" s="94"/>
      <c r="R1789" s="92">
        <f t="shared" si="1146"/>
        <v>0</v>
      </c>
      <c r="S1789" s="92">
        <f t="shared" si="1147"/>
        <v>0</v>
      </c>
      <c r="T1789" s="93">
        <f t="shared" si="1148"/>
        <v>0</v>
      </c>
      <c r="U1789" s="95">
        <f t="shared" si="1149"/>
        <v>0</v>
      </c>
      <c r="V1789" s="94"/>
      <c r="X1789" s="580" t="str">
        <f t="shared" si="1189"/>
        <v/>
      </c>
      <c r="Y1789" s="580" t="str">
        <f t="shared" si="1142"/>
        <v/>
      </c>
      <c r="Z1789" s="580" t="str">
        <f t="shared" si="1152"/>
        <v/>
      </c>
    </row>
    <row r="1790" spans="1:26" hidden="1" x14ac:dyDescent="0.2">
      <c r="A1790" s="1008">
        <v>605000</v>
      </c>
      <c r="B1790" s="1010" t="s">
        <v>2151</v>
      </c>
      <c r="C1790" s="978" t="s">
        <v>212</v>
      </c>
      <c r="D1790" s="909" t="s">
        <v>288</v>
      </c>
      <c r="E1790" s="976"/>
      <c r="F1790" s="994"/>
      <c r="G1790" s="997"/>
      <c r="H1790" s="979">
        <f>SUM(H1791:H1793)</f>
        <v>172.22290000000001</v>
      </c>
      <c r="I1790" s="592">
        <v>340.38</v>
      </c>
      <c r="J1790" s="592">
        <f t="shared" ref="J1790" si="1198">IF(ISBLANK(I1790),"",SUM(H1790:I1790))</f>
        <v>512.60289999999998</v>
      </c>
      <c r="K1790" s="593">
        <f t="shared" si="1143"/>
        <v>623.89</v>
      </c>
      <c r="L1790" s="594" t="s">
        <v>16</v>
      </c>
      <c r="M1790" s="92"/>
      <c r="N1790" s="92"/>
      <c r="O1790" s="93">
        <f t="shared" si="1144"/>
        <v>0</v>
      </c>
      <c r="P1790" s="93">
        <f t="shared" si="1145"/>
        <v>0</v>
      </c>
      <c r="Q1790" s="94"/>
      <c r="R1790" s="92">
        <f t="shared" si="1146"/>
        <v>0</v>
      </c>
      <c r="S1790" s="92">
        <f t="shared" si="1147"/>
        <v>0</v>
      </c>
      <c r="T1790" s="93">
        <f t="shared" si="1148"/>
        <v>0</v>
      </c>
      <c r="U1790" s="95">
        <f t="shared" si="1149"/>
        <v>0</v>
      </c>
      <c r="V1790" s="94"/>
      <c r="X1790" s="580" t="str">
        <f t="shared" si="1189"/>
        <v/>
      </c>
      <c r="Y1790" s="580" t="str">
        <f t="shared" si="1142"/>
        <v/>
      </c>
      <c r="Z1790" s="580" t="str">
        <f t="shared" si="1152"/>
        <v/>
      </c>
    </row>
    <row r="1791" spans="1:26" hidden="1" x14ac:dyDescent="0.2">
      <c r="A1791" s="479" t="s">
        <v>165</v>
      </c>
      <c r="B1791" s="1028" t="s">
        <v>165</v>
      </c>
      <c r="C1791" s="975"/>
      <c r="D1791" s="989" t="s">
        <v>218</v>
      </c>
      <c r="E1791" s="1029"/>
      <c r="F1791" s="994">
        <v>500</v>
      </c>
      <c r="G1791" s="997">
        <v>0.18</v>
      </c>
      <c r="H1791" s="979">
        <f>IF(F1791&lt;=30,(0.51*F1791+4.28)*G1791,((0.51*30+4.28)+0.42*(F1791-30))*G1791)</f>
        <v>39.056400000000004</v>
      </c>
      <c r="I1791" s="592">
        <v>0</v>
      </c>
      <c r="J1791" s="592"/>
      <c r="K1791" s="593">
        <f t="shared" si="1143"/>
        <v>0</v>
      </c>
      <c r="L1791" s="670" t="s">
        <v>783</v>
      </c>
      <c r="M1791" s="632"/>
      <c r="N1791" s="633"/>
      <c r="O1791" s="93">
        <f t="shared" si="1144"/>
        <v>0</v>
      </c>
      <c r="P1791" s="93">
        <f t="shared" si="1145"/>
        <v>0</v>
      </c>
      <c r="Q1791" s="94"/>
      <c r="R1791" s="632">
        <f t="shared" si="1146"/>
        <v>0</v>
      </c>
      <c r="S1791" s="633">
        <f t="shared" si="1147"/>
        <v>0</v>
      </c>
      <c r="T1791" s="93">
        <f t="shared" si="1148"/>
        <v>0</v>
      </c>
      <c r="U1791" s="95">
        <f t="shared" si="1149"/>
        <v>0</v>
      </c>
      <c r="V1791" s="94"/>
      <c r="W1791" s="579" t="str">
        <f>IF(U1790&gt;0,"xx",IF(P1790&gt;0,"xy",""))</f>
        <v/>
      </c>
      <c r="X1791" s="580" t="str">
        <f t="shared" si="1189"/>
        <v/>
      </c>
      <c r="Y1791" s="580" t="str">
        <f t="shared" si="1142"/>
        <v/>
      </c>
      <c r="Z1791" s="580" t="str">
        <f t="shared" si="1152"/>
        <v/>
      </c>
    </row>
    <row r="1792" spans="1:26" hidden="1" x14ac:dyDescent="0.2">
      <c r="A1792" s="479" t="s">
        <v>165</v>
      </c>
      <c r="B1792" s="1028" t="s">
        <v>165</v>
      </c>
      <c r="C1792" s="975"/>
      <c r="D1792" s="989" t="s">
        <v>257</v>
      </c>
      <c r="E1792" s="1029"/>
      <c r="F1792" s="994">
        <v>180</v>
      </c>
      <c r="G1792" s="997">
        <v>1.06</v>
      </c>
      <c r="H1792" s="996">
        <f t="shared" ref="H1792:H1793" si="1199">IF(F1792&lt;=30,(0.7*F1792+1.45)*G1792,((0.7*30+1.45)+0.58*(F1792-30))*G1792)</f>
        <v>116.01700000000001</v>
      </c>
      <c r="I1792" s="592">
        <v>0</v>
      </c>
      <c r="J1792" s="592"/>
      <c r="K1792" s="593">
        <f t="shared" si="1143"/>
        <v>0</v>
      </c>
      <c r="L1792" s="670" t="s">
        <v>783</v>
      </c>
      <c r="M1792" s="632"/>
      <c r="N1792" s="633"/>
      <c r="O1792" s="93">
        <f t="shared" si="1144"/>
        <v>0</v>
      </c>
      <c r="P1792" s="93">
        <f t="shared" si="1145"/>
        <v>0</v>
      </c>
      <c r="Q1792" s="94"/>
      <c r="R1792" s="632">
        <f t="shared" si="1146"/>
        <v>0</v>
      </c>
      <c r="S1792" s="633">
        <f t="shared" si="1147"/>
        <v>0</v>
      </c>
      <c r="T1792" s="93">
        <f t="shared" si="1148"/>
        <v>0</v>
      </c>
      <c r="U1792" s="95">
        <f t="shared" si="1149"/>
        <v>0</v>
      </c>
      <c r="V1792" s="94"/>
      <c r="W1792" s="579" t="str">
        <f>IF(U1790&gt;0,"xx",IF(P1790&gt;0,"xy",""))</f>
        <v/>
      </c>
      <c r="X1792" s="580" t="str">
        <f t="shared" si="1189"/>
        <v/>
      </c>
      <c r="Y1792" s="580" t="str">
        <f t="shared" si="1142"/>
        <v/>
      </c>
      <c r="Z1792" s="580" t="str">
        <f t="shared" si="1152"/>
        <v/>
      </c>
    </row>
    <row r="1793" spans="1:26" hidden="1" x14ac:dyDescent="0.2">
      <c r="A1793" s="479" t="s">
        <v>165</v>
      </c>
      <c r="B1793" s="1028" t="s">
        <v>165</v>
      </c>
      <c r="C1793" s="975"/>
      <c r="D1793" s="989" t="s">
        <v>261</v>
      </c>
      <c r="E1793" s="1029"/>
      <c r="F1793" s="994">
        <v>20</v>
      </c>
      <c r="G1793" s="997">
        <v>1.1100000000000001</v>
      </c>
      <c r="H1793" s="996">
        <f t="shared" si="1199"/>
        <v>17.1495</v>
      </c>
      <c r="I1793" s="592">
        <v>0</v>
      </c>
      <c r="J1793" s="592"/>
      <c r="K1793" s="593">
        <f t="shared" si="1143"/>
        <v>0</v>
      </c>
      <c r="L1793" s="670" t="s">
        <v>783</v>
      </c>
      <c r="M1793" s="632"/>
      <c r="N1793" s="633"/>
      <c r="O1793" s="93">
        <f t="shared" si="1144"/>
        <v>0</v>
      </c>
      <c r="P1793" s="93">
        <f t="shared" si="1145"/>
        <v>0</v>
      </c>
      <c r="Q1793" s="94"/>
      <c r="R1793" s="632">
        <f t="shared" si="1146"/>
        <v>0</v>
      </c>
      <c r="S1793" s="633">
        <f t="shared" si="1147"/>
        <v>0</v>
      </c>
      <c r="T1793" s="93">
        <f t="shared" si="1148"/>
        <v>0</v>
      </c>
      <c r="U1793" s="95">
        <f t="shared" si="1149"/>
        <v>0</v>
      </c>
      <c r="V1793" s="94"/>
      <c r="W1793" s="579" t="str">
        <f>IF(U1790&gt;0,"xx",IF(P1790&gt;0,"xy",""))</f>
        <v/>
      </c>
      <c r="X1793" s="580" t="str">
        <f t="shared" si="1189"/>
        <v/>
      </c>
      <c r="Y1793" s="580" t="str">
        <f t="shared" si="1142"/>
        <v/>
      </c>
      <c r="Z1793" s="580" t="str">
        <f t="shared" si="1152"/>
        <v/>
      </c>
    </row>
    <row r="1794" spans="1:26" hidden="1" x14ac:dyDescent="0.2">
      <c r="A1794" s="1008">
        <v>603500</v>
      </c>
      <c r="B1794" s="1010">
        <v>603500</v>
      </c>
      <c r="C1794" s="978" t="s">
        <v>212</v>
      </c>
      <c r="D1794" s="595" t="s">
        <v>361</v>
      </c>
      <c r="E1794" s="596"/>
      <c r="F1794" s="671"/>
      <c r="G1794" s="597"/>
      <c r="H1794" s="682">
        <f>IF(F1794&lt;=30,(0.31*F1794+0.77)*G1794,((0.31*30+0.77)+0.31*(F1794-30))*G1794)</f>
        <v>0</v>
      </c>
      <c r="I1794" s="592">
        <v>1141.6199999999999</v>
      </c>
      <c r="J1794" s="592">
        <f>IF(ISBLANK(I1794),"",SUM(H1794:I1794))</f>
        <v>1141.6199999999999</v>
      </c>
      <c r="K1794" s="593">
        <f t="shared" si="1143"/>
        <v>1389.47</v>
      </c>
      <c r="L1794" s="594" t="s">
        <v>16</v>
      </c>
      <c r="M1794" s="92"/>
      <c r="N1794" s="92"/>
      <c r="O1794" s="93">
        <f t="shared" si="1144"/>
        <v>0</v>
      </c>
      <c r="P1794" s="93">
        <f t="shared" si="1145"/>
        <v>0</v>
      </c>
      <c r="Q1794" s="94"/>
      <c r="R1794" s="92">
        <f t="shared" si="1146"/>
        <v>0</v>
      </c>
      <c r="S1794" s="92">
        <f t="shared" si="1147"/>
        <v>0</v>
      </c>
      <c r="T1794" s="93">
        <f t="shared" si="1148"/>
        <v>0</v>
      </c>
      <c r="U1794" s="95">
        <f t="shared" si="1149"/>
        <v>0</v>
      </c>
      <c r="V1794" s="94"/>
      <c r="X1794" s="580" t="str">
        <f t="shared" si="1189"/>
        <v/>
      </c>
      <c r="Y1794" s="580" t="str">
        <f t="shared" si="1142"/>
        <v/>
      </c>
      <c r="Z1794" s="580" t="str">
        <f t="shared" si="1152"/>
        <v/>
      </c>
    </row>
    <row r="1795" spans="1:26" hidden="1" x14ac:dyDescent="0.2">
      <c r="A1795" s="1008" t="s">
        <v>786</v>
      </c>
      <c r="B1795" s="1010">
        <v>95474</v>
      </c>
      <c r="C1795" s="978" t="s">
        <v>211</v>
      </c>
      <c r="D1795" s="595" t="s">
        <v>362</v>
      </c>
      <c r="E1795" s="596"/>
      <c r="F1795" s="671"/>
      <c r="G1795" s="597"/>
      <c r="H1795" s="682">
        <f>IF(F1795&lt;=30,(0.31*F1795+0.77)*G1795,((0.31*30+0.77)+0.31*(F1795-30))*G1795)</f>
        <v>0</v>
      </c>
      <c r="I1795" s="592">
        <v>542.82000000000005</v>
      </c>
      <c r="J1795" s="592">
        <f>IF(ISBLANK(I1795),"",SUM(H1795:I1795))*0.86</f>
        <v>466.82520000000005</v>
      </c>
      <c r="K1795" s="593">
        <f t="shared" si="1143"/>
        <v>568.16999999999996</v>
      </c>
      <c r="L1795" s="594" t="s">
        <v>16</v>
      </c>
      <c r="M1795" s="92"/>
      <c r="N1795" s="92"/>
      <c r="O1795" s="93">
        <f t="shared" si="1144"/>
        <v>0</v>
      </c>
      <c r="P1795" s="93">
        <f t="shared" si="1145"/>
        <v>0</v>
      </c>
      <c r="Q1795" s="94"/>
      <c r="R1795" s="92">
        <f t="shared" si="1146"/>
        <v>0</v>
      </c>
      <c r="S1795" s="92">
        <f t="shared" si="1147"/>
        <v>0</v>
      </c>
      <c r="T1795" s="93">
        <f t="shared" si="1148"/>
        <v>0</v>
      </c>
      <c r="U1795" s="95">
        <f t="shared" si="1149"/>
        <v>0</v>
      </c>
      <c r="V1795" s="94"/>
      <c r="X1795" s="580" t="str">
        <f t="shared" si="1189"/>
        <v/>
      </c>
      <c r="Y1795" s="580" t="str">
        <f t="shared" si="1142"/>
        <v/>
      </c>
      <c r="Z1795" s="580" t="str">
        <f t="shared" si="1152"/>
        <v/>
      </c>
    </row>
    <row r="1796" spans="1:26" hidden="1" x14ac:dyDescent="0.2">
      <c r="A1796" s="1008">
        <v>604000</v>
      </c>
      <c r="B1796" s="1010">
        <v>604000</v>
      </c>
      <c r="C1796" s="978" t="s">
        <v>212</v>
      </c>
      <c r="D1796" s="595" t="s">
        <v>363</v>
      </c>
      <c r="E1796" s="596"/>
      <c r="F1796" s="671"/>
      <c r="G1796" s="597"/>
      <c r="H1796" s="682">
        <f>SUM(H1797:H1798)</f>
        <v>266.55306999999999</v>
      </c>
      <c r="I1796" s="592">
        <v>412.45000000000005</v>
      </c>
      <c r="J1796" s="592">
        <f>IF(ISBLANK(I1796),"",SUM(H1796:I1796))</f>
        <v>679.00306999999998</v>
      </c>
      <c r="K1796" s="593">
        <f t="shared" si="1143"/>
        <v>826.41</v>
      </c>
      <c r="L1796" s="594" t="s">
        <v>16</v>
      </c>
      <c r="M1796" s="92"/>
      <c r="N1796" s="92"/>
      <c r="O1796" s="93">
        <f t="shared" si="1144"/>
        <v>0</v>
      </c>
      <c r="P1796" s="93">
        <f t="shared" si="1145"/>
        <v>0</v>
      </c>
      <c r="Q1796" s="94"/>
      <c r="R1796" s="92">
        <f t="shared" si="1146"/>
        <v>0</v>
      </c>
      <c r="S1796" s="92">
        <f t="shared" si="1147"/>
        <v>0</v>
      </c>
      <c r="T1796" s="93">
        <f t="shared" si="1148"/>
        <v>0</v>
      </c>
      <c r="U1796" s="95">
        <f t="shared" si="1149"/>
        <v>0</v>
      </c>
      <c r="V1796" s="94"/>
      <c r="X1796" s="580" t="str">
        <f t="shared" si="1189"/>
        <v/>
      </c>
      <c r="Y1796" s="580" t="str">
        <f t="shared" si="1142"/>
        <v/>
      </c>
      <c r="Z1796" s="580" t="str">
        <f t="shared" si="1152"/>
        <v/>
      </c>
    </row>
    <row r="1797" spans="1:26" hidden="1" x14ac:dyDescent="0.2">
      <c r="A1797" s="97" t="s">
        <v>165</v>
      </c>
      <c r="B1797" s="1031" t="s">
        <v>165</v>
      </c>
      <c r="C1797" s="978"/>
      <c r="D1797" s="595" t="s">
        <v>218</v>
      </c>
      <c r="E1797" s="596"/>
      <c r="F1797" s="671">
        <v>500</v>
      </c>
      <c r="G1797" s="597">
        <v>0.434</v>
      </c>
      <c r="H1797" s="682">
        <f>IF(F1797&lt;=30,(0.51*F1797+4.28)*G1797,((0.51*30+4.28)+0.42*(F1797-30))*G1797)</f>
        <v>94.169320000000013</v>
      </c>
      <c r="I1797" s="592"/>
      <c r="J1797" s="592"/>
      <c r="K1797" s="593">
        <f t="shared" si="1143"/>
        <v>0</v>
      </c>
      <c r="L1797" s="594"/>
      <c r="M1797" s="92"/>
      <c r="N1797" s="92"/>
      <c r="O1797" s="93">
        <f t="shared" si="1144"/>
        <v>0</v>
      </c>
      <c r="P1797" s="93">
        <f t="shared" si="1145"/>
        <v>0</v>
      </c>
      <c r="Q1797" s="94"/>
      <c r="R1797" s="92">
        <f t="shared" si="1146"/>
        <v>0</v>
      </c>
      <c r="S1797" s="92">
        <f t="shared" si="1147"/>
        <v>0</v>
      </c>
      <c r="T1797" s="93">
        <f t="shared" si="1148"/>
        <v>0</v>
      </c>
      <c r="U1797" s="95">
        <f t="shared" si="1149"/>
        <v>0</v>
      </c>
      <c r="V1797" s="94"/>
      <c r="W1797" s="96" t="str">
        <f>IF(U1796&gt;0,"xx",IF(P1796&gt;0,"xy",""))</f>
        <v/>
      </c>
      <c r="X1797" s="580" t="str">
        <f t="shared" si="1189"/>
        <v/>
      </c>
      <c r="Y1797" s="580" t="str">
        <f t="shared" si="1142"/>
        <v/>
      </c>
      <c r="Z1797" s="580" t="str">
        <f t="shared" si="1152"/>
        <v/>
      </c>
    </row>
    <row r="1798" spans="1:26" hidden="1" x14ac:dyDescent="0.2">
      <c r="A1798" s="97" t="s">
        <v>165</v>
      </c>
      <c r="B1798" s="1031" t="s">
        <v>165</v>
      </c>
      <c r="C1798" s="978"/>
      <c r="D1798" s="595" t="s">
        <v>257</v>
      </c>
      <c r="E1798" s="596"/>
      <c r="F1798" s="671">
        <v>180</v>
      </c>
      <c r="G1798" s="597">
        <v>1.575</v>
      </c>
      <c r="H1798" s="682">
        <f>IF(F1798=0,0,IF(F1798&lt;=30,(0.7*F1798+1.45)*G1798,((0.7*30+1.45)+0.58*(F1798-30))*G1798))</f>
        <v>172.38374999999999</v>
      </c>
      <c r="I1798" s="592"/>
      <c r="J1798" s="592"/>
      <c r="K1798" s="593">
        <f t="shared" si="1143"/>
        <v>0</v>
      </c>
      <c r="L1798" s="594"/>
      <c r="M1798" s="92"/>
      <c r="N1798" s="92"/>
      <c r="O1798" s="93">
        <f t="shared" si="1144"/>
        <v>0</v>
      </c>
      <c r="P1798" s="93">
        <f t="shared" si="1145"/>
        <v>0</v>
      </c>
      <c r="Q1798" s="94"/>
      <c r="R1798" s="92">
        <f t="shared" si="1146"/>
        <v>0</v>
      </c>
      <c r="S1798" s="92">
        <f t="shared" si="1147"/>
        <v>0</v>
      </c>
      <c r="T1798" s="93">
        <f t="shared" si="1148"/>
        <v>0</v>
      </c>
      <c r="U1798" s="95">
        <f t="shared" si="1149"/>
        <v>0</v>
      </c>
      <c r="V1798" s="94"/>
      <c r="W1798" s="96" t="str">
        <f>IF(U1796&gt;0,"xx",IF(P1796&gt;0,"xy",""))</f>
        <v/>
      </c>
      <c r="X1798" s="580" t="str">
        <f t="shared" si="1189"/>
        <v/>
      </c>
      <c r="Y1798" s="580" t="str">
        <f t="shared" si="1142"/>
        <v/>
      </c>
      <c r="Z1798" s="580" t="str">
        <f t="shared" si="1152"/>
        <v/>
      </c>
    </row>
    <row r="1799" spans="1:26" hidden="1" x14ac:dyDescent="0.2">
      <c r="A1799" s="1008">
        <v>604100</v>
      </c>
      <c r="B1799" s="1010">
        <v>604100</v>
      </c>
      <c r="C1799" s="978" t="s">
        <v>212</v>
      </c>
      <c r="D1799" s="595" t="s">
        <v>364</v>
      </c>
      <c r="E1799" s="596"/>
      <c r="F1799" s="671"/>
      <c r="G1799" s="597"/>
      <c r="H1799" s="682">
        <f>SUM(H1800:H1801)</f>
        <v>276.09250000000003</v>
      </c>
      <c r="I1799" s="592">
        <v>365.63</v>
      </c>
      <c r="J1799" s="592">
        <f>IF(ISBLANK(I1799),"",SUM(H1799:I1799))</f>
        <v>641.72250000000008</v>
      </c>
      <c r="K1799" s="593">
        <f t="shared" si="1143"/>
        <v>781.04</v>
      </c>
      <c r="L1799" s="594" t="s">
        <v>16</v>
      </c>
      <c r="M1799" s="92"/>
      <c r="N1799" s="92"/>
      <c r="O1799" s="93">
        <f t="shared" si="1144"/>
        <v>0</v>
      </c>
      <c r="P1799" s="93">
        <f t="shared" si="1145"/>
        <v>0</v>
      </c>
      <c r="Q1799" s="94"/>
      <c r="R1799" s="92">
        <f t="shared" si="1146"/>
        <v>0</v>
      </c>
      <c r="S1799" s="92">
        <f t="shared" si="1147"/>
        <v>0</v>
      </c>
      <c r="T1799" s="93">
        <f t="shared" si="1148"/>
        <v>0</v>
      </c>
      <c r="U1799" s="95">
        <f t="shared" si="1149"/>
        <v>0</v>
      </c>
      <c r="V1799" s="94"/>
      <c r="X1799" s="580" t="str">
        <f t="shared" si="1189"/>
        <v/>
      </c>
      <c r="Y1799" s="580" t="str">
        <f t="shared" si="1142"/>
        <v/>
      </c>
      <c r="Z1799" s="580" t="str">
        <f t="shared" si="1152"/>
        <v/>
      </c>
    </row>
    <row r="1800" spans="1:26" hidden="1" x14ac:dyDescent="0.2">
      <c r="A1800" s="97" t="s">
        <v>165</v>
      </c>
      <c r="B1800" s="1031" t="s">
        <v>165</v>
      </c>
      <c r="C1800" s="978"/>
      <c r="D1800" s="595" t="s">
        <v>218</v>
      </c>
      <c r="E1800" s="596"/>
      <c r="F1800" s="671">
        <v>500</v>
      </c>
      <c r="G1800" s="597">
        <v>0.42499999999999999</v>
      </c>
      <c r="H1800" s="682">
        <f>IF(F1800&lt;=30,(0.51*F1800+4.28)*G1800,((0.51*30+4.28)+0.42*(F1800-30))*G1800)</f>
        <v>92.216500000000011</v>
      </c>
      <c r="I1800" s="592"/>
      <c r="J1800" s="592"/>
      <c r="K1800" s="593">
        <f t="shared" si="1143"/>
        <v>0</v>
      </c>
      <c r="L1800" s="594"/>
      <c r="M1800" s="92"/>
      <c r="N1800" s="92"/>
      <c r="O1800" s="93">
        <f t="shared" si="1144"/>
        <v>0</v>
      </c>
      <c r="P1800" s="93">
        <f t="shared" si="1145"/>
        <v>0</v>
      </c>
      <c r="Q1800" s="94"/>
      <c r="R1800" s="92">
        <f t="shared" si="1146"/>
        <v>0</v>
      </c>
      <c r="S1800" s="92">
        <f t="shared" si="1147"/>
        <v>0</v>
      </c>
      <c r="T1800" s="93">
        <f t="shared" si="1148"/>
        <v>0</v>
      </c>
      <c r="U1800" s="95">
        <f t="shared" si="1149"/>
        <v>0</v>
      </c>
      <c r="V1800" s="94"/>
      <c r="W1800" s="96" t="str">
        <f>IF(U1799&gt;0,"xx",IF(P1799&gt;0,"xy",""))</f>
        <v/>
      </c>
      <c r="X1800" s="580" t="str">
        <f t="shared" si="1189"/>
        <v/>
      </c>
      <c r="Y1800" s="580" t="str">
        <f t="shared" si="1142"/>
        <v/>
      </c>
      <c r="Z1800" s="580" t="str">
        <f t="shared" si="1152"/>
        <v/>
      </c>
    </row>
    <row r="1801" spans="1:26" hidden="1" x14ac:dyDescent="0.2">
      <c r="A1801" s="97" t="s">
        <v>165</v>
      </c>
      <c r="B1801" s="1031" t="s">
        <v>165</v>
      </c>
      <c r="C1801" s="978"/>
      <c r="D1801" s="595" t="s">
        <v>257</v>
      </c>
      <c r="E1801" s="596"/>
      <c r="F1801" s="671">
        <v>180</v>
      </c>
      <c r="G1801" s="597">
        <v>1.68</v>
      </c>
      <c r="H1801" s="682">
        <f>IF(F1801=0,0,IF(F1801&lt;=30,(0.7*F1801+1.45)*G1801,((0.7*30+1.45)+0.58*(F1801-30))*G1801))</f>
        <v>183.876</v>
      </c>
      <c r="I1801" s="592"/>
      <c r="J1801" s="592"/>
      <c r="K1801" s="593">
        <f t="shared" si="1143"/>
        <v>0</v>
      </c>
      <c r="L1801" s="594"/>
      <c r="M1801" s="92"/>
      <c r="N1801" s="92"/>
      <c r="O1801" s="93">
        <f t="shared" si="1144"/>
        <v>0</v>
      </c>
      <c r="P1801" s="93">
        <f t="shared" si="1145"/>
        <v>0</v>
      </c>
      <c r="Q1801" s="94"/>
      <c r="R1801" s="92">
        <f t="shared" si="1146"/>
        <v>0</v>
      </c>
      <c r="S1801" s="92">
        <f t="shared" si="1147"/>
        <v>0</v>
      </c>
      <c r="T1801" s="93">
        <f t="shared" si="1148"/>
        <v>0</v>
      </c>
      <c r="U1801" s="95">
        <f t="shared" si="1149"/>
        <v>0</v>
      </c>
      <c r="V1801" s="94"/>
      <c r="W1801" s="96" t="str">
        <f>IF(U1799&gt;0,"xx",IF(P1799&gt;0,"xy",""))</f>
        <v/>
      </c>
      <c r="X1801" s="580" t="str">
        <f t="shared" si="1189"/>
        <v/>
      </c>
      <c r="Y1801" s="580" t="str">
        <f t="shared" si="1142"/>
        <v/>
      </c>
      <c r="Z1801" s="580" t="str">
        <f t="shared" si="1152"/>
        <v/>
      </c>
    </row>
    <row r="1802" spans="1:26" hidden="1" x14ac:dyDescent="0.2">
      <c r="A1802" s="97">
        <v>640000</v>
      </c>
      <c r="B1802" s="1031">
        <v>640000</v>
      </c>
      <c r="C1802" s="978" t="s">
        <v>212</v>
      </c>
      <c r="D1802" s="595" t="s">
        <v>365</v>
      </c>
      <c r="E1802" s="596"/>
      <c r="F1802" s="671"/>
      <c r="G1802" s="597"/>
      <c r="H1802" s="682">
        <f>SUM(H1803:H1804)</f>
        <v>56.294550000000001</v>
      </c>
      <c r="I1802" s="592">
        <v>85.6</v>
      </c>
      <c r="J1802" s="592">
        <f>IF(ISBLANK(I1802),"",SUM(H1802:I1802))</f>
        <v>141.89454999999998</v>
      </c>
      <c r="K1802" s="593">
        <f t="shared" si="1143"/>
        <v>172.7</v>
      </c>
      <c r="L1802" s="594" t="s">
        <v>19</v>
      </c>
      <c r="M1802" s="92"/>
      <c r="N1802" s="92"/>
      <c r="O1802" s="93">
        <f t="shared" si="1144"/>
        <v>0</v>
      </c>
      <c r="P1802" s="93">
        <f t="shared" si="1145"/>
        <v>0</v>
      </c>
      <c r="Q1802" s="94"/>
      <c r="R1802" s="92">
        <f t="shared" si="1146"/>
        <v>0</v>
      </c>
      <c r="S1802" s="92">
        <f t="shared" si="1147"/>
        <v>0</v>
      </c>
      <c r="T1802" s="93">
        <f t="shared" si="1148"/>
        <v>0</v>
      </c>
      <c r="U1802" s="95">
        <f t="shared" si="1149"/>
        <v>0</v>
      </c>
      <c r="V1802" s="94"/>
      <c r="X1802" s="580" t="str">
        <f t="shared" si="1189"/>
        <v/>
      </c>
      <c r="Y1802" s="580" t="str">
        <f t="shared" si="1142"/>
        <v/>
      </c>
      <c r="Z1802" s="580" t="str">
        <f t="shared" si="1152"/>
        <v/>
      </c>
    </row>
    <row r="1803" spans="1:26" hidden="1" x14ac:dyDescent="0.2">
      <c r="A1803" s="97" t="s">
        <v>165</v>
      </c>
      <c r="B1803" s="1031" t="s">
        <v>165</v>
      </c>
      <c r="C1803" s="978"/>
      <c r="D1803" s="595" t="s">
        <v>257</v>
      </c>
      <c r="E1803" s="596"/>
      <c r="F1803" s="671">
        <v>180</v>
      </c>
      <c r="G1803" s="597">
        <v>0.50700000000000001</v>
      </c>
      <c r="H1803" s="682">
        <f>IF(F1803=0,0,IF(F1803&lt;=30,(0.7*F1803+1.45)*G1803,((0.7*30+1.45)+0.58*(F1803-30))*G1803))</f>
        <v>55.491150000000005</v>
      </c>
      <c r="I1803" s="592"/>
      <c r="J1803" s="592"/>
      <c r="K1803" s="593">
        <f t="shared" si="1143"/>
        <v>0</v>
      </c>
      <c r="L1803" s="594"/>
      <c r="M1803" s="92"/>
      <c r="N1803" s="92"/>
      <c r="O1803" s="93">
        <f t="shared" si="1144"/>
        <v>0</v>
      </c>
      <c r="P1803" s="93">
        <f t="shared" si="1145"/>
        <v>0</v>
      </c>
      <c r="Q1803" s="94"/>
      <c r="R1803" s="92">
        <f t="shared" si="1146"/>
        <v>0</v>
      </c>
      <c r="S1803" s="92">
        <f t="shared" si="1147"/>
        <v>0</v>
      </c>
      <c r="T1803" s="93">
        <f t="shared" si="1148"/>
        <v>0</v>
      </c>
      <c r="U1803" s="95">
        <f t="shared" si="1149"/>
        <v>0</v>
      </c>
      <c r="V1803" s="94"/>
      <c r="W1803" s="96" t="str">
        <f>IF(U1802&gt;0,"xx",IF(P1802&gt;0,"xy",""))</f>
        <v/>
      </c>
      <c r="X1803" s="580" t="str">
        <f t="shared" si="1189"/>
        <v/>
      </c>
      <c r="Y1803" s="580" t="str">
        <f t="shared" si="1142"/>
        <v/>
      </c>
      <c r="Z1803" s="580" t="str">
        <f t="shared" si="1152"/>
        <v/>
      </c>
    </row>
    <row r="1804" spans="1:26" hidden="1" x14ac:dyDescent="0.2">
      <c r="A1804" s="97" t="s">
        <v>165</v>
      </c>
      <c r="B1804" s="1031" t="s">
        <v>165</v>
      </c>
      <c r="C1804" s="978"/>
      <c r="D1804" s="595" t="s">
        <v>366</v>
      </c>
      <c r="E1804" s="596"/>
      <c r="F1804" s="671">
        <v>20</v>
      </c>
      <c r="G1804" s="597">
        <v>5.1999999999999998E-2</v>
      </c>
      <c r="H1804" s="682">
        <f>IF(F1804=0,0,IF(F1804&lt;=30,(0.7*F1804+1.45)*G1804,((0.7*30+1.45)+0.58*(F1804-30))*G1804))</f>
        <v>0.80339999999999989</v>
      </c>
      <c r="I1804" s="592"/>
      <c r="J1804" s="592"/>
      <c r="K1804" s="593">
        <f t="shared" si="1143"/>
        <v>0</v>
      </c>
      <c r="L1804" s="594"/>
      <c r="M1804" s="92"/>
      <c r="N1804" s="92"/>
      <c r="O1804" s="93">
        <f t="shared" si="1144"/>
        <v>0</v>
      </c>
      <c r="P1804" s="93">
        <f t="shared" si="1145"/>
        <v>0</v>
      </c>
      <c r="Q1804" s="94"/>
      <c r="R1804" s="92">
        <f t="shared" si="1146"/>
        <v>0</v>
      </c>
      <c r="S1804" s="92">
        <f t="shared" si="1147"/>
        <v>0</v>
      </c>
      <c r="T1804" s="93">
        <f t="shared" si="1148"/>
        <v>0</v>
      </c>
      <c r="U1804" s="95">
        <f t="shared" si="1149"/>
        <v>0</v>
      </c>
      <c r="V1804" s="94"/>
      <c r="W1804" s="96" t="str">
        <f>IF(U1802&gt;0,"xx",IF(P1802&gt;0,"xy",""))</f>
        <v/>
      </c>
      <c r="X1804" s="580" t="str">
        <f t="shared" si="1189"/>
        <v/>
      </c>
      <c r="Y1804" s="580" t="str">
        <f t="shared" si="1142"/>
        <v/>
      </c>
      <c r="Z1804" s="580" t="str">
        <f t="shared" si="1152"/>
        <v/>
      </c>
    </row>
    <row r="1805" spans="1:26" hidden="1" x14ac:dyDescent="0.2">
      <c r="A1805" s="1008">
        <v>605000</v>
      </c>
      <c r="B1805" s="1010" t="s">
        <v>2152</v>
      </c>
      <c r="C1805" s="978" t="s">
        <v>212</v>
      </c>
      <c r="D1805" s="595" t="s">
        <v>367</v>
      </c>
      <c r="E1805" s="596"/>
      <c r="F1805" s="671"/>
      <c r="G1805" s="597"/>
      <c r="H1805" s="682">
        <f>SUM(H1806:H1808)</f>
        <v>172.22290000000001</v>
      </c>
      <c r="I1805" s="592">
        <v>340.38</v>
      </c>
      <c r="J1805" s="592">
        <f>IF(ISBLANK(I1805),"",SUM(H1805:I1805))</f>
        <v>512.60289999999998</v>
      </c>
      <c r="K1805" s="593">
        <f t="shared" ref="K1805:K1868" si="1200">IF(ISBLANK(I1805),0,ROUND(J1805*(1+$F$10)*(1+$F$11*E1805),2))</f>
        <v>623.89</v>
      </c>
      <c r="L1805" s="594" t="s">
        <v>16</v>
      </c>
      <c r="M1805" s="92"/>
      <c r="N1805" s="92"/>
      <c r="O1805" s="93">
        <f t="shared" si="1144"/>
        <v>0</v>
      </c>
      <c r="P1805" s="93">
        <f t="shared" si="1145"/>
        <v>0</v>
      </c>
      <c r="Q1805" s="94"/>
      <c r="R1805" s="92">
        <f t="shared" si="1146"/>
        <v>0</v>
      </c>
      <c r="S1805" s="92">
        <f t="shared" si="1147"/>
        <v>0</v>
      </c>
      <c r="T1805" s="93">
        <f t="shared" si="1148"/>
        <v>0</v>
      </c>
      <c r="U1805" s="95">
        <f t="shared" si="1149"/>
        <v>0</v>
      </c>
      <c r="V1805" s="94"/>
      <c r="X1805" s="580" t="str">
        <f t="shared" si="1189"/>
        <v/>
      </c>
      <c r="Y1805" s="580" t="str">
        <f t="shared" si="1142"/>
        <v/>
      </c>
      <c r="Z1805" s="580" t="str">
        <f t="shared" si="1152"/>
        <v/>
      </c>
    </row>
    <row r="1806" spans="1:26" hidden="1" x14ac:dyDescent="0.2">
      <c r="A1806" s="97" t="s">
        <v>165</v>
      </c>
      <c r="B1806" s="1031" t="s">
        <v>165</v>
      </c>
      <c r="C1806" s="978"/>
      <c r="D1806" s="595" t="s">
        <v>218</v>
      </c>
      <c r="E1806" s="596"/>
      <c r="F1806" s="671">
        <v>500</v>
      </c>
      <c r="G1806" s="597">
        <v>0.18</v>
      </c>
      <c r="H1806" s="682">
        <f>IF(F1806&lt;=30,(0.51*F1806+4.28)*G1806,((0.51*30+4.28)+0.42*(F1806-30))*G1806)</f>
        <v>39.056400000000004</v>
      </c>
      <c r="I1806" s="592"/>
      <c r="J1806" s="592"/>
      <c r="K1806" s="593">
        <f t="shared" si="1200"/>
        <v>0</v>
      </c>
      <c r="L1806" s="594"/>
      <c r="M1806" s="92"/>
      <c r="N1806" s="92"/>
      <c r="O1806" s="93">
        <f t="shared" si="1144"/>
        <v>0</v>
      </c>
      <c r="P1806" s="93">
        <f t="shared" si="1145"/>
        <v>0</v>
      </c>
      <c r="Q1806" s="94"/>
      <c r="R1806" s="92">
        <f t="shared" si="1146"/>
        <v>0</v>
      </c>
      <c r="S1806" s="92">
        <f t="shared" si="1147"/>
        <v>0</v>
      </c>
      <c r="T1806" s="93">
        <f t="shared" si="1148"/>
        <v>0</v>
      </c>
      <c r="U1806" s="95">
        <f t="shared" si="1149"/>
        <v>0</v>
      </c>
      <c r="V1806" s="94"/>
      <c r="W1806" s="96" t="str">
        <f>IF(U1805&gt;0,"xx",IF(P1805&gt;0,"xy",""))</f>
        <v/>
      </c>
      <c r="X1806" s="580" t="str">
        <f t="shared" si="1189"/>
        <v/>
      </c>
      <c r="Y1806" s="580" t="str">
        <f t="shared" si="1142"/>
        <v/>
      </c>
      <c r="Z1806" s="580" t="str">
        <f t="shared" si="1152"/>
        <v/>
      </c>
    </row>
    <row r="1807" spans="1:26" hidden="1" x14ac:dyDescent="0.2">
      <c r="A1807" s="97" t="s">
        <v>165</v>
      </c>
      <c r="B1807" s="1031" t="s">
        <v>165</v>
      </c>
      <c r="C1807" s="978"/>
      <c r="D1807" s="595" t="s">
        <v>257</v>
      </c>
      <c r="E1807" s="596"/>
      <c r="F1807" s="671">
        <v>180</v>
      </c>
      <c r="G1807" s="597">
        <v>1.06</v>
      </c>
      <c r="H1807" s="682">
        <f>IF(F1807=0,0,IF(F1807&lt;=30,(0.7*F1807+1.45)*G1807,((0.7*30+1.45)+0.58*(F1807-30))*G1807))</f>
        <v>116.01700000000001</v>
      </c>
      <c r="I1807" s="592"/>
      <c r="J1807" s="592"/>
      <c r="K1807" s="593">
        <f t="shared" si="1200"/>
        <v>0</v>
      </c>
      <c r="L1807" s="594"/>
      <c r="M1807" s="92"/>
      <c r="N1807" s="92"/>
      <c r="O1807" s="93">
        <f t="shared" si="1144"/>
        <v>0</v>
      </c>
      <c r="P1807" s="93">
        <f t="shared" si="1145"/>
        <v>0</v>
      </c>
      <c r="Q1807" s="94"/>
      <c r="R1807" s="92">
        <f t="shared" si="1146"/>
        <v>0</v>
      </c>
      <c r="S1807" s="92">
        <f t="shared" si="1147"/>
        <v>0</v>
      </c>
      <c r="T1807" s="93">
        <f t="shared" si="1148"/>
        <v>0</v>
      </c>
      <c r="U1807" s="95">
        <f t="shared" si="1149"/>
        <v>0</v>
      </c>
      <c r="V1807" s="94"/>
      <c r="W1807" s="96" t="str">
        <f>IF(U1805&gt;0,"xx",IF(P1805&gt;0,"xy",""))</f>
        <v/>
      </c>
      <c r="X1807" s="580" t="str">
        <f t="shared" si="1189"/>
        <v/>
      </c>
      <c r="Y1807" s="580" t="str">
        <f t="shared" si="1142"/>
        <v/>
      </c>
      <c r="Z1807" s="580" t="str">
        <f t="shared" si="1152"/>
        <v/>
      </c>
    </row>
    <row r="1808" spans="1:26" hidden="1" x14ac:dyDescent="0.2">
      <c r="A1808" s="97" t="s">
        <v>165</v>
      </c>
      <c r="B1808" s="1031" t="s">
        <v>165</v>
      </c>
      <c r="C1808" s="978"/>
      <c r="D1808" s="595" t="s">
        <v>261</v>
      </c>
      <c r="E1808" s="596"/>
      <c r="F1808" s="671">
        <v>20</v>
      </c>
      <c r="G1808" s="597">
        <v>1.1100000000000001</v>
      </c>
      <c r="H1808" s="682">
        <f>IF(F1808=0,0,IF(F1808&lt;=30,(0.7*F1808+1.45)*G1808,((0.7*30+1.45)+0.58*(F1808-30))*G1808))</f>
        <v>17.1495</v>
      </c>
      <c r="I1808" s="592"/>
      <c r="J1808" s="592"/>
      <c r="K1808" s="593">
        <f t="shared" si="1200"/>
        <v>0</v>
      </c>
      <c r="L1808" s="594"/>
      <c r="M1808" s="92"/>
      <c r="N1808" s="92"/>
      <c r="O1808" s="93">
        <f t="shared" si="1144"/>
        <v>0</v>
      </c>
      <c r="P1808" s="93">
        <f t="shared" si="1145"/>
        <v>0</v>
      </c>
      <c r="Q1808" s="94"/>
      <c r="R1808" s="92">
        <f t="shared" si="1146"/>
        <v>0</v>
      </c>
      <c r="S1808" s="92">
        <f t="shared" si="1147"/>
        <v>0</v>
      </c>
      <c r="T1808" s="93">
        <f t="shared" si="1148"/>
        <v>0</v>
      </c>
      <c r="U1808" s="95">
        <f t="shared" si="1149"/>
        <v>0</v>
      </c>
      <c r="V1808" s="94"/>
      <c r="W1808" s="96" t="str">
        <f>IF(U1805&gt;0,"xx",IF(P1805&gt;0,"xy",""))</f>
        <v/>
      </c>
      <c r="X1808" s="580" t="str">
        <f t="shared" si="1189"/>
        <v/>
      </c>
      <c r="Y1808" s="580" t="str">
        <f t="shared" si="1142"/>
        <v/>
      </c>
      <c r="Z1808" s="580" t="str">
        <f t="shared" si="1152"/>
        <v/>
      </c>
    </row>
    <row r="1809" spans="1:26" hidden="1" x14ac:dyDescent="0.2">
      <c r="A1809" s="1008">
        <v>606000</v>
      </c>
      <c r="B1809" s="1010" t="s">
        <v>2161</v>
      </c>
      <c r="C1809" s="978" t="s">
        <v>212</v>
      </c>
      <c r="D1809" s="595" t="s">
        <v>809</v>
      </c>
      <c r="E1809" s="596"/>
      <c r="F1809" s="671"/>
      <c r="G1809" s="597"/>
      <c r="H1809" s="682">
        <f>SUM(H1810:H1812)</f>
        <v>133.51677000000004</v>
      </c>
      <c r="I1809" s="592">
        <v>306.45</v>
      </c>
      <c r="J1809" s="592">
        <f>IF(ISBLANK(I1809),"",SUM(H1809:I1809))</f>
        <v>439.96677</v>
      </c>
      <c r="K1809" s="593">
        <f t="shared" si="1200"/>
        <v>535.48</v>
      </c>
      <c r="L1809" s="594" t="s">
        <v>16</v>
      </c>
      <c r="M1809" s="681"/>
      <c r="N1809" s="92"/>
      <c r="O1809" s="93">
        <f t="shared" si="1144"/>
        <v>0</v>
      </c>
      <c r="P1809" s="93">
        <f t="shared" si="1145"/>
        <v>0</v>
      </c>
      <c r="Q1809" s="94"/>
      <c r="R1809" s="92">
        <f t="shared" si="1146"/>
        <v>0</v>
      </c>
      <c r="S1809" s="92">
        <f t="shared" si="1147"/>
        <v>0</v>
      </c>
      <c r="T1809" s="93">
        <f t="shared" si="1148"/>
        <v>0</v>
      </c>
      <c r="U1809" s="95">
        <f t="shared" si="1149"/>
        <v>0</v>
      </c>
      <c r="V1809" s="94"/>
      <c r="X1809" s="580" t="str">
        <f t="shared" si="1189"/>
        <v/>
      </c>
      <c r="Y1809" s="580" t="str">
        <f t="shared" si="1142"/>
        <v/>
      </c>
      <c r="Z1809" s="580" t="str">
        <f t="shared" si="1152"/>
        <v/>
      </c>
    </row>
    <row r="1810" spans="1:26" hidden="1" x14ac:dyDescent="0.2">
      <c r="A1810" s="97" t="s">
        <v>165</v>
      </c>
      <c r="B1810" s="1031" t="s">
        <v>165</v>
      </c>
      <c r="C1810" s="978"/>
      <c r="D1810" s="595" t="s">
        <v>218</v>
      </c>
      <c r="E1810" s="596"/>
      <c r="F1810" s="671">
        <v>500</v>
      </c>
      <c r="G1810" s="597">
        <v>0.189</v>
      </c>
      <c r="H1810" s="682">
        <f>IF(F1810&lt;=30,(0.51*F1810+4.28)*G1810,((0.51*30+4.28)+0.42*(F1810-30))*G1810)</f>
        <v>41.009220000000006</v>
      </c>
      <c r="I1810" s="592"/>
      <c r="J1810" s="592"/>
      <c r="K1810" s="593">
        <f t="shared" si="1200"/>
        <v>0</v>
      </c>
      <c r="L1810" s="594"/>
      <c r="M1810" s="92"/>
      <c r="N1810" s="92"/>
      <c r="O1810" s="93">
        <f t="shared" si="1144"/>
        <v>0</v>
      </c>
      <c r="P1810" s="93">
        <f t="shared" si="1145"/>
        <v>0</v>
      </c>
      <c r="Q1810" s="94"/>
      <c r="R1810" s="92">
        <f t="shared" si="1146"/>
        <v>0</v>
      </c>
      <c r="S1810" s="92">
        <f t="shared" si="1147"/>
        <v>0</v>
      </c>
      <c r="T1810" s="93">
        <f t="shared" si="1148"/>
        <v>0</v>
      </c>
      <c r="U1810" s="95">
        <f t="shared" si="1149"/>
        <v>0</v>
      </c>
      <c r="V1810" s="94"/>
      <c r="W1810" s="96" t="str">
        <f>IF(U1809&gt;0,"xx",IF(P1809&gt;0,"xy",""))</f>
        <v/>
      </c>
      <c r="X1810" s="580" t="str">
        <f t="shared" si="1189"/>
        <v/>
      </c>
      <c r="Y1810" s="580" t="str">
        <f t="shared" si="1142"/>
        <v/>
      </c>
      <c r="Z1810" s="580" t="str">
        <f t="shared" si="1152"/>
        <v/>
      </c>
    </row>
    <row r="1811" spans="1:26" hidden="1" x14ac:dyDescent="0.2">
      <c r="A1811" s="97" t="s">
        <v>165</v>
      </c>
      <c r="B1811" s="1031" t="s">
        <v>165</v>
      </c>
      <c r="C1811" s="978"/>
      <c r="D1811" s="595" t="s">
        <v>257</v>
      </c>
      <c r="E1811" s="596"/>
      <c r="F1811" s="671">
        <v>180</v>
      </c>
      <c r="G1811" s="597">
        <v>0.67200000000000004</v>
      </c>
      <c r="H1811" s="682">
        <f>IF(F1811=0,0,IF(F1811&lt;=30,(0.7*F1811+1.45)*G1811,((0.7*30+1.45)+0.58*(F1811-30))*G1811))</f>
        <v>73.55040000000001</v>
      </c>
      <c r="I1811" s="592"/>
      <c r="J1811" s="592"/>
      <c r="K1811" s="593">
        <f t="shared" si="1200"/>
        <v>0</v>
      </c>
      <c r="L1811" s="594"/>
      <c r="M1811" s="92"/>
      <c r="N1811" s="92"/>
      <c r="O1811" s="93">
        <f t="shared" si="1144"/>
        <v>0</v>
      </c>
      <c r="P1811" s="93">
        <f t="shared" si="1145"/>
        <v>0</v>
      </c>
      <c r="Q1811" s="94"/>
      <c r="R1811" s="92">
        <f t="shared" si="1146"/>
        <v>0</v>
      </c>
      <c r="S1811" s="92">
        <f t="shared" si="1147"/>
        <v>0</v>
      </c>
      <c r="T1811" s="93">
        <f t="shared" si="1148"/>
        <v>0</v>
      </c>
      <c r="U1811" s="95">
        <f t="shared" si="1149"/>
        <v>0</v>
      </c>
      <c r="V1811" s="94"/>
      <c r="W1811" s="96" t="str">
        <f>IF(U1809&gt;0,"xx",IF(P1809&gt;0,"xy",""))</f>
        <v/>
      </c>
      <c r="X1811" s="580" t="str">
        <f t="shared" si="1189"/>
        <v/>
      </c>
      <c r="Y1811" s="580" t="str">
        <f t="shared" si="1142"/>
        <v/>
      </c>
      <c r="Z1811" s="580" t="str">
        <f t="shared" si="1152"/>
        <v/>
      </c>
    </row>
    <row r="1812" spans="1:26" hidden="1" x14ac:dyDescent="0.2">
      <c r="A1812" s="97" t="s">
        <v>165</v>
      </c>
      <c r="B1812" s="1031" t="s">
        <v>165</v>
      </c>
      <c r="C1812" s="978"/>
      <c r="D1812" s="595" t="s">
        <v>369</v>
      </c>
      <c r="E1812" s="596"/>
      <c r="F1812" s="671">
        <v>20</v>
      </c>
      <c r="G1812" s="597">
        <v>1.2270000000000001</v>
      </c>
      <c r="H1812" s="682">
        <f>IF(F1812=0,0,IF(F1812&lt;=30,(0.7*F1812+1.45)*G1812,((0.7*30+1.45)+0.58*(F1812-30))*G1812))</f>
        <v>18.957150000000002</v>
      </c>
      <c r="I1812" s="592"/>
      <c r="J1812" s="592"/>
      <c r="K1812" s="593">
        <f t="shared" si="1200"/>
        <v>0</v>
      </c>
      <c r="L1812" s="594"/>
      <c r="M1812" s="92"/>
      <c r="N1812" s="92"/>
      <c r="O1812" s="93">
        <f t="shared" si="1144"/>
        <v>0</v>
      </c>
      <c r="P1812" s="93">
        <f t="shared" si="1145"/>
        <v>0</v>
      </c>
      <c r="Q1812" s="94"/>
      <c r="R1812" s="92">
        <f t="shared" si="1146"/>
        <v>0</v>
      </c>
      <c r="S1812" s="92">
        <f t="shared" si="1147"/>
        <v>0</v>
      </c>
      <c r="T1812" s="93">
        <f t="shared" si="1148"/>
        <v>0</v>
      </c>
      <c r="U1812" s="95">
        <f t="shared" si="1149"/>
        <v>0</v>
      </c>
      <c r="V1812" s="94"/>
      <c r="W1812" s="96" t="str">
        <f>IF(U1809&gt;0,"xx",IF(P1809&gt;0,"xy",""))</f>
        <v/>
      </c>
      <c r="X1812" s="580" t="str">
        <f t="shared" si="1189"/>
        <v/>
      </c>
      <c r="Y1812" s="580" t="str">
        <f t="shared" si="1142"/>
        <v/>
      </c>
      <c r="Z1812" s="580" t="str">
        <f t="shared" si="1152"/>
        <v/>
      </c>
    </row>
    <row r="1813" spans="1:26" hidden="1" x14ac:dyDescent="0.2">
      <c r="A1813" s="1008">
        <v>605100</v>
      </c>
      <c r="B1813" s="1010">
        <v>605100</v>
      </c>
      <c r="C1813" s="978" t="s">
        <v>212</v>
      </c>
      <c r="D1813" s="595" t="s">
        <v>1105</v>
      </c>
      <c r="E1813" s="596"/>
      <c r="F1813" s="671"/>
      <c r="G1813" s="597"/>
      <c r="H1813" s="682">
        <f>SUM(H1814:H1816)</f>
        <v>176.5625</v>
      </c>
      <c r="I1813" s="592">
        <v>349.51</v>
      </c>
      <c r="J1813" s="592">
        <f>IF(ISBLANK(I1813),"",SUM(H1813:I1813))</f>
        <v>526.07249999999999</v>
      </c>
      <c r="K1813" s="593">
        <f t="shared" si="1200"/>
        <v>640.28</v>
      </c>
      <c r="L1813" s="594" t="s">
        <v>16</v>
      </c>
      <c r="M1813" s="92"/>
      <c r="N1813" s="92"/>
      <c r="O1813" s="93">
        <f t="shared" ref="O1813:O1816" si="1201">IF(ISBLANK(M1813),0,ROUND(K1813*M1813,2))</f>
        <v>0</v>
      </c>
      <c r="P1813" s="93">
        <f t="shared" ref="P1813:P1816" si="1202">IF(ISBLANK(N1813),0,ROUND(M1813*N1813,2))</f>
        <v>0</v>
      </c>
      <c r="Q1813" s="94"/>
      <c r="R1813" s="92">
        <f t="shared" ref="R1813:R1816" si="1203">M1813</f>
        <v>0</v>
      </c>
      <c r="S1813" s="92">
        <f t="shared" ref="S1813:S1816" si="1204">N1813</f>
        <v>0</v>
      </c>
      <c r="T1813" s="93">
        <f t="shared" ref="T1813:T1816" si="1205">IF(ISBLANK(R1813),0,ROUND(K1813*R1813,2))</f>
        <v>0</v>
      </c>
      <c r="U1813" s="95">
        <f t="shared" ref="U1813:U1816" si="1206">IF(ISBLANK(R1813),0,ROUND(R1813*S1813,2))</f>
        <v>0</v>
      </c>
      <c r="V1813" s="94"/>
      <c r="X1813" s="580" t="str">
        <f t="shared" ref="X1813:X1816" si="1207">IF(W1813="X","x",IF(W1813="xx","x",IF(W1813="xy","x",IF(W1813="y","x",IF(OR(P1813&gt;0,U1813&gt;0),"x","")))))</f>
        <v/>
      </c>
      <c r="Y1813" s="580" t="str">
        <f t="shared" ref="Y1813:Y1816" si="1208">IF(W1813="X","x",IF(W1813="y","x",IF(W1813="xx","x",IF(U1813&gt;0,"x",""))))</f>
        <v/>
      </c>
      <c r="Z1813" s="580" t="str">
        <f t="shared" ref="Z1813:Z1816" si="1209">IF(W1813="X","x",IF(U1813&gt;0,"x",""))</f>
        <v/>
      </c>
    </row>
    <row r="1814" spans="1:26" hidden="1" x14ac:dyDescent="0.2">
      <c r="A1814" s="97" t="s">
        <v>165</v>
      </c>
      <c r="B1814" s="1031" t="s">
        <v>165</v>
      </c>
      <c r="C1814" s="978"/>
      <c r="D1814" s="595" t="s">
        <v>218</v>
      </c>
      <c r="E1814" s="596"/>
      <c r="F1814" s="671">
        <v>500</v>
      </c>
      <c r="G1814" s="597">
        <v>0.2</v>
      </c>
      <c r="H1814" s="682">
        <f>IF(F1814&lt;=30,(0.51*F1814+4.28)*G1814,((0.51*30+4.28)+0.42*(F1814-30))*G1814)</f>
        <v>43.396000000000008</v>
      </c>
      <c r="I1814" s="592"/>
      <c r="J1814" s="592"/>
      <c r="K1814" s="593">
        <f t="shared" si="1200"/>
        <v>0</v>
      </c>
      <c r="L1814" s="594"/>
      <c r="M1814" s="92"/>
      <c r="N1814" s="92"/>
      <c r="O1814" s="93">
        <f t="shared" si="1201"/>
        <v>0</v>
      </c>
      <c r="P1814" s="93">
        <f t="shared" si="1202"/>
        <v>0</v>
      </c>
      <c r="Q1814" s="94"/>
      <c r="R1814" s="92">
        <f t="shared" si="1203"/>
        <v>0</v>
      </c>
      <c r="S1814" s="92">
        <f t="shared" si="1204"/>
        <v>0</v>
      </c>
      <c r="T1814" s="93">
        <f t="shared" si="1205"/>
        <v>0</v>
      </c>
      <c r="U1814" s="95">
        <f t="shared" si="1206"/>
        <v>0</v>
      </c>
      <c r="V1814" s="94"/>
      <c r="W1814" s="96" t="str">
        <f>IF(U1813&gt;0,"xx",IF(P1813&gt;0,"xy",""))</f>
        <v/>
      </c>
      <c r="X1814" s="580" t="str">
        <f t="shared" si="1207"/>
        <v/>
      </c>
      <c r="Y1814" s="580" t="str">
        <f t="shared" si="1208"/>
        <v/>
      </c>
      <c r="Z1814" s="580" t="str">
        <f t="shared" si="1209"/>
        <v/>
      </c>
    </row>
    <row r="1815" spans="1:26" hidden="1" x14ac:dyDescent="0.2">
      <c r="A1815" s="97" t="s">
        <v>165</v>
      </c>
      <c r="B1815" s="1031" t="s">
        <v>165</v>
      </c>
      <c r="C1815" s="978"/>
      <c r="D1815" s="595" t="s">
        <v>257</v>
      </c>
      <c r="E1815" s="596"/>
      <c r="F1815" s="671">
        <v>180</v>
      </c>
      <c r="G1815" s="597">
        <v>1.06</v>
      </c>
      <c r="H1815" s="682">
        <f>IF(F1815=0,0,IF(F1815&lt;=30,(0.7*F1815+1.45)*G1815,((0.7*30+1.45)+0.58*(F1815-30))*G1815))</f>
        <v>116.01700000000001</v>
      </c>
      <c r="I1815" s="592"/>
      <c r="J1815" s="592"/>
      <c r="K1815" s="593">
        <f t="shared" si="1200"/>
        <v>0</v>
      </c>
      <c r="L1815" s="594"/>
      <c r="M1815" s="92"/>
      <c r="N1815" s="92"/>
      <c r="O1815" s="93">
        <f t="shared" si="1201"/>
        <v>0</v>
      </c>
      <c r="P1815" s="93">
        <f t="shared" si="1202"/>
        <v>0</v>
      </c>
      <c r="Q1815" s="94"/>
      <c r="R1815" s="92">
        <f t="shared" si="1203"/>
        <v>0</v>
      </c>
      <c r="S1815" s="92">
        <f t="shared" si="1204"/>
        <v>0</v>
      </c>
      <c r="T1815" s="93">
        <f t="shared" si="1205"/>
        <v>0</v>
      </c>
      <c r="U1815" s="95">
        <f t="shared" si="1206"/>
        <v>0</v>
      </c>
      <c r="V1815" s="94"/>
      <c r="W1815" s="96" t="str">
        <f>IF(U1813&gt;0,"xx",IF(P1813&gt;0,"xy",""))</f>
        <v/>
      </c>
      <c r="X1815" s="580" t="str">
        <f t="shared" si="1207"/>
        <v/>
      </c>
      <c r="Y1815" s="580" t="str">
        <f t="shared" si="1208"/>
        <v/>
      </c>
      <c r="Z1815" s="580" t="str">
        <f t="shared" si="1209"/>
        <v/>
      </c>
    </row>
    <row r="1816" spans="1:26" hidden="1" x14ac:dyDescent="0.2">
      <c r="A1816" s="97" t="s">
        <v>165</v>
      </c>
      <c r="B1816" s="1031" t="s">
        <v>165</v>
      </c>
      <c r="C1816" s="978"/>
      <c r="D1816" s="595" t="s">
        <v>261</v>
      </c>
      <c r="E1816" s="596"/>
      <c r="F1816" s="671">
        <v>20</v>
      </c>
      <c r="G1816" s="597">
        <v>1.1100000000000001</v>
      </c>
      <c r="H1816" s="682">
        <f>IF(F1816=0,0,IF(F1816&lt;=30,(0.7*F1816+1.45)*G1816,((0.7*30+1.45)+0.58*(F1816-30))*G1816))</f>
        <v>17.1495</v>
      </c>
      <c r="I1816" s="592"/>
      <c r="J1816" s="592"/>
      <c r="K1816" s="593">
        <f t="shared" si="1200"/>
        <v>0</v>
      </c>
      <c r="L1816" s="594"/>
      <c r="M1816" s="92"/>
      <c r="N1816" s="92"/>
      <c r="O1816" s="93">
        <f t="shared" si="1201"/>
        <v>0</v>
      </c>
      <c r="P1816" s="93">
        <f t="shared" si="1202"/>
        <v>0</v>
      </c>
      <c r="Q1816" s="94"/>
      <c r="R1816" s="92">
        <f t="shared" si="1203"/>
        <v>0</v>
      </c>
      <c r="S1816" s="92">
        <f t="shared" si="1204"/>
        <v>0</v>
      </c>
      <c r="T1816" s="93">
        <f t="shared" si="1205"/>
        <v>0</v>
      </c>
      <c r="U1816" s="95">
        <f t="shared" si="1206"/>
        <v>0</v>
      </c>
      <c r="V1816" s="94"/>
      <c r="W1816" s="96" t="str">
        <f>IF(U1813&gt;0,"xx",IF(P1813&gt;0,"xy",""))</f>
        <v/>
      </c>
      <c r="X1816" s="580" t="str">
        <f t="shared" si="1207"/>
        <v/>
      </c>
      <c r="Y1816" s="580" t="str">
        <f t="shared" si="1208"/>
        <v/>
      </c>
      <c r="Z1816" s="580" t="str">
        <f t="shared" si="1209"/>
        <v/>
      </c>
    </row>
    <row r="1817" spans="1:26" hidden="1" x14ac:dyDescent="0.2">
      <c r="A1817" s="1008">
        <v>605200</v>
      </c>
      <c r="B1817" s="1010" t="s">
        <v>2163</v>
      </c>
      <c r="C1817" s="978" t="s">
        <v>212</v>
      </c>
      <c r="D1817" s="595" t="s">
        <v>370</v>
      </c>
      <c r="E1817" s="596"/>
      <c r="F1817" s="671"/>
      <c r="G1817" s="597"/>
      <c r="H1817" s="682">
        <f>SUM(H1818:H1820)</f>
        <v>180.80610000000001</v>
      </c>
      <c r="I1817" s="592">
        <v>378.52</v>
      </c>
      <c r="J1817" s="592">
        <f>IF(ISBLANK(I1817),"",SUM(H1817:I1817))</f>
        <v>559.3261</v>
      </c>
      <c r="K1817" s="593">
        <f t="shared" si="1200"/>
        <v>680.76</v>
      </c>
      <c r="L1817" s="594" t="s">
        <v>16</v>
      </c>
      <c r="M1817" s="92"/>
      <c r="N1817" s="92"/>
      <c r="O1817" s="93">
        <f t="shared" si="1144"/>
        <v>0</v>
      </c>
      <c r="P1817" s="93">
        <f t="shared" si="1145"/>
        <v>0</v>
      </c>
      <c r="Q1817" s="94"/>
      <c r="R1817" s="92">
        <f t="shared" si="1146"/>
        <v>0</v>
      </c>
      <c r="S1817" s="92">
        <f t="shared" si="1147"/>
        <v>0</v>
      </c>
      <c r="T1817" s="93">
        <f t="shared" si="1148"/>
        <v>0</v>
      </c>
      <c r="U1817" s="95">
        <f t="shared" si="1149"/>
        <v>0</v>
      </c>
      <c r="V1817" s="94"/>
      <c r="X1817" s="580" t="str">
        <f t="shared" si="1189"/>
        <v/>
      </c>
      <c r="Y1817" s="580" t="str">
        <f t="shared" si="1142"/>
        <v/>
      </c>
      <c r="Z1817" s="580" t="str">
        <f t="shared" si="1152"/>
        <v/>
      </c>
    </row>
    <row r="1818" spans="1:26" hidden="1" x14ac:dyDescent="0.2">
      <c r="A1818" s="97" t="s">
        <v>165</v>
      </c>
      <c r="B1818" s="1031" t="s">
        <v>165</v>
      </c>
      <c r="C1818" s="978"/>
      <c r="D1818" s="595" t="s">
        <v>218</v>
      </c>
      <c r="E1818" s="596"/>
      <c r="F1818" s="671">
        <v>500</v>
      </c>
      <c r="G1818" s="597">
        <v>0.27</v>
      </c>
      <c r="H1818" s="682">
        <f>IF(F1818&lt;=30,(0.51*F1818+4.28)*G1818,((0.51*30+4.28)+0.42*(F1818-30))*G1818)</f>
        <v>58.584600000000009</v>
      </c>
      <c r="I1818" s="592"/>
      <c r="J1818" s="592"/>
      <c r="K1818" s="593">
        <f t="shared" si="1200"/>
        <v>0</v>
      </c>
      <c r="L1818" s="594"/>
      <c r="M1818" s="92"/>
      <c r="N1818" s="92"/>
      <c r="O1818" s="93">
        <f t="shared" si="1144"/>
        <v>0</v>
      </c>
      <c r="P1818" s="93">
        <f t="shared" si="1145"/>
        <v>0</v>
      </c>
      <c r="Q1818" s="94"/>
      <c r="R1818" s="92">
        <f t="shared" si="1146"/>
        <v>0</v>
      </c>
      <c r="S1818" s="92">
        <f t="shared" si="1147"/>
        <v>0</v>
      </c>
      <c r="T1818" s="93">
        <f t="shared" si="1148"/>
        <v>0</v>
      </c>
      <c r="U1818" s="95">
        <f t="shared" si="1149"/>
        <v>0</v>
      </c>
      <c r="V1818" s="94"/>
      <c r="W1818" s="96" t="str">
        <f>IF(U1817&gt;0,"xx",IF(P1817&gt;0,"xy",""))</f>
        <v/>
      </c>
      <c r="X1818" s="580" t="str">
        <f t="shared" si="1189"/>
        <v/>
      </c>
      <c r="Y1818" s="580" t="str">
        <f t="shared" si="1142"/>
        <v/>
      </c>
      <c r="Z1818" s="580" t="str">
        <f t="shared" si="1152"/>
        <v/>
      </c>
    </row>
    <row r="1819" spans="1:26" hidden="1" x14ac:dyDescent="0.2">
      <c r="A1819" s="97" t="s">
        <v>165</v>
      </c>
      <c r="B1819" s="1031" t="s">
        <v>165</v>
      </c>
      <c r="C1819" s="978"/>
      <c r="D1819" s="595" t="s">
        <v>257</v>
      </c>
      <c r="E1819" s="596"/>
      <c r="F1819" s="671">
        <v>180</v>
      </c>
      <c r="G1819" s="597">
        <v>0.96</v>
      </c>
      <c r="H1819" s="682">
        <f>IF(F1819=0,0,IF(F1819&lt;=30,(0.7*F1819+1.45)*G1819,((0.7*30+1.45)+0.58*(F1819-30))*G1819))</f>
        <v>105.072</v>
      </c>
      <c r="I1819" s="592"/>
      <c r="J1819" s="592"/>
      <c r="K1819" s="593">
        <f t="shared" si="1200"/>
        <v>0</v>
      </c>
      <c r="L1819" s="594"/>
      <c r="M1819" s="92"/>
      <c r="N1819" s="92"/>
      <c r="O1819" s="93">
        <f t="shared" si="1144"/>
        <v>0</v>
      </c>
      <c r="P1819" s="93">
        <f t="shared" si="1145"/>
        <v>0</v>
      </c>
      <c r="Q1819" s="94"/>
      <c r="R1819" s="92">
        <f t="shared" si="1146"/>
        <v>0</v>
      </c>
      <c r="S1819" s="92">
        <f t="shared" si="1147"/>
        <v>0</v>
      </c>
      <c r="T1819" s="93">
        <f t="shared" si="1148"/>
        <v>0</v>
      </c>
      <c r="U1819" s="95">
        <f t="shared" si="1149"/>
        <v>0</v>
      </c>
      <c r="V1819" s="94"/>
      <c r="W1819" s="96" t="str">
        <f>IF(U1817&gt;0,"xx",IF(P1817&gt;0,"xy",""))</f>
        <v/>
      </c>
      <c r="X1819" s="580" t="str">
        <f t="shared" si="1189"/>
        <v/>
      </c>
      <c r="Y1819" s="580" t="str">
        <f t="shared" si="1142"/>
        <v/>
      </c>
      <c r="Z1819" s="580" t="str">
        <f t="shared" si="1152"/>
        <v/>
      </c>
    </row>
    <row r="1820" spans="1:26" hidden="1" x14ac:dyDescent="0.2">
      <c r="A1820" s="97" t="s">
        <v>165</v>
      </c>
      <c r="B1820" s="1031" t="s">
        <v>165</v>
      </c>
      <c r="C1820" s="978"/>
      <c r="D1820" s="595" t="s">
        <v>261</v>
      </c>
      <c r="E1820" s="596"/>
      <c r="F1820" s="671">
        <v>20</v>
      </c>
      <c r="G1820" s="597">
        <v>1.1100000000000001</v>
      </c>
      <c r="H1820" s="682">
        <f>IF(F1820=0,0,IF(F1820&lt;=30,(0.7*F1820+1.45)*G1820,((0.7*30+1.45)+0.58*(F1820-30))*G1820))</f>
        <v>17.1495</v>
      </c>
      <c r="I1820" s="592"/>
      <c r="J1820" s="592"/>
      <c r="K1820" s="593">
        <f t="shared" si="1200"/>
        <v>0</v>
      </c>
      <c r="L1820" s="594"/>
      <c r="M1820" s="92"/>
      <c r="N1820" s="92"/>
      <c r="O1820" s="93">
        <f t="shared" si="1144"/>
        <v>0</v>
      </c>
      <c r="P1820" s="93">
        <f t="shared" si="1145"/>
        <v>0</v>
      </c>
      <c r="Q1820" s="94"/>
      <c r="R1820" s="92">
        <f t="shared" si="1146"/>
        <v>0</v>
      </c>
      <c r="S1820" s="92">
        <f t="shared" si="1147"/>
        <v>0</v>
      </c>
      <c r="T1820" s="93">
        <f t="shared" si="1148"/>
        <v>0</v>
      </c>
      <c r="U1820" s="95">
        <f t="shared" si="1149"/>
        <v>0</v>
      </c>
      <c r="V1820" s="94"/>
      <c r="W1820" s="96" t="str">
        <f>IF(U1817&gt;0,"xx",IF(P1817&gt;0,"xy",""))</f>
        <v/>
      </c>
      <c r="X1820" s="580" t="str">
        <f t="shared" si="1189"/>
        <v/>
      </c>
      <c r="Y1820" s="580" t="str">
        <f t="shared" si="1142"/>
        <v/>
      </c>
      <c r="Z1820" s="580" t="str">
        <f t="shared" si="1152"/>
        <v/>
      </c>
    </row>
    <row r="1821" spans="1:26" hidden="1" x14ac:dyDescent="0.2">
      <c r="A1821" s="1008">
        <v>605300</v>
      </c>
      <c r="B1821" s="1010" t="s">
        <v>2165</v>
      </c>
      <c r="C1821" s="978" t="s">
        <v>212</v>
      </c>
      <c r="D1821" s="595" t="s">
        <v>371</v>
      </c>
      <c r="E1821" s="596"/>
      <c r="F1821" s="671"/>
      <c r="G1821" s="597"/>
      <c r="H1821" s="682">
        <f>SUM(H1822:H1824)</f>
        <v>189.55635000000001</v>
      </c>
      <c r="I1821" s="592">
        <v>404.81</v>
      </c>
      <c r="J1821" s="592">
        <f>IF(ISBLANK(I1821),"",SUM(H1821:I1821))</f>
        <v>594.36635000000001</v>
      </c>
      <c r="K1821" s="593">
        <f t="shared" si="1200"/>
        <v>723.4</v>
      </c>
      <c r="L1821" s="594" t="s">
        <v>16</v>
      </c>
      <c r="M1821" s="92"/>
      <c r="N1821" s="92"/>
      <c r="O1821" s="93">
        <f t="shared" si="1144"/>
        <v>0</v>
      </c>
      <c r="P1821" s="93">
        <f t="shared" si="1145"/>
        <v>0</v>
      </c>
      <c r="Q1821" s="94"/>
      <c r="R1821" s="92">
        <f t="shared" si="1146"/>
        <v>0</v>
      </c>
      <c r="S1821" s="92">
        <f t="shared" si="1147"/>
        <v>0</v>
      </c>
      <c r="T1821" s="93">
        <f t="shared" si="1148"/>
        <v>0</v>
      </c>
      <c r="U1821" s="95">
        <f t="shared" si="1149"/>
        <v>0</v>
      </c>
      <c r="V1821" s="94"/>
      <c r="X1821" s="580" t="str">
        <f t="shared" si="1189"/>
        <v/>
      </c>
      <c r="Y1821" s="580" t="str">
        <f t="shared" si="1142"/>
        <v/>
      </c>
      <c r="Z1821" s="580" t="str">
        <f t="shared" si="1152"/>
        <v/>
      </c>
    </row>
    <row r="1822" spans="1:26" hidden="1" x14ac:dyDescent="0.2">
      <c r="A1822" s="97" t="s">
        <v>165</v>
      </c>
      <c r="B1822" s="1031" t="s">
        <v>165</v>
      </c>
      <c r="C1822" s="978"/>
      <c r="D1822" s="595" t="s">
        <v>218</v>
      </c>
      <c r="E1822" s="596"/>
      <c r="F1822" s="671">
        <v>500</v>
      </c>
      <c r="G1822" s="597">
        <v>0.33</v>
      </c>
      <c r="H1822" s="682">
        <f>IF(F1822&lt;=30,(0.51*F1822+4.28)*G1822,((0.51*30+4.28)+0.42*(F1822-30))*G1822)</f>
        <v>71.603400000000008</v>
      </c>
      <c r="I1822" s="592"/>
      <c r="J1822" s="592"/>
      <c r="K1822" s="593">
        <f t="shared" si="1200"/>
        <v>0</v>
      </c>
      <c r="L1822" s="594"/>
      <c r="M1822" s="92"/>
      <c r="N1822" s="92"/>
      <c r="O1822" s="93">
        <f t="shared" si="1144"/>
        <v>0</v>
      </c>
      <c r="P1822" s="93">
        <f t="shared" si="1145"/>
        <v>0</v>
      </c>
      <c r="Q1822" s="94"/>
      <c r="R1822" s="92">
        <f t="shared" si="1146"/>
        <v>0</v>
      </c>
      <c r="S1822" s="92">
        <f t="shared" si="1147"/>
        <v>0</v>
      </c>
      <c r="T1822" s="93">
        <f t="shared" si="1148"/>
        <v>0</v>
      </c>
      <c r="U1822" s="95">
        <f t="shared" si="1149"/>
        <v>0</v>
      </c>
      <c r="V1822" s="94"/>
      <c r="W1822" s="96" t="str">
        <f>IF(U1821&gt;0,"xx",IF(P1821&gt;0,"xy",""))</f>
        <v/>
      </c>
      <c r="X1822" s="580" t="str">
        <f t="shared" si="1189"/>
        <v/>
      </c>
      <c r="Y1822" s="580" t="str">
        <f t="shared" si="1142"/>
        <v/>
      </c>
      <c r="Z1822" s="580" t="str">
        <f t="shared" si="1152"/>
        <v/>
      </c>
    </row>
    <row r="1823" spans="1:26" hidden="1" x14ac:dyDescent="0.2">
      <c r="A1823" s="97" t="s">
        <v>165</v>
      </c>
      <c r="B1823" s="1031" t="s">
        <v>165</v>
      </c>
      <c r="C1823" s="978"/>
      <c r="D1823" s="595" t="s">
        <v>257</v>
      </c>
      <c r="E1823" s="596"/>
      <c r="F1823" s="671">
        <v>180</v>
      </c>
      <c r="G1823" s="597">
        <v>0.92100000000000004</v>
      </c>
      <c r="H1823" s="682">
        <f>IF(F1823=0,0,IF(F1823&lt;=30,(0.7*F1823+1.45)*G1823,((0.7*30+1.45)+0.58*(F1823-30))*G1823))</f>
        <v>100.80345000000001</v>
      </c>
      <c r="I1823" s="592"/>
      <c r="J1823" s="592"/>
      <c r="K1823" s="593">
        <f t="shared" si="1200"/>
        <v>0</v>
      </c>
      <c r="L1823" s="594"/>
      <c r="M1823" s="92"/>
      <c r="N1823" s="92"/>
      <c r="O1823" s="93">
        <f t="shared" si="1144"/>
        <v>0</v>
      </c>
      <c r="P1823" s="93">
        <f t="shared" si="1145"/>
        <v>0</v>
      </c>
      <c r="Q1823" s="94"/>
      <c r="R1823" s="92">
        <f t="shared" si="1146"/>
        <v>0</v>
      </c>
      <c r="S1823" s="92">
        <f t="shared" si="1147"/>
        <v>0</v>
      </c>
      <c r="T1823" s="93">
        <f t="shared" si="1148"/>
        <v>0</v>
      </c>
      <c r="U1823" s="95">
        <f t="shared" si="1149"/>
        <v>0</v>
      </c>
      <c r="V1823" s="94"/>
      <c r="W1823" s="96" t="str">
        <f>IF(U1821&gt;0,"xx",IF(P1821&gt;0,"xy",""))</f>
        <v/>
      </c>
      <c r="X1823" s="580" t="str">
        <f t="shared" si="1189"/>
        <v/>
      </c>
      <c r="Y1823" s="580" t="str">
        <f t="shared" si="1142"/>
        <v/>
      </c>
      <c r="Z1823" s="580" t="str">
        <f t="shared" si="1152"/>
        <v/>
      </c>
    </row>
    <row r="1824" spans="1:26" hidden="1" x14ac:dyDescent="0.2">
      <c r="A1824" s="97" t="s">
        <v>165</v>
      </c>
      <c r="B1824" s="1031" t="s">
        <v>165</v>
      </c>
      <c r="C1824" s="978"/>
      <c r="D1824" s="595" t="s">
        <v>261</v>
      </c>
      <c r="E1824" s="596"/>
      <c r="F1824" s="671">
        <v>20</v>
      </c>
      <c r="G1824" s="597">
        <v>1.1100000000000001</v>
      </c>
      <c r="H1824" s="682">
        <f>IF(F1824=0,0,IF(F1824&lt;=30,(0.7*F1824+1.45)*G1824,((0.7*30+1.45)+0.58*(F1824-30))*G1824))</f>
        <v>17.1495</v>
      </c>
      <c r="I1824" s="592"/>
      <c r="J1824" s="592"/>
      <c r="K1824" s="593">
        <f t="shared" si="1200"/>
        <v>0</v>
      </c>
      <c r="L1824" s="594"/>
      <c r="M1824" s="92"/>
      <c r="N1824" s="92"/>
      <c r="O1824" s="93">
        <f t="shared" si="1144"/>
        <v>0</v>
      </c>
      <c r="P1824" s="93">
        <f t="shared" si="1145"/>
        <v>0</v>
      </c>
      <c r="Q1824" s="94"/>
      <c r="R1824" s="92">
        <f t="shared" si="1146"/>
        <v>0</v>
      </c>
      <c r="S1824" s="92">
        <f t="shared" si="1147"/>
        <v>0</v>
      </c>
      <c r="T1824" s="93">
        <f t="shared" si="1148"/>
        <v>0</v>
      </c>
      <c r="U1824" s="95">
        <f t="shared" si="1149"/>
        <v>0</v>
      </c>
      <c r="V1824" s="94"/>
      <c r="W1824" s="96" t="str">
        <f>IF(U1821&gt;0,"xx",IF(P1821&gt;0,"xy",""))</f>
        <v/>
      </c>
      <c r="X1824" s="580" t="str">
        <f t="shared" si="1189"/>
        <v/>
      </c>
      <c r="Y1824" s="580" t="str">
        <f t="shared" si="1142"/>
        <v/>
      </c>
      <c r="Z1824" s="580" t="str">
        <f t="shared" si="1152"/>
        <v/>
      </c>
    </row>
    <row r="1825" spans="1:26" hidden="1" x14ac:dyDescent="0.2">
      <c r="A1825" s="1008">
        <v>605400</v>
      </c>
      <c r="B1825" s="1010" t="s">
        <v>2167</v>
      </c>
      <c r="C1825" s="978" t="s">
        <v>212</v>
      </c>
      <c r="D1825" s="595" t="s">
        <v>372</v>
      </c>
      <c r="E1825" s="596"/>
      <c r="F1825" s="671"/>
      <c r="G1825" s="597"/>
      <c r="H1825" s="682">
        <f>SUM(H1826:H1828)</f>
        <v>203.42962</v>
      </c>
      <c r="I1825" s="592">
        <v>411.03999999999996</v>
      </c>
      <c r="J1825" s="592">
        <f>IF(ISBLANK(I1825),"",SUM(H1825:I1825))</f>
        <v>614.46961999999996</v>
      </c>
      <c r="K1825" s="593">
        <f t="shared" si="1200"/>
        <v>747.87</v>
      </c>
      <c r="L1825" s="594" t="s">
        <v>16</v>
      </c>
      <c r="M1825" s="92"/>
      <c r="N1825" s="92"/>
      <c r="O1825" s="93">
        <f t="shared" si="1144"/>
        <v>0</v>
      </c>
      <c r="P1825" s="93">
        <f t="shared" si="1145"/>
        <v>0</v>
      </c>
      <c r="Q1825" s="94"/>
      <c r="R1825" s="92">
        <f t="shared" si="1146"/>
        <v>0</v>
      </c>
      <c r="S1825" s="92">
        <f t="shared" si="1147"/>
        <v>0</v>
      </c>
      <c r="T1825" s="93">
        <f t="shared" si="1148"/>
        <v>0</v>
      </c>
      <c r="U1825" s="95">
        <f t="shared" si="1149"/>
        <v>0</v>
      </c>
      <c r="V1825" s="94"/>
      <c r="X1825" s="580" t="str">
        <f t="shared" si="1189"/>
        <v/>
      </c>
      <c r="Y1825" s="580" t="str">
        <f t="shared" si="1142"/>
        <v/>
      </c>
      <c r="Z1825" s="580" t="str">
        <f t="shared" si="1152"/>
        <v/>
      </c>
    </row>
    <row r="1826" spans="1:26" hidden="1" x14ac:dyDescent="0.2">
      <c r="A1826" s="97" t="s">
        <v>165</v>
      </c>
      <c r="B1826" s="1031" t="s">
        <v>165</v>
      </c>
      <c r="C1826" s="978"/>
      <c r="D1826" s="595" t="s">
        <v>218</v>
      </c>
      <c r="E1826" s="596"/>
      <c r="F1826" s="671">
        <v>500</v>
      </c>
      <c r="G1826" s="597">
        <v>0.34399999999999997</v>
      </c>
      <c r="H1826" s="682">
        <f>IF(F1826&lt;=30,(0.51*F1826+4.28)*G1826,((0.51*30+4.28)+0.42*(F1826-30))*G1826)</f>
        <v>74.641120000000001</v>
      </c>
      <c r="I1826" s="592">
        <v>0</v>
      </c>
      <c r="J1826" s="592"/>
      <c r="K1826" s="593">
        <f t="shared" si="1200"/>
        <v>0</v>
      </c>
      <c r="L1826" s="594"/>
      <c r="M1826" s="92"/>
      <c r="N1826" s="92"/>
      <c r="O1826" s="93">
        <f t="shared" si="1144"/>
        <v>0</v>
      </c>
      <c r="P1826" s="93">
        <f t="shared" si="1145"/>
        <v>0</v>
      </c>
      <c r="Q1826" s="94"/>
      <c r="R1826" s="92">
        <f t="shared" si="1146"/>
        <v>0</v>
      </c>
      <c r="S1826" s="92">
        <f t="shared" si="1147"/>
        <v>0</v>
      </c>
      <c r="T1826" s="93">
        <f t="shared" si="1148"/>
        <v>0</v>
      </c>
      <c r="U1826" s="95">
        <f t="shared" si="1149"/>
        <v>0</v>
      </c>
      <c r="V1826" s="94"/>
      <c r="W1826" s="96" t="str">
        <f>IF(U1825&gt;0,"xx",IF(P1825&gt;0,"xy",""))</f>
        <v/>
      </c>
      <c r="X1826" s="580" t="str">
        <f t="shared" si="1189"/>
        <v/>
      </c>
      <c r="Y1826" s="580" t="str">
        <f t="shared" si="1142"/>
        <v/>
      </c>
      <c r="Z1826" s="580" t="str">
        <f t="shared" si="1152"/>
        <v/>
      </c>
    </row>
    <row r="1827" spans="1:26" hidden="1" x14ac:dyDescent="0.2">
      <c r="A1827" s="97" t="s">
        <v>165</v>
      </c>
      <c r="B1827" s="1031" t="s">
        <v>165</v>
      </c>
      <c r="C1827" s="978"/>
      <c r="D1827" s="595" t="s">
        <v>257</v>
      </c>
      <c r="E1827" s="596"/>
      <c r="F1827" s="671">
        <v>180</v>
      </c>
      <c r="G1827" s="597">
        <v>1.02</v>
      </c>
      <c r="H1827" s="682">
        <f>IF(F1827=0,0,IF(F1827&lt;=30,(0.7*F1827+1.45)*G1827,((0.7*30+1.45)+0.58*(F1827-30))*G1827))</f>
        <v>111.63900000000001</v>
      </c>
      <c r="I1827" s="592">
        <v>0</v>
      </c>
      <c r="J1827" s="592"/>
      <c r="K1827" s="593">
        <f t="shared" si="1200"/>
        <v>0</v>
      </c>
      <c r="L1827" s="594"/>
      <c r="M1827" s="92"/>
      <c r="N1827" s="92"/>
      <c r="O1827" s="93">
        <f t="shared" si="1144"/>
        <v>0</v>
      </c>
      <c r="P1827" s="93">
        <f t="shared" si="1145"/>
        <v>0</v>
      </c>
      <c r="Q1827" s="94"/>
      <c r="R1827" s="92">
        <f t="shared" si="1146"/>
        <v>0</v>
      </c>
      <c r="S1827" s="92">
        <f t="shared" si="1147"/>
        <v>0</v>
      </c>
      <c r="T1827" s="93">
        <f t="shared" si="1148"/>
        <v>0</v>
      </c>
      <c r="U1827" s="95">
        <f t="shared" si="1149"/>
        <v>0</v>
      </c>
      <c r="V1827" s="94"/>
      <c r="W1827" s="96" t="str">
        <f>IF(U1825&gt;0,"xx",IF(P1825&gt;0,"xy",""))</f>
        <v/>
      </c>
      <c r="X1827" s="580" t="str">
        <f t="shared" si="1189"/>
        <v/>
      </c>
      <c r="Y1827" s="580" t="str">
        <f t="shared" si="1142"/>
        <v/>
      </c>
      <c r="Z1827" s="580" t="str">
        <f t="shared" si="1152"/>
        <v/>
      </c>
    </row>
    <row r="1828" spans="1:26" hidden="1" x14ac:dyDescent="0.2">
      <c r="A1828" s="97" t="s">
        <v>165</v>
      </c>
      <c r="B1828" s="1031" t="s">
        <v>165</v>
      </c>
      <c r="C1828" s="978"/>
      <c r="D1828" s="595" t="s">
        <v>261</v>
      </c>
      <c r="E1828" s="596"/>
      <c r="F1828" s="671">
        <v>20</v>
      </c>
      <c r="G1828" s="597">
        <v>1.1100000000000001</v>
      </c>
      <c r="H1828" s="682">
        <f>IF(F1828=0,0,IF(F1828&lt;=30,(0.7*F1828+1.45)*G1828,((0.7*30+1.45)+0.58*(F1828-30))*G1828))</f>
        <v>17.1495</v>
      </c>
      <c r="I1828" s="592">
        <v>0</v>
      </c>
      <c r="J1828" s="592"/>
      <c r="K1828" s="593">
        <f t="shared" si="1200"/>
        <v>0</v>
      </c>
      <c r="L1828" s="594"/>
      <c r="M1828" s="92"/>
      <c r="N1828" s="92"/>
      <c r="O1828" s="93">
        <f t="shared" si="1144"/>
        <v>0</v>
      </c>
      <c r="P1828" s="93">
        <f t="shared" si="1145"/>
        <v>0</v>
      </c>
      <c r="Q1828" s="94"/>
      <c r="R1828" s="92">
        <f t="shared" si="1146"/>
        <v>0</v>
      </c>
      <c r="S1828" s="92">
        <f t="shared" si="1147"/>
        <v>0</v>
      </c>
      <c r="T1828" s="93">
        <f t="shared" si="1148"/>
        <v>0</v>
      </c>
      <c r="U1828" s="95">
        <f t="shared" si="1149"/>
        <v>0</v>
      </c>
      <c r="V1828" s="94"/>
      <c r="W1828" s="96" t="str">
        <f>IF(U1825&gt;0,"xx",IF(P1825&gt;0,"xy",""))</f>
        <v/>
      </c>
      <c r="X1828" s="580" t="str">
        <f t="shared" si="1189"/>
        <v/>
      </c>
      <c r="Y1828" s="580" t="str">
        <f t="shared" si="1142"/>
        <v/>
      </c>
      <c r="Z1828" s="580" t="str">
        <f t="shared" si="1152"/>
        <v/>
      </c>
    </row>
    <row r="1829" spans="1:26" hidden="1" x14ac:dyDescent="0.2">
      <c r="A1829" s="1008">
        <v>605500</v>
      </c>
      <c r="B1829" s="1010">
        <v>605500</v>
      </c>
      <c r="C1829" s="978" t="s">
        <v>212</v>
      </c>
      <c r="D1829" s="595" t="s">
        <v>1106</v>
      </c>
      <c r="E1829" s="596"/>
      <c r="F1829" s="671"/>
      <c r="G1829" s="597"/>
      <c r="H1829" s="682">
        <f>SUM(H1830:H1832)</f>
        <v>196.45363</v>
      </c>
      <c r="I1829" s="592">
        <v>429.03</v>
      </c>
      <c r="J1829" s="592">
        <f>IF(ISBLANK(I1829),"",SUM(H1829:I1829))</f>
        <v>625.48362999999995</v>
      </c>
      <c r="K1829" s="593">
        <f t="shared" si="1200"/>
        <v>761.28</v>
      </c>
      <c r="L1829" s="594" t="s">
        <v>16</v>
      </c>
      <c r="M1829" s="92"/>
      <c r="N1829" s="92"/>
      <c r="O1829" s="93">
        <f t="shared" ref="O1829:O1832" si="1210">IF(ISBLANK(M1829),0,ROUND(K1829*M1829,2))</f>
        <v>0</v>
      </c>
      <c r="P1829" s="93">
        <f t="shared" ref="P1829:P1832" si="1211">IF(ISBLANK(N1829),0,ROUND(M1829*N1829,2))</f>
        <v>0</v>
      </c>
      <c r="Q1829" s="94"/>
      <c r="R1829" s="92">
        <f t="shared" ref="R1829:R1832" si="1212">M1829</f>
        <v>0</v>
      </c>
      <c r="S1829" s="92">
        <f t="shared" ref="S1829:S1832" si="1213">N1829</f>
        <v>0</v>
      </c>
      <c r="T1829" s="93">
        <f t="shared" ref="T1829:T1832" si="1214">IF(ISBLANK(R1829),0,ROUND(K1829*R1829,2))</f>
        <v>0</v>
      </c>
      <c r="U1829" s="95">
        <f t="shared" ref="U1829:U1832" si="1215">IF(ISBLANK(R1829),0,ROUND(R1829*S1829,2))</f>
        <v>0</v>
      </c>
      <c r="V1829" s="94"/>
      <c r="X1829" s="580" t="str">
        <f t="shared" ref="X1829:X1832" si="1216">IF(W1829="X","x",IF(W1829="xx","x",IF(W1829="xy","x",IF(W1829="y","x",IF(OR(P1829&gt;0,U1829&gt;0),"x","")))))</f>
        <v/>
      </c>
      <c r="Y1829" s="580" t="str">
        <f t="shared" ref="Y1829:Y1832" si="1217">IF(W1829="X","x",IF(W1829="y","x",IF(W1829="xx","x",IF(U1829&gt;0,"x",""))))</f>
        <v/>
      </c>
      <c r="Z1829" s="580" t="str">
        <f t="shared" ref="Z1829:Z1832" si="1218">IF(W1829="X","x",IF(U1829&gt;0,"x",""))</f>
        <v/>
      </c>
    </row>
    <row r="1830" spans="1:26" hidden="1" x14ac:dyDescent="0.2">
      <c r="A1830" s="97" t="s">
        <v>165</v>
      </c>
      <c r="B1830" s="1031" t="s">
        <v>165</v>
      </c>
      <c r="C1830" s="978"/>
      <c r="D1830" s="595" t="s">
        <v>218</v>
      </c>
      <c r="E1830" s="596"/>
      <c r="F1830" s="671">
        <v>500</v>
      </c>
      <c r="G1830" s="597">
        <v>0.38600000000000001</v>
      </c>
      <c r="H1830" s="682">
        <f>IF(F1830&lt;=30,(0.51*F1830+4.28)*G1830,((0.51*30+4.28)+0.42*(F1830-30))*G1830)</f>
        <v>83.754280000000008</v>
      </c>
      <c r="I1830" s="592">
        <v>0</v>
      </c>
      <c r="J1830" s="592"/>
      <c r="K1830" s="593">
        <f t="shared" si="1200"/>
        <v>0</v>
      </c>
      <c r="L1830" s="594"/>
      <c r="M1830" s="92"/>
      <c r="N1830" s="92"/>
      <c r="O1830" s="93">
        <f t="shared" si="1210"/>
        <v>0</v>
      </c>
      <c r="P1830" s="93">
        <f t="shared" si="1211"/>
        <v>0</v>
      </c>
      <c r="Q1830" s="94"/>
      <c r="R1830" s="92">
        <f t="shared" si="1212"/>
        <v>0</v>
      </c>
      <c r="S1830" s="92">
        <f t="shared" si="1213"/>
        <v>0</v>
      </c>
      <c r="T1830" s="93">
        <f t="shared" si="1214"/>
        <v>0</v>
      </c>
      <c r="U1830" s="95">
        <f t="shared" si="1215"/>
        <v>0</v>
      </c>
      <c r="V1830" s="94"/>
      <c r="W1830" s="96" t="str">
        <f>IF(U1829&gt;0,"xx",IF(P1829&gt;0,"xy",""))</f>
        <v/>
      </c>
      <c r="X1830" s="580" t="str">
        <f t="shared" si="1216"/>
        <v/>
      </c>
      <c r="Y1830" s="580" t="str">
        <f t="shared" si="1217"/>
        <v/>
      </c>
      <c r="Z1830" s="580" t="str">
        <f t="shared" si="1218"/>
        <v/>
      </c>
    </row>
    <row r="1831" spans="1:26" hidden="1" x14ac:dyDescent="0.2">
      <c r="A1831" s="97" t="s">
        <v>165</v>
      </c>
      <c r="B1831" s="1031" t="s">
        <v>165</v>
      </c>
      <c r="C1831" s="978"/>
      <c r="D1831" s="595" t="s">
        <v>257</v>
      </c>
      <c r="E1831" s="596"/>
      <c r="F1831" s="671">
        <v>180</v>
      </c>
      <c r="G1831" s="597">
        <v>0.873</v>
      </c>
      <c r="H1831" s="682">
        <f>IF(F1831=0,0,IF(F1831&lt;=30,(0.7*F1831+1.45)*G1831,((0.7*30+1.45)+0.58*(F1831-30))*G1831))</f>
        <v>95.549850000000006</v>
      </c>
      <c r="I1831" s="592">
        <v>0</v>
      </c>
      <c r="J1831" s="592"/>
      <c r="K1831" s="593">
        <f t="shared" si="1200"/>
        <v>0</v>
      </c>
      <c r="L1831" s="594"/>
      <c r="M1831" s="92"/>
      <c r="N1831" s="92"/>
      <c r="O1831" s="93">
        <f t="shared" si="1210"/>
        <v>0</v>
      </c>
      <c r="P1831" s="93">
        <f t="shared" si="1211"/>
        <v>0</v>
      </c>
      <c r="Q1831" s="94"/>
      <c r="R1831" s="92">
        <f t="shared" si="1212"/>
        <v>0</v>
      </c>
      <c r="S1831" s="92">
        <f t="shared" si="1213"/>
        <v>0</v>
      </c>
      <c r="T1831" s="93">
        <f t="shared" si="1214"/>
        <v>0</v>
      </c>
      <c r="U1831" s="95">
        <f t="shared" si="1215"/>
        <v>0</v>
      </c>
      <c r="V1831" s="94"/>
      <c r="W1831" s="96" t="str">
        <f>IF(U1829&gt;0,"xx",IF(P1829&gt;0,"xy",""))</f>
        <v/>
      </c>
      <c r="X1831" s="580" t="str">
        <f t="shared" si="1216"/>
        <v/>
      </c>
      <c r="Y1831" s="580" t="str">
        <f t="shared" si="1217"/>
        <v/>
      </c>
      <c r="Z1831" s="580" t="str">
        <f t="shared" si="1218"/>
        <v/>
      </c>
    </row>
    <row r="1832" spans="1:26" hidden="1" x14ac:dyDescent="0.2">
      <c r="A1832" s="97" t="s">
        <v>165</v>
      </c>
      <c r="B1832" s="1031" t="s">
        <v>165</v>
      </c>
      <c r="C1832" s="978"/>
      <c r="D1832" s="595" t="s">
        <v>261</v>
      </c>
      <c r="E1832" s="596"/>
      <c r="F1832" s="671">
        <v>20</v>
      </c>
      <c r="G1832" s="597">
        <v>1.1100000000000001</v>
      </c>
      <c r="H1832" s="682">
        <f>IF(F1832=0,0,IF(F1832&lt;=30,(0.7*F1832+1.45)*G1832,((0.7*30+1.45)+0.58*(F1832-30))*G1832))</f>
        <v>17.1495</v>
      </c>
      <c r="I1832" s="592">
        <v>0</v>
      </c>
      <c r="J1832" s="592"/>
      <c r="K1832" s="593">
        <f t="shared" si="1200"/>
        <v>0</v>
      </c>
      <c r="L1832" s="594"/>
      <c r="M1832" s="92"/>
      <c r="N1832" s="92"/>
      <c r="O1832" s="93">
        <f t="shared" si="1210"/>
        <v>0</v>
      </c>
      <c r="P1832" s="93">
        <f t="shared" si="1211"/>
        <v>0</v>
      </c>
      <c r="Q1832" s="94"/>
      <c r="R1832" s="92">
        <f t="shared" si="1212"/>
        <v>0</v>
      </c>
      <c r="S1832" s="92">
        <f t="shared" si="1213"/>
        <v>0</v>
      </c>
      <c r="T1832" s="93">
        <f t="shared" si="1214"/>
        <v>0</v>
      </c>
      <c r="U1832" s="95">
        <f t="shared" si="1215"/>
        <v>0</v>
      </c>
      <c r="V1832" s="94"/>
      <c r="W1832" s="96" t="str">
        <f>IF(U1829&gt;0,"xx",IF(P1829&gt;0,"xy",""))</f>
        <v/>
      </c>
      <c r="X1832" s="580" t="str">
        <f t="shared" si="1216"/>
        <v/>
      </c>
      <c r="Y1832" s="580" t="str">
        <f t="shared" si="1217"/>
        <v/>
      </c>
      <c r="Z1832" s="580" t="str">
        <f t="shared" si="1218"/>
        <v/>
      </c>
    </row>
    <row r="1833" spans="1:26" hidden="1" x14ac:dyDescent="0.2">
      <c r="A1833" s="1008">
        <v>605600</v>
      </c>
      <c r="B1833" s="1010">
        <v>605600</v>
      </c>
      <c r="C1833" s="978" t="s">
        <v>212</v>
      </c>
      <c r="D1833" s="595" t="s">
        <v>1107</v>
      </c>
      <c r="E1833" s="596"/>
      <c r="F1833" s="671"/>
      <c r="G1833" s="597"/>
      <c r="H1833" s="682">
        <f>SUM(H1834:H1836)</f>
        <v>198.04929999999999</v>
      </c>
      <c r="I1833" s="592">
        <v>439.06</v>
      </c>
      <c r="J1833" s="592">
        <f>IF(ISBLANK(I1833),"",SUM(H1833:I1833))</f>
        <v>637.10929999999996</v>
      </c>
      <c r="K1833" s="593">
        <f t="shared" si="1200"/>
        <v>775.43</v>
      </c>
      <c r="L1833" s="594" t="s">
        <v>16</v>
      </c>
      <c r="M1833" s="92"/>
      <c r="N1833" s="92"/>
      <c r="O1833" s="93">
        <f t="shared" ref="O1833:O1840" si="1219">IF(ISBLANK(M1833),0,ROUND(K1833*M1833,2))</f>
        <v>0</v>
      </c>
      <c r="P1833" s="93">
        <f t="shared" ref="P1833:P1840" si="1220">IF(ISBLANK(N1833),0,ROUND(M1833*N1833,2))</f>
        <v>0</v>
      </c>
      <c r="Q1833" s="94"/>
      <c r="R1833" s="92">
        <f t="shared" ref="R1833:R1840" si="1221">M1833</f>
        <v>0</v>
      </c>
      <c r="S1833" s="92">
        <f t="shared" ref="S1833:S1840" si="1222">N1833</f>
        <v>0</v>
      </c>
      <c r="T1833" s="93">
        <f t="shared" ref="T1833:T1840" si="1223">IF(ISBLANK(R1833),0,ROUND(K1833*R1833,2))</f>
        <v>0</v>
      </c>
      <c r="U1833" s="95">
        <f t="shared" ref="U1833:U1840" si="1224">IF(ISBLANK(R1833),0,ROUND(R1833*S1833,2))</f>
        <v>0</v>
      </c>
      <c r="V1833" s="94"/>
      <c r="X1833" s="580" t="str">
        <f t="shared" ref="X1833:X1840" si="1225">IF(W1833="X","x",IF(W1833="xx","x",IF(W1833="xy","x",IF(W1833="y","x",IF(OR(P1833&gt;0,U1833&gt;0),"x","")))))</f>
        <v/>
      </c>
      <c r="Y1833" s="580" t="str">
        <f t="shared" ref="Y1833:Y1840" si="1226">IF(W1833="X","x",IF(W1833="y","x",IF(W1833="xx","x",IF(U1833&gt;0,"x",""))))</f>
        <v/>
      </c>
      <c r="Z1833" s="580" t="str">
        <f t="shared" ref="Z1833:Z1840" si="1227">IF(W1833="X","x",IF(U1833&gt;0,"x",""))</f>
        <v/>
      </c>
    </row>
    <row r="1834" spans="1:26" hidden="1" x14ac:dyDescent="0.2">
      <c r="A1834" s="97" t="s">
        <v>165</v>
      </c>
      <c r="B1834" s="1031" t="s">
        <v>165</v>
      </c>
      <c r="C1834" s="978"/>
      <c r="D1834" s="595" t="s">
        <v>218</v>
      </c>
      <c r="E1834" s="596"/>
      <c r="F1834" s="671">
        <v>500</v>
      </c>
      <c r="G1834" s="597">
        <v>0.41</v>
      </c>
      <c r="H1834" s="682">
        <f>IF(F1834&lt;=30,(0.51*F1834+4.28)*G1834,((0.51*30+4.28)+0.42*(F1834-30))*G1834)</f>
        <v>88.961799999999997</v>
      </c>
      <c r="I1834" s="592">
        <v>0</v>
      </c>
      <c r="J1834" s="592"/>
      <c r="K1834" s="593">
        <f t="shared" si="1200"/>
        <v>0</v>
      </c>
      <c r="L1834" s="594"/>
      <c r="M1834" s="92"/>
      <c r="N1834" s="92"/>
      <c r="O1834" s="93">
        <f t="shared" si="1219"/>
        <v>0</v>
      </c>
      <c r="P1834" s="93">
        <f t="shared" si="1220"/>
        <v>0</v>
      </c>
      <c r="Q1834" s="94"/>
      <c r="R1834" s="92">
        <f t="shared" si="1221"/>
        <v>0</v>
      </c>
      <c r="S1834" s="92">
        <f t="shared" si="1222"/>
        <v>0</v>
      </c>
      <c r="T1834" s="93">
        <f t="shared" si="1223"/>
        <v>0</v>
      </c>
      <c r="U1834" s="95">
        <f t="shared" si="1224"/>
        <v>0</v>
      </c>
      <c r="V1834" s="94"/>
      <c r="W1834" s="96" t="str">
        <f>IF(U1833&gt;0,"xx",IF(P1833&gt;0,"xy",""))</f>
        <v/>
      </c>
      <c r="X1834" s="580" t="str">
        <f t="shared" si="1225"/>
        <v/>
      </c>
      <c r="Y1834" s="580" t="str">
        <f t="shared" si="1226"/>
        <v/>
      </c>
      <c r="Z1834" s="580" t="str">
        <f t="shared" si="1227"/>
        <v/>
      </c>
    </row>
    <row r="1835" spans="1:26" hidden="1" x14ac:dyDescent="0.2">
      <c r="A1835" s="97" t="s">
        <v>165</v>
      </c>
      <c r="B1835" s="1031" t="s">
        <v>165</v>
      </c>
      <c r="C1835" s="978"/>
      <c r="D1835" s="595" t="s">
        <v>257</v>
      </c>
      <c r="E1835" s="596"/>
      <c r="F1835" s="671">
        <v>180</v>
      </c>
      <c r="G1835" s="597">
        <v>0.84</v>
      </c>
      <c r="H1835" s="682">
        <f>IF(F1835=0,0,IF(F1835&lt;=30,(0.7*F1835+1.45)*G1835,((0.7*30+1.45)+0.58*(F1835-30))*G1835))</f>
        <v>91.938000000000002</v>
      </c>
      <c r="I1835" s="592">
        <v>0</v>
      </c>
      <c r="J1835" s="592"/>
      <c r="K1835" s="593">
        <f t="shared" si="1200"/>
        <v>0</v>
      </c>
      <c r="L1835" s="594"/>
      <c r="M1835" s="92"/>
      <c r="N1835" s="92"/>
      <c r="O1835" s="93">
        <f t="shared" si="1219"/>
        <v>0</v>
      </c>
      <c r="P1835" s="93">
        <f t="shared" si="1220"/>
        <v>0</v>
      </c>
      <c r="Q1835" s="94"/>
      <c r="R1835" s="92">
        <f t="shared" si="1221"/>
        <v>0</v>
      </c>
      <c r="S1835" s="92">
        <f t="shared" si="1222"/>
        <v>0</v>
      </c>
      <c r="T1835" s="93">
        <f t="shared" si="1223"/>
        <v>0</v>
      </c>
      <c r="U1835" s="95">
        <f t="shared" si="1224"/>
        <v>0</v>
      </c>
      <c r="V1835" s="94"/>
      <c r="W1835" s="96" t="str">
        <f>IF(U1833&gt;0,"xx",IF(P1833&gt;0,"xy",""))</f>
        <v/>
      </c>
      <c r="X1835" s="580" t="str">
        <f t="shared" si="1225"/>
        <v/>
      </c>
      <c r="Y1835" s="580" t="str">
        <f t="shared" si="1226"/>
        <v/>
      </c>
      <c r="Z1835" s="580" t="str">
        <f t="shared" si="1227"/>
        <v/>
      </c>
    </row>
    <row r="1836" spans="1:26" hidden="1" x14ac:dyDescent="0.2">
      <c r="A1836" s="97" t="s">
        <v>165</v>
      </c>
      <c r="B1836" s="1031" t="s">
        <v>165</v>
      </c>
      <c r="C1836" s="978"/>
      <c r="D1836" s="595" t="s">
        <v>261</v>
      </c>
      <c r="E1836" s="596"/>
      <c r="F1836" s="671">
        <v>20</v>
      </c>
      <c r="G1836" s="597">
        <v>1.1100000000000001</v>
      </c>
      <c r="H1836" s="682">
        <f>IF(F1836=0,0,IF(F1836&lt;=30,(0.7*F1836+1.45)*G1836,((0.7*30+1.45)+0.58*(F1836-30))*G1836))</f>
        <v>17.1495</v>
      </c>
      <c r="I1836" s="592">
        <v>0</v>
      </c>
      <c r="J1836" s="592"/>
      <c r="K1836" s="593">
        <f t="shared" si="1200"/>
        <v>0</v>
      </c>
      <c r="L1836" s="594"/>
      <c r="M1836" s="92"/>
      <c r="N1836" s="92"/>
      <c r="O1836" s="93">
        <f t="shared" si="1219"/>
        <v>0</v>
      </c>
      <c r="P1836" s="93">
        <f t="shared" si="1220"/>
        <v>0</v>
      </c>
      <c r="Q1836" s="94"/>
      <c r="R1836" s="92">
        <f t="shared" si="1221"/>
        <v>0</v>
      </c>
      <c r="S1836" s="92">
        <f t="shared" si="1222"/>
        <v>0</v>
      </c>
      <c r="T1836" s="93">
        <f t="shared" si="1223"/>
        <v>0</v>
      </c>
      <c r="U1836" s="95">
        <f t="shared" si="1224"/>
        <v>0</v>
      </c>
      <c r="V1836" s="94"/>
      <c r="W1836" s="96" t="str">
        <f>IF(U1833&gt;0,"xx",IF(P1833&gt;0,"xy",""))</f>
        <v/>
      </c>
      <c r="X1836" s="580" t="str">
        <f t="shared" si="1225"/>
        <v/>
      </c>
      <c r="Y1836" s="580" t="str">
        <f t="shared" si="1226"/>
        <v/>
      </c>
      <c r="Z1836" s="580" t="str">
        <f t="shared" si="1227"/>
        <v/>
      </c>
    </row>
    <row r="1837" spans="1:26" hidden="1" x14ac:dyDescent="0.2">
      <c r="A1837" s="1008">
        <v>605700</v>
      </c>
      <c r="B1837" s="1010">
        <v>605700</v>
      </c>
      <c r="C1837" s="978" t="s">
        <v>212</v>
      </c>
      <c r="D1837" s="595" t="s">
        <v>1108</v>
      </c>
      <c r="E1837" s="596"/>
      <c r="F1837" s="671"/>
      <c r="G1837" s="597"/>
      <c r="H1837" s="682">
        <f>SUM(H1838:H1840)</f>
        <v>200.74714999999998</v>
      </c>
      <c r="I1837" s="592">
        <v>447.77</v>
      </c>
      <c r="J1837" s="592">
        <f>IF(ISBLANK(I1837),"",SUM(H1837:I1837))</f>
        <v>648.5171499999999</v>
      </c>
      <c r="K1837" s="593">
        <f t="shared" si="1200"/>
        <v>789.31</v>
      </c>
      <c r="L1837" s="594" t="s">
        <v>16</v>
      </c>
      <c r="M1837" s="92"/>
      <c r="N1837" s="92"/>
      <c r="O1837" s="93">
        <f t="shared" si="1219"/>
        <v>0</v>
      </c>
      <c r="P1837" s="93">
        <f t="shared" si="1220"/>
        <v>0</v>
      </c>
      <c r="Q1837" s="94"/>
      <c r="R1837" s="92">
        <f t="shared" si="1221"/>
        <v>0</v>
      </c>
      <c r="S1837" s="92">
        <f t="shared" si="1222"/>
        <v>0</v>
      </c>
      <c r="T1837" s="93">
        <f t="shared" si="1223"/>
        <v>0</v>
      </c>
      <c r="U1837" s="95">
        <f t="shared" si="1224"/>
        <v>0</v>
      </c>
      <c r="V1837" s="94"/>
      <c r="X1837" s="580" t="str">
        <f t="shared" si="1225"/>
        <v/>
      </c>
      <c r="Y1837" s="580" t="str">
        <f t="shared" si="1226"/>
        <v/>
      </c>
      <c r="Z1837" s="580" t="str">
        <f t="shared" si="1227"/>
        <v/>
      </c>
    </row>
    <row r="1838" spans="1:26" hidden="1" x14ac:dyDescent="0.2">
      <c r="A1838" s="97" t="s">
        <v>165</v>
      </c>
      <c r="B1838" s="1031" t="s">
        <v>165</v>
      </c>
      <c r="C1838" s="978"/>
      <c r="D1838" s="595" t="s">
        <v>218</v>
      </c>
      <c r="E1838" s="596"/>
      <c r="F1838" s="671">
        <v>500</v>
      </c>
      <c r="G1838" s="597">
        <v>0.43</v>
      </c>
      <c r="H1838" s="682">
        <f>IF(F1838&lt;=30,(0.51*F1838+4.28)*G1838,((0.51*30+4.28)+0.42*(F1838-30))*G1838)</f>
        <v>93.301400000000001</v>
      </c>
      <c r="I1838" s="592">
        <v>0</v>
      </c>
      <c r="J1838" s="592"/>
      <c r="K1838" s="593">
        <f t="shared" si="1200"/>
        <v>0</v>
      </c>
      <c r="L1838" s="594"/>
      <c r="M1838" s="92"/>
      <c r="N1838" s="92"/>
      <c r="O1838" s="93">
        <f t="shared" si="1219"/>
        <v>0</v>
      </c>
      <c r="P1838" s="93">
        <f t="shared" si="1220"/>
        <v>0</v>
      </c>
      <c r="Q1838" s="94"/>
      <c r="R1838" s="92">
        <f t="shared" si="1221"/>
        <v>0</v>
      </c>
      <c r="S1838" s="92">
        <f t="shared" si="1222"/>
        <v>0</v>
      </c>
      <c r="T1838" s="93">
        <f t="shared" si="1223"/>
        <v>0</v>
      </c>
      <c r="U1838" s="95">
        <f t="shared" si="1224"/>
        <v>0</v>
      </c>
      <c r="V1838" s="94"/>
      <c r="W1838" s="96" t="str">
        <f>IF(U1837&gt;0,"xx",IF(P1837&gt;0,"xy",""))</f>
        <v/>
      </c>
      <c r="X1838" s="580" t="str">
        <f t="shared" si="1225"/>
        <v/>
      </c>
      <c r="Y1838" s="580" t="str">
        <f t="shared" si="1226"/>
        <v/>
      </c>
      <c r="Z1838" s="580" t="str">
        <f t="shared" si="1227"/>
        <v/>
      </c>
    </row>
    <row r="1839" spans="1:26" hidden="1" x14ac:dyDescent="0.2">
      <c r="A1839" s="97" t="s">
        <v>165</v>
      </c>
      <c r="B1839" s="1031" t="s">
        <v>165</v>
      </c>
      <c r="C1839" s="978"/>
      <c r="D1839" s="595" t="s">
        <v>257</v>
      </c>
      <c r="E1839" s="596"/>
      <c r="F1839" s="671">
        <v>180</v>
      </c>
      <c r="G1839" s="597">
        <v>0.82499999999999996</v>
      </c>
      <c r="H1839" s="682">
        <f>IF(F1839=0,0,IF(F1839&lt;=30,(0.7*F1839+1.45)*G1839,((0.7*30+1.45)+0.58*(F1839-30))*G1839))</f>
        <v>90.296250000000001</v>
      </c>
      <c r="I1839" s="592">
        <v>0</v>
      </c>
      <c r="J1839" s="592"/>
      <c r="K1839" s="593">
        <f t="shared" si="1200"/>
        <v>0</v>
      </c>
      <c r="L1839" s="594"/>
      <c r="M1839" s="92"/>
      <c r="N1839" s="92"/>
      <c r="O1839" s="93">
        <f t="shared" si="1219"/>
        <v>0</v>
      </c>
      <c r="P1839" s="93">
        <f t="shared" si="1220"/>
        <v>0</v>
      </c>
      <c r="Q1839" s="94"/>
      <c r="R1839" s="92">
        <f t="shared" si="1221"/>
        <v>0</v>
      </c>
      <c r="S1839" s="92">
        <f t="shared" si="1222"/>
        <v>0</v>
      </c>
      <c r="T1839" s="93">
        <f t="shared" si="1223"/>
        <v>0</v>
      </c>
      <c r="U1839" s="95">
        <f t="shared" si="1224"/>
        <v>0</v>
      </c>
      <c r="V1839" s="94"/>
      <c r="W1839" s="96" t="str">
        <f>IF(U1837&gt;0,"xx",IF(P1837&gt;0,"xy",""))</f>
        <v/>
      </c>
      <c r="X1839" s="580" t="str">
        <f t="shared" si="1225"/>
        <v/>
      </c>
      <c r="Y1839" s="580" t="str">
        <f t="shared" si="1226"/>
        <v/>
      </c>
      <c r="Z1839" s="580" t="str">
        <f t="shared" si="1227"/>
        <v/>
      </c>
    </row>
    <row r="1840" spans="1:26" hidden="1" x14ac:dyDescent="0.2">
      <c r="A1840" s="97" t="s">
        <v>165</v>
      </c>
      <c r="B1840" s="1031" t="s">
        <v>165</v>
      </c>
      <c r="C1840" s="978"/>
      <c r="D1840" s="595" t="s">
        <v>261</v>
      </c>
      <c r="E1840" s="596"/>
      <c r="F1840" s="671">
        <v>20</v>
      </c>
      <c r="G1840" s="597">
        <v>1.1100000000000001</v>
      </c>
      <c r="H1840" s="682">
        <f>IF(F1840=0,0,IF(F1840&lt;=30,(0.7*F1840+1.45)*G1840,((0.7*30+1.45)+0.58*(F1840-30))*G1840))</f>
        <v>17.1495</v>
      </c>
      <c r="I1840" s="592">
        <v>0</v>
      </c>
      <c r="J1840" s="592"/>
      <c r="K1840" s="593">
        <f t="shared" si="1200"/>
        <v>0</v>
      </c>
      <c r="L1840" s="594"/>
      <c r="M1840" s="92"/>
      <c r="N1840" s="92"/>
      <c r="O1840" s="93">
        <f t="shared" si="1219"/>
        <v>0</v>
      </c>
      <c r="P1840" s="93">
        <f t="shared" si="1220"/>
        <v>0</v>
      </c>
      <c r="Q1840" s="94"/>
      <c r="R1840" s="92">
        <f t="shared" si="1221"/>
        <v>0</v>
      </c>
      <c r="S1840" s="92">
        <f t="shared" si="1222"/>
        <v>0</v>
      </c>
      <c r="T1840" s="93">
        <f t="shared" si="1223"/>
        <v>0</v>
      </c>
      <c r="U1840" s="95">
        <f t="shared" si="1224"/>
        <v>0</v>
      </c>
      <c r="V1840" s="94"/>
      <c r="W1840" s="96" t="str">
        <f>IF(U1837&gt;0,"xx",IF(P1837&gt;0,"xy",""))</f>
        <v/>
      </c>
      <c r="X1840" s="580" t="str">
        <f t="shared" si="1225"/>
        <v/>
      </c>
      <c r="Y1840" s="580" t="str">
        <f t="shared" si="1226"/>
        <v/>
      </c>
      <c r="Z1840" s="580" t="str">
        <f t="shared" si="1227"/>
        <v/>
      </c>
    </row>
    <row r="1841" spans="1:26" hidden="1" x14ac:dyDescent="0.2">
      <c r="A1841" s="1008">
        <v>605800</v>
      </c>
      <c r="B1841" s="1010">
        <v>605800</v>
      </c>
      <c r="C1841" s="978" t="s">
        <v>212</v>
      </c>
      <c r="D1841" s="595" t="s">
        <v>1109</v>
      </c>
      <c r="E1841" s="596"/>
      <c r="F1841" s="671"/>
      <c r="G1841" s="597"/>
      <c r="H1841" s="682">
        <f>SUM(H1842:H1844)</f>
        <v>201.83204999999998</v>
      </c>
      <c r="I1841" s="592">
        <v>450.04999999999995</v>
      </c>
      <c r="J1841" s="592">
        <f>IF(ISBLANK(I1841),"",SUM(H1841:I1841))</f>
        <v>651.88204999999994</v>
      </c>
      <c r="K1841" s="593">
        <f t="shared" si="1200"/>
        <v>793.41</v>
      </c>
      <c r="L1841" s="594" t="s">
        <v>16</v>
      </c>
      <c r="M1841" s="92"/>
      <c r="N1841" s="92"/>
      <c r="O1841" s="93">
        <f t="shared" ref="O1841:O1844" si="1228">IF(ISBLANK(M1841),0,ROUND(K1841*M1841,2))</f>
        <v>0</v>
      </c>
      <c r="P1841" s="93">
        <f t="shared" ref="P1841:P1844" si="1229">IF(ISBLANK(N1841),0,ROUND(M1841*N1841,2))</f>
        <v>0</v>
      </c>
      <c r="Q1841" s="94"/>
      <c r="R1841" s="92">
        <f t="shared" ref="R1841:R1844" si="1230">M1841</f>
        <v>0</v>
      </c>
      <c r="S1841" s="92">
        <f t="shared" ref="S1841:S1844" si="1231">N1841</f>
        <v>0</v>
      </c>
      <c r="T1841" s="93">
        <f t="shared" ref="T1841:T1844" si="1232">IF(ISBLANK(R1841),0,ROUND(K1841*R1841,2))</f>
        <v>0</v>
      </c>
      <c r="U1841" s="95">
        <f t="shared" ref="U1841:U1844" si="1233">IF(ISBLANK(R1841),0,ROUND(R1841*S1841,2))</f>
        <v>0</v>
      </c>
      <c r="V1841" s="94"/>
      <c r="X1841" s="580" t="str">
        <f t="shared" ref="X1841:X1844" si="1234">IF(W1841="X","x",IF(W1841="xx","x",IF(W1841="xy","x",IF(W1841="y","x",IF(OR(P1841&gt;0,U1841&gt;0),"x","")))))</f>
        <v/>
      </c>
      <c r="Y1841" s="580" t="str">
        <f t="shared" ref="Y1841:Y1844" si="1235">IF(W1841="X","x",IF(W1841="y","x",IF(W1841="xx","x",IF(U1841&gt;0,"x",""))))</f>
        <v/>
      </c>
      <c r="Z1841" s="580" t="str">
        <f t="shared" ref="Z1841:Z1844" si="1236">IF(W1841="X","x",IF(U1841&gt;0,"x",""))</f>
        <v/>
      </c>
    </row>
    <row r="1842" spans="1:26" hidden="1" x14ac:dyDescent="0.2">
      <c r="A1842" s="97" t="s">
        <v>165</v>
      </c>
      <c r="B1842" s="1031" t="s">
        <v>165</v>
      </c>
      <c r="C1842" s="978"/>
      <c r="D1842" s="595" t="s">
        <v>218</v>
      </c>
      <c r="E1842" s="596"/>
      <c r="F1842" s="671">
        <v>500</v>
      </c>
      <c r="G1842" s="597">
        <v>0.435</v>
      </c>
      <c r="H1842" s="682">
        <f>IF(F1842&lt;=30,(0.51*F1842+4.28)*G1842,((0.51*30+4.28)+0.42*(F1842-30))*G1842)</f>
        <v>94.386300000000006</v>
      </c>
      <c r="I1842" s="592">
        <v>0</v>
      </c>
      <c r="J1842" s="592"/>
      <c r="K1842" s="593">
        <f t="shared" si="1200"/>
        <v>0</v>
      </c>
      <c r="L1842" s="594"/>
      <c r="M1842" s="92"/>
      <c r="N1842" s="92"/>
      <c r="O1842" s="93">
        <f t="shared" si="1228"/>
        <v>0</v>
      </c>
      <c r="P1842" s="93">
        <f t="shared" si="1229"/>
        <v>0</v>
      </c>
      <c r="Q1842" s="94"/>
      <c r="R1842" s="92">
        <f t="shared" si="1230"/>
        <v>0</v>
      </c>
      <c r="S1842" s="92">
        <f t="shared" si="1231"/>
        <v>0</v>
      </c>
      <c r="T1842" s="93">
        <f t="shared" si="1232"/>
        <v>0</v>
      </c>
      <c r="U1842" s="95">
        <f t="shared" si="1233"/>
        <v>0</v>
      </c>
      <c r="V1842" s="94"/>
      <c r="W1842" s="96" t="str">
        <f>IF(U1841&gt;0,"xx",IF(P1841&gt;0,"xy",""))</f>
        <v/>
      </c>
      <c r="X1842" s="580" t="str">
        <f t="shared" si="1234"/>
        <v/>
      </c>
      <c r="Y1842" s="580" t="str">
        <f t="shared" si="1235"/>
        <v/>
      </c>
      <c r="Z1842" s="580" t="str">
        <f t="shared" si="1236"/>
        <v/>
      </c>
    </row>
    <row r="1843" spans="1:26" hidden="1" x14ac:dyDescent="0.2">
      <c r="A1843" s="97" t="s">
        <v>165</v>
      </c>
      <c r="B1843" s="1031" t="s">
        <v>165</v>
      </c>
      <c r="C1843" s="978"/>
      <c r="D1843" s="595" t="s">
        <v>257</v>
      </c>
      <c r="E1843" s="596"/>
      <c r="F1843" s="671">
        <v>180</v>
      </c>
      <c r="G1843" s="597">
        <v>0.82499999999999996</v>
      </c>
      <c r="H1843" s="682">
        <f>IF(F1843=0,0,IF(F1843&lt;=30,(0.7*F1843+1.45)*G1843,((0.7*30+1.45)+0.58*(F1843-30))*G1843))</f>
        <v>90.296250000000001</v>
      </c>
      <c r="I1843" s="592">
        <v>0</v>
      </c>
      <c r="J1843" s="592"/>
      <c r="K1843" s="593">
        <f t="shared" si="1200"/>
        <v>0</v>
      </c>
      <c r="L1843" s="594"/>
      <c r="M1843" s="92"/>
      <c r="N1843" s="92"/>
      <c r="O1843" s="93">
        <f t="shared" si="1228"/>
        <v>0</v>
      </c>
      <c r="P1843" s="93">
        <f t="shared" si="1229"/>
        <v>0</v>
      </c>
      <c r="Q1843" s="94"/>
      <c r="R1843" s="92">
        <f t="shared" si="1230"/>
        <v>0</v>
      </c>
      <c r="S1843" s="92">
        <f t="shared" si="1231"/>
        <v>0</v>
      </c>
      <c r="T1843" s="93">
        <f t="shared" si="1232"/>
        <v>0</v>
      </c>
      <c r="U1843" s="95">
        <f t="shared" si="1233"/>
        <v>0</v>
      </c>
      <c r="V1843" s="94"/>
      <c r="W1843" s="96" t="str">
        <f>IF(U1841&gt;0,"xx",IF(P1841&gt;0,"xy",""))</f>
        <v/>
      </c>
      <c r="X1843" s="580" t="str">
        <f t="shared" si="1234"/>
        <v/>
      </c>
      <c r="Y1843" s="580" t="str">
        <f t="shared" si="1235"/>
        <v/>
      </c>
      <c r="Z1843" s="580" t="str">
        <f t="shared" si="1236"/>
        <v/>
      </c>
    </row>
    <row r="1844" spans="1:26" hidden="1" x14ac:dyDescent="0.2">
      <c r="A1844" s="97" t="s">
        <v>165</v>
      </c>
      <c r="B1844" s="1031" t="s">
        <v>165</v>
      </c>
      <c r="C1844" s="978"/>
      <c r="D1844" s="595" t="s">
        <v>261</v>
      </c>
      <c r="E1844" s="596"/>
      <c r="F1844" s="671">
        <v>20</v>
      </c>
      <c r="G1844" s="597">
        <v>1.1100000000000001</v>
      </c>
      <c r="H1844" s="682">
        <f>IF(F1844=0,0,IF(F1844&lt;=30,(0.7*F1844+1.45)*G1844,((0.7*30+1.45)+0.58*(F1844-30))*G1844))</f>
        <v>17.1495</v>
      </c>
      <c r="I1844" s="592">
        <v>0</v>
      </c>
      <c r="J1844" s="592"/>
      <c r="K1844" s="593">
        <f t="shared" si="1200"/>
        <v>0</v>
      </c>
      <c r="L1844" s="594"/>
      <c r="M1844" s="92"/>
      <c r="N1844" s="92"/>
      <c r="O1844" s="93">
        <f t="shared" si="1228"/>
        <v>0</v>
      </c>
      <c r="P1844" s="93">
        <f t="shared" si="1229"/>
        <v>0</v>
      </c>
      <c r="Q1844" s="94"/>
      <c r="R1844" s="92">
        <f t="shared" si="1230"/>
        <v>0</v>
      </c>
      <c r="S1844" s="92">
        <f t="shared" si="1231"/>
        <v>0</v>
      </c>
      <c r="T1844" s="93">
        <f t="shared" si="1232"/>
        <v>0</v>
      </c>
      <c r="U1844" s="95">
        <f t="shared" si="1233"/>
        <v>0</v>
      </c>
      <c r="V1844" s="94"/>
      <c r="W1844" s="96" t="str">
        <f>IF(U1841&gt;0,"xx",IF(P1841&gt;0,"xy",""))</f>
        <v/>
      </c>
      <c r="X1844" s="580" t="str">
        <f t="shared" si="1234"/>
        <v/>
      </c>
      <c r="Y1844" s="580" t="str">
        <f t="shared" si="1235"/>
        <v/>
      </c>
      <c r="Z1844" s="580" t="str">
        <f t="shared" si="1236"/>
        <v/>
      </c>
    </row>
    <row r="1845" spans="1:26" hidden="1" x14ac:dyDescent="0.2">
      <c r="A1845" s="1008">
        <v>605900</v>
      </c>
      <c r="B1845" s="1010">
        <v>605900</v>
      </c>
      <c r="C1845" s="978" t="s">
        <v>212</v>
      </c>
      <c r="D1845" s="595" t="s">
        <v>1110</v>
      </c>
      <c r="E1845" s="596"/>
      <c r="F1845" s="671"/>
      <c r="G1845" s="597"/>
      <c r="H1845" s="682">
        <f>SUM(H1846:H1848)</f>
        <v>206.67090000000002</v>
      </c>
      <c r="I1845" s="592">
        <v>469.33000000000004</v>
      </c>
      <c r="J1845" s="592">
        <f>IF(ISBLANK(I1845),"",SUM(H1845:I1845))</f>
        <v>676.0009</v>
      </c>
      <c r="K1845" s="593">
        <f t="shared" si="1200"/>
        <v>822.76</v>
      </c>
      <c r="L1845" s="594" t="s">
        <v>16</v>
      </c>
      <c r="M1845" s="92"/>
      <c r="N1845" s="92"/>
      <c r="O1845" s="93">
        <f t="shared" ref="O1845:O1848" si="1237">IF(ISBLANK(M1845),0,ROUND(K1845*M1845,2))</f>
        <v>0</v>
      </c>
      <c r="P1845" s="93">
        <f t="shared" ref="P1845:P1848" si="1238">IF(ISBLANK(N1845),0,ROUND(M1845*N1845,2))</f>
        <v>0</v>
      </c>
      <c r="Q1845" s="94"/>
      <c r="R1845" s="92">
        <f t="shared" ref="R1845:R1848" si="1239">M1845</f>
        <v>0</v>
      </c>
      <c r="S1845" s="92">
        <f t="shared" ref="S1845:S1848" si="1240">N1845</f>
        <v>0</v>
      </c>
      <c r="T1845" s="93">
        <f t="shared" ref="T1845:T1848" si="1241">IF(ISBLANK(R1845),0,ROUND(K1845*R1845,2))</f>
        <v>0</v>
      </c>
      <c r="U1845" s="95">
        <f t="shared" ref="U1845:U1848" si="1242">IF(ISBLANK(R1845),0,ROUND(R1845*S1845,2))</f>
        <v>0</v>
      </c>
      <c r="V1845" s="94"/>
      <c r="X1845" s="580" t="str">
        <f t="shared" ref="X1845:X1848" si="1243">IF(W1845="X","x",IF(W1845="xx","x",IF(W1845="xy","x",IF(W1845="y","x",IF(OR(P1845&gt;0,U1845&gt;0),"x","")))))</f>
        <v/>
      </c>
      <c r="Y1845" s="580" t="str">
        <f t="shared" ref="Y1845:Y1848" si="1244">IF(W1845="X","x",IF(W1845="y","x",IF(W1845="xx","x",IF(U1845&gt;0,"x",""))))</f>
        <v/>
      </c>
      <c r="Z1845" s="580" t="str">
        <f t="shared" ref="Z1845:Z1848" si="1245">IF(W1845="X","x",IF(U1845&gt;0,"x",""))</f>
        <v/>
      </c>
    </row>
    <row r="1846" spans="1:26" hidden="1" x14ac:dyDescent="0.2">
      <c r="A1846" s="97" t="s">
        <v>165</v>
      </c>
      <c r="B1846" s="1031" t="s">
        <v>165</v>
      </c>
      <c r="C1846" s="978"/>
      <c r="D1846" s="595" t="s">
        <v>218</v>
      </c>
      <c r="E1846" s="596"/>
      <c r="F1846" s="671">
        <v>500</v>
      </c>
      <c r="G1846" s="597">
        <v>0.48</v>
      </c>
      <c r="H1846" s="682">
        <f>IF(F1846&lt;=30,(0.51*F1846+4.28)*G1846,((0.51*30+4.28)+0.42*(F1846-30))*G1846)</f>
        <v>104.1504</v>
      </c>
      <c r="I1846" s="592">
        <v>0</v>
      </c>
      <c r="J1846" s="592"/>
      <c r="K1846" s="593">
        <f t="shared" si="1200"/>
        <v>0</v>
      </c>
      <c r="L1846" s="594"/>
      <c r="M1846" s="92"/>
      <c r="N1846" s="92"/>
      <c r="O1846" s="93">
        <f t="shared" si="1237"/>
        <v>0</v>
      </c>
      <c r="P1846" s="93">
        <f t="shared" si="1238"/>
        <v>0</v>
      </c>
      <c r="Q1846" s="94"/>
      <c r="R1846" s="92">
        <f t="shared" si="1239"/>
        <v>0</v>
      </c>
      <c r="S1846" s="92">
        <f t="shared" si="1240"/>
        <v>0</v>
      </c>
      <c r="T1846" s="93">
        <f t="shared" si="1241"/>
        <v>0</v>
      </c>
      <c r="U1846" s="95">
        <f t="shared" si="1242"/>
        <v>0</v>
      </c>
      <c r="V1846" s="94"/>
      <c r="W1846" s="96" t="str">
        <f>IF(U1845&gt;0,"xx",IF(P1845&gt;0,"xy",""))</f>
        <v/>
      </c>
      <c r="X1846" s="580" t="str">
        <f t="shared" si="1243"/>
        <v/>
      </c>
      <c r="Y1846" s="580" t="str">
        <f t="shared" si="1244"/>
        <v/>
      </c>
      <c r="Z1846" s="580" t="str">
        <f t="shared" si="1245"/>
        <v/>
      </c>
    </row>
    <row r="1847" spans="1:26" hidden="1" x14ac:dyDescent="0.2">
      <c r="A1847" s="97" t="s">
        <v>165</v>
      </c>
      <c r="B1847" s="1031" t="s">
        <v>165</v>
      </c>
      <c r="C1847" s="978"/>
      <c r="D1847" s="595" t="s">
        <v>257</v>
      </c>
      <c r="E1847" s="596"/>
      <c r="F1847" s="671">
        <v>180</v>
      </c>
      <c r="G1847" s="597">
        <v>0.78</v>
      </c>
      <c r="H1847" s="682">
        <f>IF(F1847=0,0,IF(F1847&lt;=30,(0.7*F1847+1.45)*G1847,((0.7*30+1.45)+0.58*(F1847-30))*G1847))</f>
        <v>85.371000000000009</v>
      </c>
      <c r="I1847" s="592">
        <v>0</v>
      </c>
      <c r="J1847" s="592"/>
      <c r="K1847" s="593">
        <f t="shared" si="1200"/>
        <v>0</v>
      </c>
      <c r="L1847" s="594"/>
      <c r="M1847" s="92"/>
      <c r="N1847" s="92"/>
      <c r="O1847" s="93">
        <f t="shared" si="1237"/>
        <v>0</v>
      </c>
      <c r="P1847" s="93">
        <f t="shared" si="1238"/>
        <v>0</v>
      </c>
      <c r="Q1847" s="94"/>
      <c r="R1847" s="92">
        <f t="shared" si="1239"/>
        <v>0</v>
      </c>
      <c r="S1847" s="92">
        <f t="shared" si="1240"/>
        <v>0</v>
      </c>
      <c r="T1847" s="93">
        <f t="shared" si="1241"/>
        <v>0</v>
      </c>
      <c r="U1847" s="95">
        <f t="shared" si="1242"/>
        <v>0</v>
      </c>
      <c r="V1847" s="94"/>
      <c r="W1847" s="96" t="str">
        <f>IF(U1845&gt;0,"xx",IF(P1845&gt;0,"xy",""))</f>
        <v/>
      </c>
      <c r="X1847" s="580" t="str">
        <f t="shared" si="1243"/>
        <v/>
      </c>
      <c r="Y1847" s="580" t="str">
        <f t="shared" si="1244"/>
        <v/>
      </c>
      <c r="Z1847" s="580" t="str">
        <f t="shared" si="1245"/>
        <v/>
      </c>
    </row>
    <row r="1848" spans="1:26" hidden="1" x14ac:dyDescent="0.2">
      <c r="A1848" s="97" t="s">
        <v>165</v>
      </c>
      <c r="B1848" s="1031" t="s">
        <v>165</v>
      </c>
      <c r="C1848" s="978"/>
      <c r="D1848" s="595" t="s">
        <v>261</v>
      </c>
      <c r="E1848" s="596"/>
      <c r="F1848" s="671">
        <v>20</v>
      </c>
      <c r="G1848" s="597">
        <v>1.1100000000000001</v>
      </c>
      <c r="H1848" s="682">
        <f>IF(F1848=0,0,IF(F1848&lt;=30,(0.7*F1848+1.45)*G1848,((0.7*30+1.45)+0.58*(F1848-30))*G1848))</f>
        <v>17.1495</v>
      </c>
      <c r="I1848" s="592">
        <v>0</v>
      </c>
      <c r="J1848" s="592"/>
      <c r="K1848" s="593">
        <f t="shared" si="1200"/>
        <v>0</v>
      </c>
      <c r="L1848" s="594"/>
      <c r="M1848" s="92"/>
      <c r="N1848" s="92"/>
      <c r="O1848" s="93">
        <f t="shared" si="1237"/>
        <v>0</v>
      </c>
      <c r="P1848" s="93">
        <f t="shared" si="1238"/>
        <v>0</v>
      </c>
      <c r="Q1848" s="94"/>
      <c r="R1848" s="92">
        <f t="shared" si="1239"/>
        <v>0</v>
      </c>
      <c r="S1848" s="92">
        <f t="shared" si="1240"/>
        <v>0</v>
      </c>
      <c r="T1848" s="93">
        <f t="shared" si="1241"/>
        <v>0</v>
      </c>
      <c r="U1848" s="95">
        <f t="shared" si="1242"/>
        <v>0</v>
      </c>
      <c r="V1848" s="94"/>
      <c r="W1848" s="96" t="str">
        <f>IF(U1845&gt;0,"xx",IF(P1845&gt;0,"xy",""))</f>
        <v/>
      </c>
      <c r="X1848" s="580" t="str">
        <f t="shared" si="1243"/>
        <v/>
      </c>
      <c r="Y1848" s="580" t="str">
        <f t="shared" si="1244"/>
        <v/>
      </c>
      <c r="Z1848" s="580" t="str">
        <f t="shared" si="1245"/>
        <v/>
      </c>
    </row>
    <row r="1849" spans="1:26" hidden="1" x14ac:dyDescent="0.2">
      <c r="A1849" s="1008">
        <v>606200</v>
      </c>
      <c r="B1849" s="1010" t="s">
        <v>2182</v>
      </c>
      <c r="C1849" s="978" t="s">
        <v>212</v>
      </c>
      <c r="D1849" s="595" t="s">
        <v>1111</v>
      </c>
      <c r="E1849" s="596"/>
      <c r="F1849" s="671"/>
      <c r="G1849" s="597"/>
      <c r="H1849" s="682">
        <f>SUM(H1850:H1852)</f>
        <v>210.33076</v>
      </c>
      <c r="I1849" s="592">
        <v>483.1</v>
      </c>
      <c r="J1849" s="592">
        <f>IF(ISBLANK(I1849),"",SUM(H1849:I1849))</f>
        <v>693.43075999999996</v>
      </c>
      <c r="K1849" s="593">
        <f t="shared" si="1200"/>
        <v>843.97</v>
      </c>
      <c r="L1849" s="594" t="s">
        <v>16</v>
      </c>
      <c r="M1849" s="92"/>
      <c r="N1849" s="92"/>
      <c r="O1849" s="93">
        <f t="shared" ref="O1849:O1852" si="1246">IF(ISBLANK(M1849),0,ROUND(K1849*M1849,2))</f>
        <v>0</v>
      </c>
      <c r="P1849" s="93">
        <f t="shared" ref="P1849:P1852" si="1247">IF(ISBLANK(N1849),0,ROUND(M1849*N1849,2))</f>
        <v>0</v>
      </c>
      <c r="Q1849" s="94"/>
      <c r="R1849" s="92">
        <f t="shared" ref="R1849:R1852" si="1248">M1849</f>
        <v>0</v>
      </c>
      <c r="S1849" s="92">
        <f t="shared" ref="S1849:S1852" si="1249">N1849</f>
        <v>0</v>
      </c>
      <c r="T1849" s="93">
        <f t="shared" ref="T1849:T1852" si="1250">IF(ISBLANK(R1849),0,ROUND(K1849*R1849,2))</f>
        <v>0</v>
      </c>
      <c r="U1849" s="95">
        <f t="shared" ref="U1849:U1852" si="1251">IF(ISBLANK(R1849),0,ROUND(R1849*S1849,2))</f>
        <v>0</v>
      </c>
      <c r="V1849" s="94"/>
      <c r="X1849" s="580" t="str">
        <f t="shared" ref="X1849:X1852" si="1252">IF(W1849="X","x",IF(W1849="xx","x",IF(W1849="xy","x",IF(W1849="y","x",IF(OR(P1849&gt;0,U1849&gt;0),"x","")))))</f>
        <v/>
      </c>
      <c r="Y1849" s="580" t="str">
        <f t="shared" ref="Y1849:Y1852" si="1253">IF(W1849="X","x",IF(W1849="y","x",IF(W1849="xx","x",IF(U1849&gt;0,"x",""))))</f>
        <v/>
      </c>
      <c r="Z1849" s="580" t="str">
        <f t="shared" ref="Z1849:Z1852" si="1254">IF(W1849="X","x",IF(U1849&gt;0,"x",""))</f>
        <v/>
      </c>
    </row>
    <row r="1850" spans="1:26" hidden="1" x14ac:dyDescent="0.2">
      <c r="A1850" s="97" t="s">
        <v>165</v>
      </c>
      <c r="B1850" s="1031" t="s">
        <v>165</v>
      </c>
      <c r="C1850" s="978"/>
      <c r="D1850" s="595" t="s">
        <v>218</v>
      </c>
      <c r="E1850" s="596"/>
      <c r="F1850" s="671">
        <v>500</v>
      </c>
      <c r="G1850" s="597">
        <v>0.51200000000000001</v>
      </c>
      <c r="H1850" s="682">
        <f>IF(F1850&lt;=30,(0.51*F1850+4.28)*G1850,((0.51*30+4.28)+0.42*(F1850-30))*G1850)</f>
        <v>111.09376000000002</v>
      </c>
      <c r="I1850" s="592">
        <v>0</v>
      </c>
      <c r="J1850" s="592"/>
      <c r="K1850" s="593">
        <f t="shared" si="1200"/>
        <v>0</v>
      </c>
      <c r="L1850" s="594"/>
      <c r="M1850" s="92"/>
      <c r="N1850" s="92"/>
      <c r="O1850" s="93">
        <f t="shared" si="1246"/>
        <v>0</v>
      </c>
      <c r="P1850" s="93">
        <f t="shared" si="1247"/>
        <v>0</v>
      </c>
      <c r="Q1850" s="94"/>
      <c r="R1850" s="92">
        <f t="shared" si="1248"/>
        <v>0</v>
      </c>
      <c r="S1850" s="92">
        <f t="shared" si="1249"/>
        <v>0</v>
      </c>
      <c r="T1850" s="93">
        <f t="shared" si="1250"/>
        <v>0</v>
      </c>
      <c r="U1850" s="95">
        <f t="shared" si="1251"/>
        <v>0</v>
      </c>
      <c r="V1850" s="94"/>
      <c r="W1850" s="96" t="str">
        <f>IF(U1849&gt;0,"xx",IF(P1849&gt;0,"xy",""))</f>
        <v/>
      </c>
      <c r="X1850" s="580" t="str">
        <f t="shared" si="1252"/>
        <v/>
      </c>
      <c r="Y1850" s="580" t="str">
        <f t="shared" si="1253"/>
        <v/>
      </c>
      <c r="Z1850" s="580" t="str">
        <f t="shared" si="1254"/>
        <v/>
      </c>
    </row>
    <row r="1851" spans="1:26" hidden="1" x14ac:dyDescent="0.2">
      <c r="A1851" s="97" t="s">
        <v>165</v>
      </c>
      <c r="B1851" s="1031" t="s">
        <v>165</v>
      </c>
      <c r="C1851" s="978"/>
      <c r="D1851" s="595" t="s">
        <v>257</v>
      </c>
      <c r="E1851" s="596"/>
      <c r="F1851" s="671">
        <v>180</v>
      </c>
      <c r="G1851" s="597">
        <v>0.75</v>
      </c>
      <c r="H1851" s="682">
        <f>IF(F1851=0,0,IF(F1851&lt;=30,(0.7*F1851+1.45)*G1851,((0.7*30+1.45)+0.58*(F1851-30))*G1851))</f>
        <v>82.087500000000006</v>
      </c>
      <c r="I1851" s="592">
        <v>0</v>
      </c>
      <c r="J1851" s="592"/>
      <c r="K1851" s="593">
        <f t="shared" si="1200"/>
        <v>0</v>
      </c>
      <c r="L1851" s="594"/>
      <c r="M1851" s="92"/>
      <c r="N1851" s="92"/>
      <c r="O1851" s="93">
        <f t="shared" si="1246"/>
        <v>0</v>
      </c>
      <c r="P1851" s="93">
        <f t="shared" si="1247"/>
        <v>0</v>
      </c>
      <c r="Q1851" s="94"/>
      <c r="R1851" s="92">
        <f t="shared" si="1248"/>
        <v>0</v>
      </c>
      <c r="S1851" s="92">
        <f t="shared" si="1249"/>
        <v>0</v>
      </c>
      <c r="T1851" s="93">
        <f t="shared" si="1250"/>
        <v>0</v>
      </c>
      <c r="U1851" s="95">
        <f t="shared" si="1251"/>
        <v>0</v>
      </c>
      <c r="V1851" s="94"/>
      <c r="W1851" s="96" t="str">
        <f>IF(U1849&gt;0,"xx",IF(P1849&gt;0,"xy",""))</f>
        <v/>
      </c>
      <c r="X1851" s="580" t="str">
        <f t="shared" si="1252"/>
        <v/>
      </c>
      <c r="Y1851" s="580" t="str">
        <f t="shared" si="1253"/>
        <v/>
      </c>
      <c r="Z1851" s="580" t="str">
        <f t="shared" si="1254"/>
        <v/>
      </c>
    </row>
    <row r="1852" spans="1:26" hidden="1" x14ac:dyDescent="0.2">
      <c r="A1852" s="97" t="s">
        <v>165</v>
      </c>
      <c r="B1852" s="1031" t="s">
        <v>165</v>
      </c>
      <c r="C1852" s="978"/>
      <c r="D1852" s="595" t="s">
        <v>261</v>
      </c>
      <c r="E1852" s="596"/>
      <c r="F1852" s="671">
        <v>20</v>
      </c>
      <c r="G1852" s="597">
        <v>1.1100000000000001</v>
      </c>
      <c r="H1852" s="682">
        <f>IF(F1852=0,0,IF(F1852&lt;=30,(0.7*F1852+1.45)*G1852,((0.7*30+1.45)+0.58*(F1852-30))*G1852))</f>
        <v>17.1495</v>
      </c>
      <c r="I1852" s="592">
        <v>0</v>
      </c>
      <c r="J1852" s="592"/>
      <c r="K1852" s="593">
        <f t="shared" si="1200"/>
        <v>0</v>
      </c>
      <c r="L1852" s="594"/>
      <c r="M1852" s="92"/>
      <c r="N1852" s="92"/>
      <c r="O1852" s="93">
        <f t="shared" si="1246"/>
        <v>0</v>
      </c>
      <c r="P1852" s="93">
        <f t="shared" si="1247"/>
        <v>0</v>
      </c>
      <c r="Q1852" s="94"/>
      <c r="R1852" s="92">
        <f t="shared" si="1248"/>
        <v>0</v>
      </c>
      <c r="S1852" s="92">
        <f t="shared" si="1249"/>
        <v>0</v>
      </c>
      <c r="T1852" s="93">
        <f t="shared" si="1250"/>
        <v>0</v>
      </c>
      <c r="U1852" s="95">
        <f t="shared" si="1251"/>
        <v>0</v>
      </c>
      <c r="V1852" s="94"/>
      <c r="W1852" s="96" t="str">
        <f>IF(U1849&gt;0,"xx",IF(P1849&gt;0,"xy",""))</f>
        <v/>
      </c>
      <c r="X1852" s="580" t="str">
        <f t="shared" si="1252"/>
        <v/>
      </c>
      <c r="Y1852" s="580" t="str">
        <f t="shared" si="1253"/>
        <v/>
      </c>
      <c r="Z1852" s="580" t="str">
        <f t="shared" si="1254"/>
        <v/>
      </c>
    </row>
    <row r="1853" spans="1:26" hidden="1" x14ac:dyDescent="0.2">
      <c r="A1853" s="97">
        <v>622000</v>
      </c>
      <c r="B1853" s="1031">
        <v>622000</v>
      </c>
      <c r="C1853" s="978" t="s">
        <v>212</v>
      </c>
      <c r="D1853" s="595" t="s">
        <v>799</v>
      </c>
      <c r="E1853" s="596"/>
      <c r="F1853" s="671"/>
      <c r="G1853" s="597"/>
      <c r="H1853" s="682">
        <f>SUM(H1854:H1857)</f>
        <v>29.314002000000002</v>
      </c>
      <c r="I1853" s="592">
        <v>289.69</v>
      </c>
      <c r="J1853" s="592">
        <f>IF(ISBLANK(I1853),"",SUM(H1853:I1853))</f>
        <v>319.00400200000001</v>
      </c>
      <c r="K1853" s="593">
        <f t="shared" si="1200"/>
        <v>388.26</v>
      </c>
      <c r="L1853" s="594" t="s">
        <v>21</v>
      </c>
      <c r="M1853" s="92"/>
      <c r="N1853" s="92"/>
      <c r="O1853" s="93">
        <f t="shared" si="1144"/>
        <v>0</v>
      </c>
      <c r="P1853" s="93">
        <f t="shared" si="1145"/>
        <v>0</v>
      </c>
      <c r="Q1853" s="94"/>
      <c r="R1853" s="92">
        <f t="shared" si="1146"/>
        <v>0</v>
      </c>
      <c r="S1853" s="92">
        <f t="shared" si="1147"/>
        <v>0</v>
      </c>
      <c r="T1853" s="93">
        <f t="shared" si="1148"/>
        <v>0</v>
      </c>
      <c r="U1853" s="95">
        <f t="shared" si="1149"/>
        <v>0</v>
      </c>
      <c r="V1853" s="94"/>
      <c r="X1853" s="580" t="str">
        <f t="shared" si="1189"/>
        <v/>
      </c>
      <c r="Y1853" s="580" t="str">
        <f t="shared" si="1142"/>
        <v/>
      </c>
      <c r="Z1853" s="580" t="str">
        <f t="shared" si="1152"/>
        <v/>
      </c>
    </row>
    <row r="1854" spans="1:26" hidden="1" x14ac:dyDescent="0.2">
      <c r="A1854" s="97" t="s">
        <v>165</v>
      </c>
      <c r="B1854" s="1031" t="s">
        <v>165</v>
      </c>
      <c r="C1854" s="978"/>
      <c r="D1854" s="595" t="s">
        <v>218</v>
      </c>
      <c r="E1854" s="596"/>
      <c r="F1854" s="671">
        <v>500</v>
      </c>
      <c r="G1854" s="597">
        <v>4.24E-2</v>
      </c>
      <c r="H1854" s="682">
        <f>IF(F1854&lt;=30,(0.51*F1854+4.28)*G1854,((0.51*30+4.28)+0.42*(F1854-30))*G1854)</f>
        <v>9.1999520000000015</v>
      </c>
      <c r="I1854" s="592">
        <v>0</v>
      </c>
      <c r="J1854" s="592"/>
      <c r="K1854" s="593">
        <f t="shared" si="1200"/>
        <v>0</v>
      </c>
      <c r="L1854" s="594"/>
      <c r="M1854" s="92"/>
      <c r="N1854" s="92"/>
      <c r="O1854" s="93">
        <f t="shared" si="1144"/>
        <v>0</v>
      </c>
      <c r="P1854" s="93">
        <f t="shared" si="1145"/>
        <v>0</v>
      </c>
      <c r="Q1854" s="94"/>
      <c r="R1854" s="92">
        <f t="shared" si="1146"/>
        <v>0</v>
      </c>
      <c r="S1854" s="92">
        <f t="shared" si="1147"/>
        <v>0</v>
      </c>
      <c r="T1854" s="93">
        <f t="shared" si="1148"/>
        <v>0</v>
      </c>
      <c r="U1854" s="95">
        <f t="shared" si="1149"/>
        <v>0</v>
      </c>
      <c r="V1854" s="94"/>
      <c r="W1854" s="96" t="str">
        <f>IF(U1853&gt;0,"xx",IF(P1853&gt;0,"xy",""))</f>
        <v/>
      </c>
      <c r="X1854" s="580" t="str">
        <f t="shared" si="1189"/>
        <v/>
      </c>
      <c r="Y1854" s="580" t="str">
        <f t="shared" si="1142"/>
        <v/>
      </c>
      <c r="Z1854" s="580" t="str">
        <f t="shared" si="1152"/>
        <v/>
      </c>
    </row>
    <row r="1855" spans="1:26" hidden="1" x14ac:dyDescent="0.2">
      <c r="A1855" s="97" t="s">
        <v>165</v>
      </c>
      <c r="B1855" s="1031" t="s">
        <v>165</v>
      </c>
      <c r="C1855" s="978"/>
      <c r="D1855" s="595" t="s">
        <v>257</v>
      </c>
      <c r="E1855" s="596"/>
      <c r="F1855" s="671">
        <v>180</v>
      </c>
      <c r="G1855" s="597">
        <v>0.1507</v>
      </c>
      <c r="H1855" s="682">
        <f>IF(F1855=0,0,IF(F1855&lt;=30,(0.7*F1855+1.45)*G1855,((0.7*30+1.45)+0.58*(F1855-30))*G1855))</f>
        <v>16.494115000000001</v>
      </c>
      <c r="I1855" s="592">
        <v>0</v>
      </c>
      <c r="J1855" s="592"/>
      <c r="K1855" s="593">
        <f t="shared" si="1200"/>
        <v>0</v>
      </c>
      <c r="L1855" s="594"/>
      <c r="M1855" s="92"/>
      <c r="N1855" s="92"/>
      <c r="O1855" s="93">
        <f t="shared" si="1144"/>
        <v>0</v>
      </c>
      <c r="P1855" s="93">
        <f t="shared" si="1145"/>
        <v>0</v>
      </c>
      <c r="Q1855" s="94"/>
      <c r="R1855" s="92">
        <f t="shared" si="1146"/>
        <v>0</v>
      </c>
      <c r="S1855" s="92">
        <f t="shared" si="1147"/>
        <v>0</v>
      </c>
      <c r="T1855" s="93">
        <f t="shared" si="1148"/>
        <v>0</v>
      </c>
      <c r="U1855" s="95">
        <f t="shared" si="1149"/>
        <v>0</v>
      </c>
      <c r="V1855" s="94"/>
      <c r="W1855" s="96" t="str">
        <f>IF(U1853&gt;0,"xx",IF(P1853&gt;0,"xy",""))</f>
        <v/>
      </c>
      <c r="X1855" s="580" t="str">
        <f t="shared" si="1189"/>
        <v/>
      </c>
      <c r="Y1855" s="580" t="str">
        <f t="shared" si="1142"/>
        <v/>
      </c>
      <c r="Z1855" s="580" t="str">
        <f t="shared" si="1152"/>
        <v/>
      </c>
    </row>
    <row r="1856" spans="1:26" hidden="1" x14ac:dyDescent="0.2">
      <c r="A1856" s="97" t="s">
        <v>165</v>
      </c>
      <c r="B1856" s="1031" t="s">
        <v>165</v>
      </c>
      <c r="C1856" s="978"/>
      <c r="D1856" s="595" t="s">
        <v>261</v>
      </c>
      <c r="E1856" s="596"/>
      <c r="F1856" s="671">
        <v>20</v>
      </c>
      <c r="G1856" s="597">
        <v>0.17430000000000001</v>
      </c>
      <c r="H1856" s="682">
        <f>IF(F1856=0,0,IF(F1856&lt;=30,(0.7*F1856+1.45)*G1856,((0.7*30+1.45)+0.58*(F1856-30))*G1856))</f>
        <v>2.6929349999999999</v>
      </c>
      <c r="I1856" s="592">
        <v>0</v>
      </c>
      <c r="J1856" s="592"/>
      <c r="K1856" s="593">
        <f t="shared" si="1200"/>
        <v>0</v>
      </c>
      <c r="L1856" s="594"/>
      <c r="M1856" s="92"/>
      <c r="N1856" s="92"/>
      <c r="O1856" s="93">
        <f t="shared" si="1144"/>
        <v>0</v>
      </c>
      <c r="P1856" s="93">
        <f t="shared" si="1145"/>
        <v>0</v>
      </c>
      <c r="Q1856" s="94"/>
      <c r="R1856" s="92">
        <f t="shared" si="1146"/>
        <v>0</v>
      </c>
      <c r="S1856" s="92">
        <f t="shared" si="1147"/>
        <v>0</v>
      </c>
      <c r="T1856" s="93">
        <f t="shared" si="1148"/>
        <v>0</v>
      </c>
      <c r="U1856" s="95">
        <f t="shared" si="1149"/>
        <v>0</v>
      </c>
      <c r="V1856" s="94"/>
      <c r="W1856" s="96" t="str">
        <f>IF(U1853&gt;0,"xx",IF(P1853&gt;0,"xy",""))</f>
        <v/>
      </c>
      <c r="X1856" s="580" t="str">
        <f t="shared" si="1189"/>
        <v/>
      </c>
      <c r="Y1856" s="580" t="str">
        <f t="shared" si="1142"/>
        <v/>
      </c>
      <c r="Z1856" s="580" t="str">
        <f t="shared" si="1152"/>
        <v/>
      </c>
    </row>
    <row r="1857" spans="1:26" hidden="1" x14ac:dyDescent="0.2">
      <c r="A1857" s="97" t="s">
        <v>165</v>
      </c>
      <c r="B1857" s="1031" t="s">
        <v>165</v>
      </c>
      <c r="C1857" s="978"/>
      <c r="D1857" s="595" t="s">
        <v>366</v>
      </c>
      <c r="E1857" s="596"/>
      <c r="F1857" s="671">
        <v>20</v>
      </c>
      <c r="G1857" s="597">
        <v>0.06</v>
      </c>
      <c r="H1857" s="682">
        <f>IF(F1857=0,0,IF(F1857&lt;=30,(0.7*F1857+1.45)*G1857,((0.7*30+1.45)+0.58*(F1857-30))*G1857))</f>
        <v>0.92699999999999994</v>
      </c>
      <c r="I1857" s="592">
        <v>0</v>
      </c>
      <c r="J1857" s="592"/>
      <c r="K1857" s="593">
        <f t="shared" si="1200"/>
        <v>0</v>
      </c>
      <c r="L1857" s="594"/>
      <c r="M1857" s="92"/>
      <c r="N1857" s="92"/>
      <c r="O1857" s="93">
        <f t="shared" si="1144"/>
        <v>0</v>
      </c>
      <c r="P1857" s="93">
        <f t="shared" si="1145"/>
        <v>0</v>
      </c>
      <c r="Q1857" s="94"/>
      <c r="R1857" s="92">
        <f t="shared" si="1146"/>
        <v>0</v>
      </c>
      <c r="S1857" s="92">
        <f t="shared" si="1147"/>
        <v>0</v>
      </c>
      <c r="T1857" s="93">
        <f t="shared" si="1148"/>
        <v>0</v>
      </c>
      <c r="U1857" s="95">
        <f t="shared" si="1149"/>
        <v>0</v>
      </c>
      <c r="V1857" s="94"/>
      <c r="W1857" s="96" t="str">
        <f>IF(U1853&gt;0,"xx",IF(P1853&gt;0,"xy",""))</f>
        <v/>
      </c>
      <c r="X1857" s="580" t="str">
        <f t="shared" si="1189"/>
        <v/>
      </c>
      <c r="Y1857" s="580" t="str">
        <f t="shared" si="1142"/>
        <v/>
      </c>
      <c r="Z1857" s="580" t="str">
        <f t="shared" si="1152"/>
        <v/>
      </c>
    </row>
    <row r="1858" spans="1:26" hidden="1" x14ac:dyDescent="0.2">
      <c r="A1858" s="1008">
        <v>620000</v>
      </c>
      <c r="B1858" s="1010" t="s">
        <v>2185</v>
      </c>
      <c r="C1858" s="978" t="s">
        <v>212</v>
      </c>
      <c r="D1858" s="595" t="s">
        <v>800</v>
      </c>
      <c r="E1858" s="596"/>
      <c r="F1858" s="671"/>
      <c r="G1858" s="597"/>
      <c r="H1858" s="682">
        <f>SUM(H1859:H1861)</f>
        <v>42.586748</v>
      </c>
      <c r="I1858" s="592">
        <v>431.49</v>
      </c>
      <c r="J1858" s="592">
        <f>IF(ISBLANK(I1858),"",SUM(H1858:I1858))</f>
        <v>474.07674800000001</v>
      </c>
      <c r="K1858" s="593">
        <f t="shared" si="1200"/>
        <v>577</v>
      </c>
      <c r="L1858" s="594" t="s">
        <v>21</v>
      </c>
      <c r="M1858" s="92"/>
      <c r="N1858" s="92"/>
      <c r="O1858" s="93">
        <f t="shared" si="1144"/>
        <v>0</v>
      </c>
      <c r="P1858" s="93">
        <f t="shared" si="1145"/>
        <v>0</v>
      </c>
      <c r="Q1858" s="94"/>
      <c r="R1858" s="92">
        <f t="shared" si="1146"/>
        <v>0</v>
      </c>
      <c r="S1858" s="92">
        <f t="shared" si="1147"/>
        <v>0</v>
      </c>
      <c r="T1858" s="93">
        <f t="shared" si="1148"/>
        <v>0</v>
      </c>
      <c r="U1858" s="95">
        <f t="shared" si="1149"/>
        <v>0</v>
      </c>
      <c r="V1858" s="94"/>
      <c r="X1858" s="580" t="str">
        <f t="shared" si="1189"/>
        <v/>
      </c>
      <c r="Y1858" s="580" t="str">
        <f t="shared" si="1142"/>
        <v/>
      </c>
      <c r="Z1858" s="580" t="str">
        <f t="shared" si="1152"/>
        <v/>
      </c>
    </row>
    <row r="1859" spans="1:26" hidden="1" x14ac:dyDescent="0.2">
      <c r="A1859" s="97" t="s">
        <v>165</v>
      </c>
      <c r="B1859" s="1031" t="s">
        <v>165</v>
      </c>
      <c r="C1859" s="978"/>
      <c r="D1859" s="595" t="s">
        <v>218</v>
      </c>
      <c r="E1859" s="596"/>
      <c r="F1859" s="671">
        <v>500</v>
      </c>
      <c r="G1859" s="597">
        <v>6.3600000000000004E-2</v>
      </c>
      <c r="H1859" s="682">
        <f>IF(F1859&lt;=30,(0.51*F1859+4.28)*G1859,((0.51*30+4.28)+0.42*(F1859-30))*G1859)</f>
        <v>13.799928000000001</v>
      </c>
      <c r="I1859" s="592">
        <v>0</v>
      </c>
      <c r="J1859" s="592"/>
      <c r="K1859" s="593">
        <f t="shared" si="1200"/>
        <v>0</v>
      </c>
      <c r="L1859" s="594"/>
      <c r="M1859" s="92"/>
      <c r="N1859" s="92"/>
      <c r="O1859" s="93">
        <f t="shared" si="1144"/>
        <v>0</v>
      </c>
      <c r="P1859" s="93">
        <f t="shared" si="1145"/>
        <v>0</v>
      </c>
      <c r="Q1859" s="94"/>
      <c r="R1859" s="92">
        <f t="shared" si="1146"/>
        <v>0</v>
      </c>
      <c r="S1859" s="92">
        <f t="shared" si="1147"/>
        <v>0</v>
      </c>
      <c r="T1859" s="93">
        <f t="shared" si="1148"/>
        <v>0</v>
      </c>
      <c r="U1859" s="95">
        <f t="shared" si="1149"/>
        <v>0</v>
      </c>
      <c r="V1859" s="94"/>
      <c r="W1859" s="96" t="str">
        <f>IF(U1858&gt;0,"xx",IF(P1858&gt;0,"xy",""))</f>
        <v/>
      </c>
      <c r="X1859" s="580" t="str">
        <f t="shared" si="1189"/>
        <v/>
      </c>
      <c r="Y1859" s="580" t="str">
        <f t="shared" si="1142"/>
        <v/>
      </c>
      <c r="Z1859" s="580" t="str">
        <f t="shared" si="1152"/>
        <v/>
      </c>
    </row>
    <row r="1860" spans="1:26" hidden="1" x14ac:dyDescent="0.2">
      <c r="A1860" s="97" t="s">
        <v>165</v>
      </c>
      <c r="B1860" s="1031" t="s">
        <v>165</v>
      </c>
      <c r="C1860" s="978"/>
      <c r="D1860" s="595" t="s">
        <v>257</v>
      </c>
      <c r="E1860" s="596"/>
      <c r="F1860" s="671">
        <v>180</v>
      </c>
      <c r="G1860" s="597">
        <v>0.2261</v>
      </c>
      <c r="H1860" s="682">
        <f>IF(F1860=0,0,IF(F1860&lt;=30,(0.7*F1860+1.45)*G1860,((0.7*30+1.45)+0.58*(F1860-30))*G1860))</f>
        <v>24.746645000000001</v>
      </c>
      <c r="I1860" s="592">
        <v>0</v>
      </c>
      <c r="J1860" s="592"/>
      <c r="K1860" s="593">
        <f t="shared" si="1200"/>
        <v>0</v>
      </c>
      <c r="L1860" s="594"/>
      <c r="M1860" s="92"/>
      <c r="N1860" s="92"/>
      <c r="O1860" s="93">
        <f t="shared" si="1144"/>
        <v>0</v>
      </c>
      <c r="P1860" s="93">
        <f t="shared" si="1145"/>
        <v>0</v>
      </c>
      <c r="Q1860" s="94"/>
      <c r="R1860" s="92">
        <f t="shared" si="1146"/>
        <v>0</v>
      </c>
      <c r="S1860" s="92">
        <f t="shared" si="1147"/>
        <v>0</v>
      </c>
      <c r="T1860" s="93">
        <f t="shared" si="1148"/>
        <v>0</v>
      </c>
      <c r="U1860" s="95">
        <f t="shared" si="1149"/>
        <v>0</v>
      </c>
      <c r="V1860" s="94"/>
      <c r="W1860" s="96" t="str">
        <f>IF(U1858&gt;0,"xx",IF(P1858&gt;0,"xy",""))</f>
        <v/>
      </c>
      <c r="X1860" s="580" t="str">
        <f t="shared" si="1189"/>
        <v/>
      </c>
      <c r="Y1860" s="580" t="str">
        <f t="shared" si="1142"/>
        <v/>
      </c>
      <c r="Z1860" s="580" t="str">
        <f t="shared" ref="Z1860:Z1942" si="1255">IF(W1860="X","x",IF(U1860&gt;0,"x",""))</f>
        <v/>
      </c>
    </row>
    <row r="1861" spans="1:26" hidden="1" x14ac:dyDescent="0.2">
      <c r="A1861" s="97" t="s">
        <v>165</v>
      </c>
      <c r="B1861" s="1031" t="s">
        <v>165</v>
      </c>
      <c r="C1861" s="978"/>
      <c r="D1861" s="595" t="s">
        <v>261</v>
      </c>
      <c r="E1861" s="596"/>
      <c r="F1861" s="671">
        <v>20</v>
      </c>
      <c r="G1861" s="597">
        <v>0.26150000000000001</v>
      </c>
      <c r="H1861" s="682">
        <f>IF(F1861=0,0,IF(F1861&lt;=30,(0.7*F1861+1.45)*G1861,((0.7*30+1.45)+0.58*(F1861-30))*G1861))</f>
        <v>4.0401749999999996</v>
      </c>
      <c r="I1861" s="592">
        <v>0</v>
      </c>
      <c r="J1861" s="592"/>
      <c r="K1861" s="593">
        <f t="shared" si="1200"/>
        <v>0</v>
      </c>
      <c r="L1861" s="594"/>
      <c r="M1861" s="92"/>
      <c r="N1861" s="92"/>
      <c r="O1861" s="93">
        <f t="shared" si="1144"/>
        <v>0</v>
      </c>
      <c r="P1861" s="93">
        <f t="shared" si="1145"/>
        <v>0</v>
      </c>
      <c r="Q1861" s="94"/>
      <c r="R1861" s="92">
        <f t="shared" si="1146"/>
        <v>0</v>
      </c>
      <c r="S1861" s="92">
        <f t="shared" si="1147"/>
        <v>0</v>
      </c>
      <c r="T1861" s="93">
        <f t="shared" si="1148"/>
        <v>0</v>
      </c>
      <c r="U1861" s="95">
        <f t="shared" si="1149"/>
        <v>0</v>
      </c>
      <c r="V1861" s="94"/>
      <c r="W1861" s="96" t="str">
        <f>IF(U1858&gt;0,"xx",IF(P1858&gt;0,"xy",""))</f>
        <v/>
      </c>
      <c r="X1861" s="580" t="str">
        <f t="shared" si="1189"/>
        <v/>
      </c>
      <c r="Y1861" s="580" t="str">
        <f t="shared" si="1142"/>
        <v/>
      </c>
      <c r="Z1861" s="580" t="str">
        <f t="shared" si="1255"/>
        <v/>
      </c>
    </row>
    <row r="1862" spans="1:26" x14ac:dyDescent="0.2">
      <c r="A1862" s="1008">
        <v>620000</v>
      </c>
      <c r="B1862" s="1107" t="s">
        <v>2183</v>
      </c>
      <c r="C1862" s="1108" t="s">
        <v>212</v>
      </c>
      <c r="D1862" s="1109" t="s">
        <v>373</v>
      </c>
      <c r="E1862" s="1110"/>
      <c r="F1862" s="671"/>
      <c r="G1862" s="597"/>
      <c r="H1862" s="682">
        <f>SUM(H1863:H1865)</f>
        <v>11.0106088</v>
      </c>
      <c r="I1862" s="592">
        <v>763.40000000000009</v>
      </c>
      <c r="J1862" s="592">
        <f t="shared" ref="J1862:J1866" si="1256">IF(ISBLANK(I1862),"",SUM(H1862:I1862))</f>
        <v>774.41060880000009</v>
      </c>
      <c r="K1862" s="593">
        <f t="shared" si="1200"/>
        <v>942.54</v>
      </c>
      <c r="L1862" s="594" t="s">
        <v>21</v>
      </c>
      <c r="M1862" s="92">
        <v>1</v>
      </c>
      <c r="N1862" s="92">
        <v>953.41</v>
      </c>
      <c r="O1862" s="93">
        <f t="shared" si="1144"/>
        <v>942.54</v>
      </c>
      <c r="P1862" s="93">
        <f t="shared" si="1145"/>
        <v>953.41</v>
      </c>
      <c r="Q1862" s="94"/>
      <c r="R1862" s="1111">
        <f t="shared" si="1146"/>
        <v>1</v>
      </c>
      <c r="S1862" s="1111">
        <f>K1862</f>
        <v>942.54</v>
      </c>
      <c r="T1862" s="1112">
        <f t="shared" si="1148"/>
        <v>942.54</v>
      </c>
      <c r="U1862" s="1113">
        <f t="shared" si="1149"/>
        <v>942.54</v>
      </c>
      <c r="V1862" s="1114"/>
      <c r="X1862" s="580" t="str">
        <f t="shared" si="1189"/>
        <v>x</v>
      </c>
      <c r="Y1862" s="580" t="str">
        <f t="shared" si="1142"/>
        <v>x</v>
      </c>
      <c r="Z1862" s="580" t="str">
        <f t="shared" si="1255"/>
        <v>x</v>
      </c>
    </row>
    <row r="1863" spans="1:26" hidden="1" x14ac:dyDescent="0.2">
      <c r="A1863" s="97" t="s">
        <v>165</v>
      </c>
      <c r="B1863" s="1031" t="s">
        <v>165</v>
      </c>
      <c r="C1863" s="978"/>
      <c r="D1863" s="595" t="s">
        <v>218</v>
      </c>
      <c r="E1863" s="596"/>
      <c r="F1863" s="1089">
        <v>97.1</v>
      </c>
      <c r="G1863" s="597">
        <v>0.1154</v>
      </c>
      <c r="H1863" s="682">
        <f>IF(F1863&lt;=30,(0.51*F1863+4.28)*G1863,((0.51*30+4.28)+0.42*(F1863-30))*G1863)</f>
        <v>5.5117348000000002</v>
      </c>
      <c r="I1863" s="592">
        <v>0</v>
      </c>
      <c r="J1863" s="592"/>
      <c r="K1863" s="593">
        <f t="shared" si="1200"/>
        <v>0</v>
      </c>
      <c r="L1863" s="594"/>
      <c r="M1863" s="92"/>
      <c r="N1863" s="92"/>
      <c r="O1863" s="93">
        <f t="shared" si="1144"/>
        <v>0</v>
      </c>
      <c r="P1863" s="93">
        <f t="shared" si="1145"/>
        <v>0</v>
      </c>
      <c r="Q1863" s="94"/>
      <c r="R1863" s="92">
        <f t="shared" si="1146"/>
        <v>0</v>
      </c>
      <c r="S1863" s="92">
        <f t="shared" si="1147"/>
        <v>0</v>
      </c>
      <c r="T1863" s="93">
        <f t="shared" si="1148"/>
        <v>0</v>
      </c>
      <c r="U1863" s="95">
        <f t="shared" si="1149"/>
        <v>0</v>
      </c>
      <c r="V1863" s="94"/>
      <c r="W1863" s="96" t="str">
        <f>IF(U1862&gt;0,"xx",IF(P1862&gt;0,"xy",""))</f>
        <v>xx</v>
      </c>
      <c r="X1863" s="580" t="str">
        <f t="shared" si="1189"/>
        <v>x</v>
      </c>
      <c r="Y1863" s="580" t="str">
        <f t="shared" si="1142"/>
        <v>x</v>
      </c>
      <c r="Z1863" s="580" t="str">
        <f t="shared" si="1255"/>
        <v/>
      </c>
    </row>
    <row r="1864" spans="1:26" hidden="1" x14ac:dyDescent="0.2">
      <c r="A1864" s="97" t="s">
        <v>165</v>
      </c>
      <c r="B1864" s="1031" t="s">
        <v>165</v>
      </c>
      <c r="C1864" s="978"/>
      <c r="D1864" s="595" t="s">
        <v>257</v>
      </c>
      <c r="E1864" s="596"/>
      <c r="F1864" s="1089">
        <v>4.7</v>
      </c>
      <c r="G1864" s="597">
        <v>0.41049999999999998</v>
      </c>
      <c r="H1864" s="682">
        <f>IF(F1864=0,0,IF(F1864&lt;=30,(0.7*F1864+1.45)*G1864,((0.7*30+1.45)+0.58*(F1864-30))*G1864))</f>
        <v>1.94577</v>
      </c>
      <c r="I1864" s="592">
        <v>0</v>
      </c>
      <c r="J1864" s="592"/>
      <c r="K1864" s="593">
        <f t="shared" si="1200"/>
        <v>0</v>
      </c>
      <c r="L1864" s="594"/>
      <c r="M1864" s="92"/>
      <c r="N1864" s="92"/>
      <c r="O1864" s="93">
        <f t="shared" si="1144"/>
        <v>0</v>
      </c>
      <c r="P1864" s="93">
        <f t="shared" si="1145"/>
        <v>0</v>
      </c>
      <c r="Q1864" s="94"/>
      <c r="R1864" s="92">
        <f t="shared" si="1146"/>
        <v>0</v>
      </c>
      <c r="S1864" s="92">
        <f t="shared" si="1147"/>
        <v>0</v>
      </c>
      <c r="T1864" s="93">
        <f t="shared" si="1148"/>
        <v>0</v>
      </c>
      <c r="U1864" s="95">
        <f t="shared" si="1149"/>
        <v>0</v>
      </c>
      <c r="V1864" s="94"/>
      <c r="W1864" s="96" t="str">
        <f>IF(U1862&gt;0,"xx",IF(P1862&gt;0,"xy",""))</f>
        <v>xx</v>
      </c>
      <c r="X1864" s="580" t="str">
        <f t="shared" si="1189"/>
        <v>x</v>
      </c>
      <c r="Y1864" s="580" t="str">
        <f t="shared" si="1142"/>
        <v>x</v>
      </c>
      <c r="Z1864" s="580" t="str">
        <f t="shared" si="1255"/>
        <v/>
      </c>
    </row>
    <row r="1865" spans="1:26" hidden="1" x14ac:dyDescent="0.2">
      <c r="A1865" s="97" t="s">
        <v>165</v>
      </c>
      <c r="B1865" s="1031" t="s">
        <v>165</v>
      </c>
      <c r="C1865" s="978"/>
      <c r="D1865" s="595" t="s">
        <v>261</v>
      </c>
      <c r="E1865" s="596"/>
      <c r="F1865" s="1089">
        <v>4.7</v>
      </c>
      <c r="G1865" s="597">
        <v>0.74960000000000004</v>
      </c>
      <c r="H1865" s="682">
        <f>IF(F1865=0,0,IF(F1865&lt;=30,(0.7*F1865+1.45)*G1865,((0.7*30+1.45)+0.58*(F1865-30))*G1865))</f>
        <v>3.5531040000000003</v>
      </c>
      <c r="I1865" s="592">
        <v>0</v>
      </c>
      <c r="J1865" s="592"/>
      <c r="K1865" s="593">
        <f t="shared" si="1200"/>
        <v>0</v>
      </c>
      <c r="L1865" s="594"/>
      <c r="M1865" s="92"/>
      <c r="N1865" s="92"/>
      <c r="O1865" s="93">
        <f t="shared" si="1144"/>
        <v>0</v>
      </c>
      <c r="P1865" s="93">
        <f t="shared" si="1145"/>
        <v>0</v>
      </c>
      <c r="Q1865" s="94"/>
      <c r="R1865" s="92">
        <f t="shared" si="1146"/>
        <v>0</v>
      </c>
      <c r="S1865" s="92">
        <f t="shared" si="1147"/>
        <v>0</v>
      </c>
      <c r="T1865" s="93">
        <f t="shared" si="1148"/>
        <v>0</v>
      </c>
      <c r="U1865" s="95">
        <f t="shared" si="1149"/>
        <v>0</v>
      </c>
      <c r="V1865" s="94"/>
      <c r="W1865" s="96" t="str">
        <f>IF(U1862&gt;0,"xx",IF(P1862&gt;0,"xy",""))</f>
        <v>xx</v>
      </c>
      <c r="X1865" s="580" t="str">
        <f t="shared" si="1189"/>
        <v>x</v>
      </c>
      <c r="Y1865" s="580" t="str">
        <f t="shared" si="1142"/>
        <v>x</v>
      </c>
      <c r="Z1865" s="580" t="str">
        <f t="shared" si="1255"/>
        <v/>
      </c>
    </row>
    <row r="1866" spans="1:26" hidden="1" x14ac:dyDescent="0.2">
      <c r="A1866" s="1008">
        <v>620000</v>
      </c>
      <c r="B1866" s="1010" t="s">
        <v>2184</v>
      </c>
      <c r="C1866" s="978" t="s">
        <v>212</v>
      </c>
      <c r="D1866" s="595" t="s">
        <v>801</v>
      </c>
      <c r="E1866" s="596"/>
      <c r="F1866" s="671"/>
      <c r="G1866" s="597"/>
      <c r="H1866" s="682">
        <f>SUM(H1867:H1869)</f>
        <v>110.65691300000002</v>
      </c>
      <c r="I1866" s="592">
        <v>948.34</v>
      </c>
      <c r="J1866" s="592">
        <f t="shared" si="1256"/>
        <v>1058.9969129999999</v>
      </c>
      <c r="K1866" s="593">
        <f t="shared" si="1200"/>
        <v>1288.9100000000001</v>
      </c>
      <c r="L1866" s="594" t="s">
        <v>21</v>
      </c>
      <c r="M1866" s="92"/>
      <c r="N1866" s="92"/>
      <c r="O1866" s="93">
        <f t="shared" si="1144"/>
        <v>0</v>
      </c>
      <c r="P1866" s="93">
        <f t="shared" si="1145"/>
        <v>0</v>
      </c>
      <c r="Q1866" s="94"/>
      <c r="R1866" s="92">
        <f t="shared" si="1146"/>
        <v>0</v>
      </c>
      <c r="S1866" s="92">
        <f t="shared" si="1147"/>
        <v>0</v>
      </c>
      <c r="T1866" s="93">
        <f t="shared" si="1148"/>
        <v>0</v>
      </c>
      <c r="U1866" s="95">
        <f t="shared" si="1149"/>
        <v>0</v>
      </c>
      <c r="V1866" s="94"/>
      <c r="X1866" s="580" t="str">
        <f t="shared" si="1189"/>
        <v/>
      </c>
      <c r="Y1866" s="580" t="str">
        <f t="shared" si="1142"/>
        <v/>
      </c>
      <c r="Z1866" s="580" t="str">
        <f t="shared" si="1255"/>
        <v/>
      </c>
    </row>
    <row r="1867" spans="1:26" hidden="1" x14ac:dyDescent="0.2">
      <c r="A1867" s="97" t="s">
        <v>165</v>
      </c>
      <c r="B1867" s="1031" t="s">
        <v>165</v>
      </c>
      <c r="C1867" s="978"/>
      <c r="D1867" s="595" t="s">
        <v>218</v>
      </c>
      <c r="E1867" s="596"/>
      <c r="F1867" s="671">
        <v>500</v>
      </c>
      <c r="G1867" s="597">
        <v>0.15659999999999999</v>
      </c>
      <c r="H1867" s="682">
        <f>IF(F1867&lt;=30,(0.51*F1867+4.28)*G1867,((0.51*30+4.28)+0.42*(F1867-30))*G1867)</f>
        <v>33.979067999999998</v>
      </c>
      <c r="I1867" s="592">
        <v>0</v>
      </c>
      <c r="J1867" s="592"/>
      <c r="K1867" s="593">
        <f t="shared" si="1200"/>
        <v>0</v>
      </c>
      <c r="L1867" s="594"/>
      <c r="M1867" s="92"/>
      <c r="N1867" s="92"/>
      <c r="O1867" s="93">
        <f t="shared" si="1144"/>
        <v>0</v>
      </c>
      <c r="P1867" s="93">
        <f t="shared" si="1145"/>
        <v>0</v>
      </c>
      <c r="Q1867" s="94"/>
      <c r="R1867" s="92">
        <f t="shared" si="1146"/>
        <v>0</v>
      </c>
      <c r="S1867" s="92">
        <f t="shared" si="1147"/>
        <v>0</v>
      </c>
      <c r="T1867" s="93">
        <f t="shared" si="1148"/>
        <v>0</v>
      </c>
      <c r="U1867" s="95">
        <f t="shared" si="1149"/>
        <v>0</v>
      </c>
      <c r="V1867" s="94"/>
      <c r="W1867" s="96" t="str">
        <f>IF(U1866&gt;0,"xx",IF(P1866&gt;0,"xy",""))</f>
        <v/>
      </c>
      <c r="X1867" s="580" t="str">
        <f t="shared" si="1189"/>
        <v/>
      </c>
      <c r="Y1867" s="580" t="str">
        <f t="shared" si="1142"/>
        <v/>
      </c>
      <c r="Z1867" s="580" t="str">
        <f t="shared" si="1255"/>
        <v/>
      </c>
    </row>
    <row r="1868" spans="1:26" hidden="1" x14ac:dyDescent="0.2">
      <c r="A1868" s="97" t="s">
        <v>165</v>
      </c>
      <c r="B1868" s="1031" t="s">
        <v>165</v>
      </c>
      <c r="C1868" s="978"/>
      <c r="D1868" s="595" t="s">
        <v>257</v>
      </c>
      <c r="E1868" s="596"/>
      <c r="F1868" s="671">
        <v>180</v>
      </c>
      <c r="G1868" s="597">
        <v>0.55700000000000005</v>
      </c>
      <c r="H1868" s="682">
        <f>IF(F1868=0,0,IF(F1868&lt;=30,(0.7*F1868+1.45)*G1868,((0.7*30+1.45)+0.58*(F1868-30))*G1868))</f>
        <v>60.963650000000008</v>
      </c>
      <c r="I1868" s="592">
        <v>0</v>
      </c>
      <c r="J1868" s="592"/>
      <c r="K1868" s="593">
        <f t="shared" si="1200"/>
        <v>0</v>
      </c>
      <c r="L1868" s="594"/>
      <c r="M1868" s="92"/>
      <c r="N1868" s="92"/>
      <c r="O1868" s="93">
        <f t="shared" si="1144"/>
        <v>0</v>
      </c>
      <c r="P1868" s="93">
        <f t="shared" si="1145"/>
        <v>0</v>
      </c>
      <c r="Q1868" s="94"/>
      <c r="R1868" s="92">
        <f t="shared" si="1146"/>
        <v>0</v>
      </c>
      <c r="S1868" s="92">
        <f t="shared" si="1147"/>
        <v>0</v>
      </c>
      <c r="T1868" s="93">
        <f t="shared" si="1148"/>
        <v>0</v>
      </c>
      <c r="U1868" s="95">
        <f t="shared" si="1149"/>
        <v>0</v>
      </c>
      <c r="V1868" s="94"/>
      <c r="W1868" s="96" t="str">
        <f>IF(U1866&gt;0,"xx",IF(P1866&gt;0,"xy",""))</f>
        <v/>
      </c>
      <c r="X1868" s="580" t="str">
        <f t="shared" si="1189"/>
        <v/>
      </c>
      <c r="Y1868" s="580" t="str">
        <f t="shared" si="1142"/>
        <v/>
      </c>
      <c r="Z1868" s="580" t="str">
        <f t="shared" si="1255"/>
        <v/>
      </c>
    </row>
    <row r="1869" spans="1:26" hidden="1" x14ac:dyDescent="0.2">
      <c r="A1869" s="97" t="s">
        <v>165</v>
      </c>
      <c r="B1869" s="1031" t="s">
        <v>165</v>
      </c>
      <c r="C1869" s="978"/>
      <c r="D1869" s="595" t="s">
        <v>261</v>
      </c>
      <c r="E1869" s="596"/>
      <c r="F1869" s="671">
        <v>20</v>
      </c>
      <c r="G1869" s="597">
        <v>1.0170999999999999</v>
      </c>
      <c r="H1869" s="682">
        <f>IF(F1869=0,0,IF(F1869&lt;=30,(0.7*F1869+1.45)*G1869,((0.7*30+1.45)+0.58*(F1869-30))*G1869))</f>
        <v>15.714194999999998</v>
      </c>
      <c r="I1869" s="592">
        <v>0</v>
      </c>
      <c r="J1869" s="592"/>
      <c r="K1869" s="593">
        <f t="shared" ref="K1869:K1932" si="1257">IF(ISBLANK(I1869),0,ROUND(J1869*(1+$F$10)*(1+$F$11*E1869),2))</f>
        <v>0</v>
      </c>
      <c r="L1869" s="594"/>
      <c r="M1869" s="92"/>
      <c r="N1869" s="92"/>
      <c r="O1869" s="93">
        <f t="shared" si="1144"/>
        <v>0</v>
      </c>
      <c r="P1869" s="93">
        <f t="shared" si="1145"/>
        <v>0</v>
      </c>
      <c r="Q1869" s="94"/>
      <c r="R1869" s="92">
        <f t="shared" si="1146"/>
        <v>0</v>
      </c>
      <c r="S1869" s="92">
        <f t="shared" si="1147"/>
        <v>0</v>
      </c>
      <c r="T1869" s="93">
        <f t="shared" si="1148"/>
        <v>0</v>
      </c>
      <c r="U1869" s="95">
        <f t="shared" si="1149"/>
        <v>0</v>
      </c>
      <c r="V1869" s="94"/>
      <c r="W1869" s="96" t="str">
        <f>IF(U1866&gt;0,"xx",IF(P1866&gt;0,"xy",""))</f>
        <v/>
      </c>
      <c r="X1869" s="580" t="str">
        <f t="shared" si="1189"/>
        <v/>
      </c>
      <c r="Y1869" s="580" t="str">
        <f t="shared" si="1142"/>
        <v/>
      </c>
      <c r="Z1869" s="580" t="str">
        <f t="shared" si="1255"/>
        <v/>
      </c>
    </row>
    <row r="1870" spans="1:26" hidden="1" x14ac:dyDescent="0.2">
      <c r="A1870" s="1008">
        <v>620100</v>
      </c>
      <c r="B1870" s="1010" t="s">
        <v>2186</v>
      </c>
      <c r="C1870" s="978" t="s">
        <v>212</v>
      </c>
      <c r="D1870" s="595" t="s">
        <v>374</v>
      </c>
      <c r="E1870" s="596"/>
      <c r="F1870" s="671"/>
      <c r="G1870" s="597"/>
      <c r="H1870" s="682">
        <f>SUM(H1871:H1873)</f>
        <v>18.870917600000002</v>
      </c>
      <c r="I1870" s="592">
        <v>1133.27</v>
      </c>
      <c r="J1870" s="592">
        <f t="shared" ref="J1870" si="1258">IF(ISBLANK(I1870),"",SUM(H1870:I1870))</f>
        <v>1152.1409176</v>
      </c>
      <c r="K1870" s="593">
        <f t="shared" si="1257"/>
        <v>1402.27</v>
      </c>
      <c r="L1870" s="594" t="s">
        <v>21</v>
      </c>
      <c r="M1870" s="92"/>
      <c r="N1870" s="92">
        <v>1392.92</v>
      </c>
      <c r="O1870" s="93">
        <f t="shared" si="1144"/>
        <v>0</v>
      </c>
      <c r="P1870" s="93">
        <f t="shared" si="1145"/>
        <v>0</v>
      </c>
      <c r="Q1870" s="94"/>
      <c r="R1870" s="92">
        <f t="shared" si="1146"/>
        <v>0</v>
      </c>
      <c r="S1870" s="92">
        <f t="shared" si="1147"/>
        <v>1392.92</v>
      </c>
      <c r="T1870" s="93">
        <f t="shared" si="1148"/>
        <v>0</v>
      </c>
      <c r="U1870" s="95">
        <f t="shared" si="1149"/>
        <v>0</v>
      </c>
      <c r="V1870" s="94"/>
      <c r="X1870" s="580" t="str">
        <f t="shared" si="1189"/>
        <v/>
      </c>
      <c r="Y1870" s="580" t="str">
        <f t="shared" si="1142"/>
        <v/>
      </c>
      <c r="Z1870" s="580" t="str">
        <f t="shared" si="1255"/>
        <v/>
      </c>
    </row>
    <row r="1871" spans="1:26" hidden="1" x14ac:dyDescent="0.2">
      <c r="A1871" s="97" t="s">
        <v>165</v>
      </c>
      <c r="B1871" s="1031" t="s">
        <v>165</v>
      </c>
      <c r="C1871" s="978"/>
      <c r="D1871" s="595" t="s">
        <v>218</v>
      </c>
      <c r="E1871" s="596"/>
      <c r="F1871" s="1089">
        <v>97.1</v>
      </c>
      <c r="G1871" s="597">
        <v>0.1978</v>
      </c>
      <c r="H1871" s="682">
        <f>IF(F1871&lt;=30,(0.51*F1871+4.28)*G1871,((0.51*30+4.28)+0.42*(F1871-30))*G1871)</f>
        <v>9.4473236000000007</v>
      </c>
      <c r="I1871" s="592">
        <v>0</v>
      </c>
      <c r="J1871" s="592"/>
      <c r="K1871" s="593">
        <f t="shared" si="1257"/>
        <v>0</v>
      </c>
      <c r="L1871" s="594"/>
      <c r="M1871" s="92"/>
      <c r="N1871" s="92"/>
      <c r="O1871" s="93">
        <f t="shared" si="1144"/>
        <v>0</v>
      </c>
      <c r="P1871" s="93">
        <f t="shared" si="1145"/>
        <v>0</v>
      </c>
      <c r="Q1871" s="94"/>
      <c r="R1871" s="92">
        <f t="shared" si="1146"/>
        <v>0</v>
      </c>
      <c r="S1871" s="92">
        <f t="shared" si="1147"/>
        <v>0</v>
      </c>
      <c r="T1871" s="93">
        <f t="shared" si="1148"/>
        <v>0</v>
      </c>
      <c r="U1871" s="95">
        <f t="shared" si="1149"/>
        <v>0</v>
      </c>
      <c r="V1871" s="94"/>
      <c r="W1871" s="96" t="str">
        <f>IF(U1870&gt;0,"xx",IF(P1870&gt;0,"xy",""))</f>
        <v/>
      </c>
      <c r="X1871" s="580" t="str">
        <f t="shared" si="1189"/>
        <v/>
      </c>
      <c r="Y1871" s="580" t="str">
        <f t="shared" si="1142"/>
        <v/>
      </c>
      <c r="Z1871" s="580" t="str">
        <f t="shared" si="1255"/>
        <v/>
      </c>
    </row>
    <row r="1872" spans="1:26" hidden="1" x14ac:dyDescent="0.2">
      <c r="A1872" s="97" t="s">
        <v>165</v>
      </c>
      <c r="B1872" s="1031" t="s">
        <v>165</v>
      </c>
      <c r="C1872" s="978"/>
      <c r="D1872" s="595" t="s">
        <v>257</v>
      </c>
      <c r="E1872" s="596"/>
      <c r="F1872" s="1089">
        <v>4.7</v>
      </c>
      <c r="G1872" s="597">
        <v>0.70350000000000001</v>
      </c>
      <c r="H1872" s="682">
        <f>IF(F1872=0,0,IF(F1872&lt;=30,(0.7*F1872+1.45)*G1872,((0.7*30+1.45)+0.58*(F1872-30))*G1872))</f>
        <v>3.3345900000000004</v>
      </c>
      <c r="I1872" s="592">
        <v>0</v>
      </c>
      <c r="J1872" s="592"/>
      <c r="K1872" s="593">
        <f t="shared" si="1257"/>
        <v>0</v>
      </c>
      <c r="L1872" s="594"/>
      <c r="M1872" s="92"/>
      <c r="N1872" s="92"/>
      <c r="O1872" s="93">
        <f t="shared" si="1144"/>
        <v>0</v>
      </c>
      <c r="P1872" s="93">
        <f t="shared" si="1145"/>
        <v>0</v>
      </c>
      <c r="Q1872" s="94"/>
      <c r="R1872" s="92">
        <f t="shared" si="1146"/>
        <v>0</v>
      </c>
      <c r="S1872" s="92">
        <f t="shared" si="1147"/>
        <v>0</v>
      </c>
      <c r="T1872" s="93">
        <f t="shared" si="1148"/>
        <v>0</v>
      </c>
      <c r="U1872" s="95">
        <f t="shared" si="1149"/>
        <v>0</v>
      </c>
      <c r="V1872" s="94"/>
      <c r="W1872" s="96" t="str">
        <f>IF(U1870&gt;0,"xx",IF(P1870&gt;0,"xy",""))</f>
        <v/>
      </c>
      <c r="X1872" s="580" t="str">
        <f t="shared" si="1189"/>
        <v/>
      </c>
      <c r="Y1872" s="580" t="str">
        <f t="shared" si="1142"/>
        <v/>
      </c>
      <c r="Z1872" s="580" t="str">
        <f t="shared" si="1255"/>
        <v/>
      </c>
    </row>
    <row r="1873" spans="1:26" hidden="1" x14ac:dyDescent="0.2">
      <c r="A1873" s="97" t="s">
        <v>165</v>
      </c>
      <c r="B1873" s="1031" t="s">
        <v>165</v>
      </c>
      <c r="C1873" s="978"/>
      <c r="D1873" s="595" t="s">
        <v>261</v>
      </c>
      <c r="E1873" s="596"/>
      <c r="F1873" s="1089">
        <v>4.7</v>
      </c>
      <c r="G1873" s="597">
        <v>1.2846</v>
      </c>
      <c r="H1873" s="682">
        <f>IF(F1873=0,0,IF(F1873&lt;=30,(0.7*F1873+1.45)*G1873,((0.7*30+1.45)+0.58*(F1873-30))*G1873))</f>
        <v>6.0890040000000001</v>
      </c>
      <c r="I1873" s="592">
        <v>0</v>
      </c>
      <c r="J1873" s="592"/>
      <c r="K1873" s="593">
        <f t="shared" si="1257"/>
        <v>0</v>
      </c>
      <c r="L1873" s="594"/>
      <c r="M1873" s="92"/>
      <c r="N1873" s="92"/>
      <c r="O1873" s="93">
        <f t="shared" si="1144"/>
        <v>0</v>
      </c>
      <c r="P1873" s="93">
        <f t="shared" si="1145"/>
        <v>0</v>
      </c>
      <c r="Q1873" s="94"/>
      <c r="R1873" s="92">
        <f t="shared" si="1146"/>
        <v>0</v>
      </c>
      <c r="S1873" s="92">
        <f t="shared" si="1147"/>
        <v>0</v>
      </c>
      <c r="T1873" s="93">
        <f t="shared" si="1148"/>
        <v>0</v>
      </c>
      <c r="U1873" s="95">
        <f t="shared" si="1149"/>
        <v>0</v>
      </c>
      <c r="V1873" s="94"/>
      <c r="W1873" s="96" t="str">
        <f>IF(U1870&gt;0,"xx",IF(P1870&gt;0,"xy",""))</f>
        <v/>
      </c>
      <c r="X1873" s="580" t="str">
        <f t="shared" si="1189"/>
        <v/>
      </c>
      <c r="Y1873" s="580" t="str">
        <f t="shared" si="1142"/>
        <v/>
      </c>
      <c r="Z1873" s="580" t="str">
        <f t="shared" si="1255"/>
        <v/>
      </c>
    </row>
    <row r="1874" spans="1:26" hidden="1" x14ac:dyDescent="0.2">
      <c r="A1874" s="1008">
        <v>620100</v>
      </c>
      <c r="B1874" s="1010" t="s">
        <v>2187</v>
      </c>
      <c r="C1874" s="978" t="s">
        <v>212</v>
      </c>
      <c r="D1874" s="595" t="s">
        <v>802</v>
      </c>
      <c r="E1874" s="596"/>
      <c r="F1874" s="671"/>
      <c r="G1874" s="597"/>
      <c r="H1874" s="682">
        <f>SUM(H1875:H1877)</f>
        <v>155.782082</v>
      </c>
      <c r="I1874" s="592">
        <v>1358.56</v>
      </c>
      <c r="J1874" s="592">
        <f t="shared" ref="J1874" si="1259">IF(ISBLANK(I1874),"",SUM(H1874:I1874))</f>
        <v>1514.3420819999999</v>
      </c>
      <c r="K1874" s="593">
        <f t="shared" si="1257"/>
        <v>1843.11</v>
      </c>
      <c r="L1874" s="594" t="s">
        <v>21</v>
      </c>
      <c r="M1874" s="92"/>
      <c r="N1874" s="92"/>
      <c r="O1874" s="93">
        <f t="shared" si="1144"/>
        <v>0</v>
      </c>
      <c r="P1874" s="93">
        <f t="shared" si="1145"/>
        <v>0</v>
      </c>
      <c r="Q1874" s="94"/>
      <c r="R1874" s="92">
        <f t="shared" si="1146"/>
        <v>0</v>
      </c>
      <c r="S1874" s="92">
        <f t="shared" si="1147"/>
        <v>0</v>
      </c>
      <c r="T1874" s="93">
        <f t="shared" si="1148"/>
        <v>0</v>
      </c>
      <c r="U1874" s="95">
        <f t="shared" si="1149"/>
        <v>0</v>
      </c>
      <c r="V1874" s="94"/>
      <c r="X1874" s="580" t="str">
        <f t="shared" ref="X1874:X1942" si="1260">IF(W1874="X","x",IF(W1874="xx","x",IF(W1874="xy","x",IF(W1874="y","x",IF(OR(P1874&gt;0,U1874&gt;0),"x","")))))</f>
        <v/>
      </c>
      <c r="Y1874" s="580" t="str">
        <f t="shared" si="1142"/>
        <v/>
      </c>
      <c r="Z1874" s="580" t="str">
        <f t="shared" si="1255"/>
        <v/>
      </c>
    </row>
    <row r="1875" spans="1:26" hidden="1" x14ac:dyDescent="0.2">
      <c r="A1875" s="97" t="s">
        <v>165</v>
      </c>
      <c r="B1875" s="1031" t="s">
        <v>165</v>
      </c>
      <c r="C1875" s="978"/>
      <c r="D1875" s="595" t="s">
        <v>218</v>
      </c>
      <c r="E1875" s="596"/>
      <c r="F1875" s="671">
        <v>500</v>
      </c>
      <c r="G1875" s="597">
        <v>0.2424</v>
      </c>
      <c r="H1875" s="682">
        <f>IF(F1875&lt;=30,(0.51*F1875+4.28)*G1875,((0.51*30+4.28)+0.42*(F1875-30))*G1875)</f>
        <v>52.595952000000004</v>
      </c>
      <c r="I1875" s="592">
        <v>0</v>
      </c>
      <c r="J1875" s="592"/>
      <c r="K1875" s="593">
        <f t="shared" si="1257"/>
        <v>0</v>
      </c>
      <c r="L1875" s="594"/>
      <c r="M1875" s="92"/>
      <c r="N1875" s="92"/>
      <c r="O1875" s="93">
        <f t="shared" si="1144"/>
        <v>0</v>
      </c>
      <c r="P1875" s="93">
        <f t="shared" si="1145"/>
        <v>0</v>
      </c>
      <c r="Q1875" s="94"/>
      <c r="R1875" s="92">
        <f t="shared" si="1146"/>
        <v>0</v>
      </c>
      <c r="S1875" s="92">
        <f t="shared" si="1147"/>
        <v>0</v>
      </c>
      <c r="T1875" s="93">
        <f t="shared" si="1148"/>
        <v>0</v>
      </c>
      <c r="U1875" s="95">
        <f t="shared" si="1149"/>
        <v>0</v>
      </c>
      <c r="V1875" s="94"/>
      <c r="W1875" s="96" t="str">
        <f>IF(U1874&gt;0,"xx",IF(P1874&gt;0,"xy",""))</f>
        <v/>
      </c>
      <c r="X1875" s="580" t="str">
        <f t="shared" si="1260"/>
        <v/>
      </c>
      <c r="Y1875" s="580" t="str">
        <f t="shared" si="1142"/>
        <v/>
      </c>
      <c r="Z1875" s="580" t="str">
        <f t="shared" si="1255"/>
        <v/>
      </c>
    </row>
    <row r="1876" spans="1:26" hidden="1" x14ac:dyDescent="0.2">
      <c r="A1876" s="97" t="s">
        <v>165</v>
      </c>
      <c r="B1876" s="1031" t="s">
        <v>165</v>
      </c>
      <c r="C1876" s="978"/>
      <c r="D1876" s="595" t="s">
        <v>257</v>
      </c>
      <c r="E1876" s="596"/>
      <c r="F1876" s="671">
        <v>180</v>
      </c>
      <c r="G1876" s="597">
        <v>0.86180000000000001</v>
      </c>
      <c r="H1876" s="682">
        <f>IF(F1876=0,0,IF(F1876&lt;=30,(0.7*F1876+1.45)*G1876,((0.7*30+1.45)+0.58*(F1876-30))*G1876))</f>
        <v>94.324010000000001</v>
      </c>
      <c r="I1876" s="592">
        <v>0</v>
      </c>
      <c r="J1876" s="592"/>
      <c r="K1876" s="593">
        <f t="shared" si="1257"/>
        <v>0</v>
      </c>
      <c r="L1876" s="594"/>
      <c r="M1876" s="92"/>
      <c r="N1876" s="92"/>
      <c r="O1876" s="93">
        <f t="shared" si="1144"/>
        <v>0</v>
      </c>
      <c r="P1876" s="93">
        <f t="shared" si="1145"/>
        <v>0</v>
      </c>
      <c r="Q1876" s="94"/>
      <c r="R1876" s="92">
        <f t="shared" si="1146"/>
        <v>0</v>
      </c>
      <c r="S1876" s="92">
        <f t="shared" si="1147"/>
        <v>0</v>
      </c>
      <c r="T1876" s="93">
        <f t="shared" si="1148"/>
        <v>0</v>
      </c>
      <c r="U1876" s="95">
        <f t="shared" si="1149"/>
        <v>0</v>
      </c>
      <c r="V1876" s="94"/>
      <c r="W1876" s="96" t="str">
        <f>IF(U1874&gt;0,"xx",IF(P1874&gt;0,"xy",""))</f>
        <v/>
      </c>
      <c r="X1876" s="580" t="str">
        <f t="shared" si="1260"/>
        <v/>
      </c>
      <c r="Y1876" s="580" t="str">
        <f t="shared" si="1142"/>
        <v/>
      </c>
      <c r="Z1876" s="580" t="str">
        <f t="shared" si="1255"/>
        <v/>
      </c>
    </row>
    <row r="1877" spans="1:26" hidden="1" x14ac:dyDescent="0.2">
      <c r="A1877" s="97" t="s">
        <v>165</v>
      </c>
      <c r="B1877" s="1031" t="s">
        <v>165</v>
      </c>
      <c r="C1877" s="978"/>
      <c r="D1877" s="595" t="s">
        <v>261</v>
      </c>
      <c r="E1877" s="596"/>
      <c r="F1877" s="671">
        <v>20</v>
      </c>
      <c r="G1877" s="597">
        <v>0.5736</v>
      </c>
      <c r="H1877" s="682">
        <f>IF(F1877=0,0,IF(F1877&lt;=30,(0.7*F1877+1.45)*G1877,((0.7*30+1.45)+0.58*(F1877-30))*G1877))</f>
        <v>8.8621199999999991</v>
      </c>
      <c r="I1877" s="592">
        <v>0</v>
      </c>
      <c r="J1877" s="592"/>
      <c r="K1877" s="593">
        <f t="shared" si="1257"/>
        <v>0</v>
      </c>
      <c r="L1877" s="594"/>
      <c r="M1877" s="92"/>
      <c r="N1877" s="92"/>
      <c r="O1877" s="93">
        <f t="shared" si="1144"/>
        <v>0</v>
      </c>
      <c r="P1877" s="93">
        <f t="shared" si="1145"/>
        <v>0</v>
      </c>
      <c r="Q1877" s="94"/>
      <c r="R1877" s="92">
        <f t="shared" si="1146"/>
        <v>0</v>
      </c>
      <c r="S1877" s="92">
        <f t="shared" si="1147"/>
        <v>0</v>
      </c>
      <c r="T1877" s="93">
        <f t="shared" si="1148"/>
        <v>0</v>
      </c>
      <c r="U1877" s="95">
        <f t="shared" si="1149"/>
        <v>0</v>
      </c>
      <c r="V1877" s="94"/>
      <c r="W1877" s="96" t="str">
        <f>IF(U1874&gt;0,"xx",IF(P1874&gt;0,"xy",""))</f>
        <v/>
      </c>
      <c r="X1877" s="580" t="str">
        <f t="shared" si="1260"/>
        <v/>
      </c>
      <c r="Y1877" s="580" t="str">
        <f t="shared" si="1142"/>
        <v/>
      </c>
      <c r="Z1877" s="580" t="str">
        <f t="shared" si="1255"/>
        <v/>
      </c>
    </row>
    <row r="1878" spans="1:26" x14ac:dyDescent="0.2">
      <c r="A1878" s="1008">
        <v>620200</v>
      </c>
      <c r="B1878" s="1107" t="s">
        <v>2190</v>
      </c>
      <c r="C1878" s="1108" t="s">
        <v>212</v>
      </c>
      <c r="D1878" s="1109" t="s">
        <v>375</v>
      </c>
      <c r="E1878" s="1110"/>
      <c r="F1878" s="671"/>
      <c r="G1878" s="597"/>
      <c r="H1878" s="682">
        <f>SUM(H1879:H1881)</f>
        <v>27.3659678</v>
      </c>
      <c r="I1878" s="592">
        <v>1583.84</v>
      </c>
      <c r="J1878" s="592">
        <f t="shared" ref="J1878" si="1261">IF(ISBLANK(I1878),"",SUM(H1878:I1878))</f>
        <v>1611.2059677999998</v>
      </c>
      <c r="K1878" s="593">
        <f t="shared" si="1257"/>
        <v>1961</v>
      </c>
      <c r="L1878" s="594" t="s">
        <v>21</v>
      </c>
      <c r="M1878" s="92">
        <v>1</v>
      </c>
      <c r="N1878" s="92">
        <v>1981.36</v>
      </c>
      <c r="O1878" s="93">
        <f t="shared" si="1144"/>
        <v>1961</v>
      </c>
      <c r="P1878" s="93">
        <f t="shared" si="1145"/>
        <v>1981.36</v>
      </c>
      <c r="Q1878" s="94"/>
      <c r="R1878" s="1111">
        <f t="shared" si="1146"/>
        <v>1</v>
      </c>
      <c r="S1878" s="1111">
        <f>K1878</f>
        <v>1961</v>
      </c>
      <c r="T1878" s="1112">
        <f t="shared" si="1148"/>
        <v>1961</v>
      </c>
      <c r="U1878" s="1113">
        <f t="shared" si="1149"/>
        <v>1961</v>
      </c>
      <c r="V1878" s="1114"/>
      <c r="X1878" s="580" t="str">
        <f t="shared" si="1260"/>
        <v>x</v>
      </c>
      <c r="Y1878" s="580" t="str">
        <f t="shared" si="1142"/>
        <v>x</v>
      </c>
      <c r="Z1878" s="580" t="str">
        <f t="shared" si="1255"/>
        <v>x</v>
      </c>
    </row>
    <row r="1879" spans="1:26" hidden="1" x14ac:dyDescent="0.2">
      <c r="A1879" s="97" t="s">
        <v>165</v>
      </c>
      <c r="B1879" s="1031" t="s">
        <v>165</v>
      </c>
      <c r="C1879" s="978"/>
      <c r="D1879" s="595" t="s">
        <v>218</v>
      </c>
      <c r="E1879" s="596"/>
      <c r="F1879" s="1089">
        <v>97.1</v>
      </c>
      <c r="G1879" s="597">
        <v>0.28689999999999999</v>
      </c>
      <c r="H1879" s="682">
        <f>IF(F1879&lt;=30,(0.51*F1879+4.28)*G1879,((0.51*30+4.28)+0.42*(F1879-30))*G1879)</f>
        <v>13.7029178</v>
      </c>
      <c r="I1879" s="592">
        <v>0</v>
      </c>
      <c r="J1879" s="592"/>
      <c r="K1879" s="593">
        <f t="shared" si="1257"/>
        <v>0</v>
      </c>
      <c r="L1879" s="594"/>
      <c r="M1879" s="92"/>
      <c r="N1879" s="92"/>
      <c r="O1879" s="93">
        <f t="shared" si="1144"/>
        <v>0</v>
      </c>
      <c r="P1879" s="93">
        <f t="shared" si="1145"/>
        <v>0</v>
      </c>
      <c r="Q1879" s="94"/>
      <c r="R1879" s="92">
        <f t="shared" si="1146"/>
        <v>0</v>
      </c>
      <c r="S1879" s="92">
        <f t="shared" si="1147"/>
        <v>0</v>
      </c>
      <c r="T1879" s="93">
        <f t="shared" si="1148"/>
        <v>0</v>
      </c>
      <c r="U1879" s="95">
        <f t="shared" si="1149"/>
        <v>0</v>
      </c>
      <c r="V1879" s="94"/>
      <c r="W1879" s="96" t="str">
        <f>IF(U1878&gt;0,"xx",IF(P1878&gt;0,"xy",""))</f>
        <v>xx</v>
      </c>
      <c r="X1879" s="580" t="str">
        <f t="shared" si="1260"/>
        <v>x</v>
      </c>
      <c r="Y1879" s="580" t="str">
        <f t="shared" si="1142"/>
        <v>x</v>
      </c>
      <c r="Z1879" s="580" t="str">
        <f t="shared" si="1255"/>
        <v/>
      </c>
    </row>
    <row r="1880" spans="1:26" hidden="1" x14ac:dyDescent="0.2">
      <c r="A1880" s="97" t="s">
        <v>165</v>
      </c>
      <c r="B1880" s="1031" t="s">
        <v>165</v>
      </c>
      <c r="C1880" s="978"/>
      <c r="D1880" s="595" t="s">
        <v>257</v>
      </c>
      <c r="E1880" s="596"/>
      <c r="F1880" s="1089">
        <v>4.7</v>
      </c>
      <c r="G1880" s="597">
        <v>1.02</v>
      </c>
      <c r="H1880" s="682">
        <f>IF(F1880=0,0,IF(F1880&lt;=30,(0.7*F1880+1.45)*G1880,((0.7*30+1.45)+0.58*(F1880-30))*G1880))</f>
        <v>4.8348000000000004</v>
      </c>
      <c r="I1880" s="592">
        <v>0</v>
      </c>
      <c r="J1880" s="592"/>
      <c r="K1880" s="593">
        <f t="shared" si="1257"/>
        <v>0</v>
      </c>
      <c r="L1880" s="594"/>
      <c r="M1880" s="92"/>
      <c r="N1880" s="92"/>
      <c r="O1880" s="93">
        <f t="shared" si="1144"/>
        <v>0</v>
      </c>
      <c r="P1880" s="93">
        <f t="shared" si="1145"/>
        <v>0</v>
      </c>
      <c r="Q1880" s="94"/>
      <c r="R1880" s="92">
        <f t="shared" si="1146"/>
        <v>0</v>
      </c>
      <c r="S1880" s="92">
        <f t="shared" si="1147"/>
        <v>0</v>
      </c>
      <c r="T1880" s="93">
        <f t="shared" si="1148"/>
        <v>0</v>
      </c>
      <c r="U1880" s="95">
        <f t="shared" si="1149"/>
        <v>0</v>
      </c>
      <c r="V1880" s="94"/>
      <c r="W1880" s="96" t="str">
        <f>IF(U1878&gt;0,"xx",IF(P1878&gt;0,"xy",""))</f>
        <v>xx</v>
      </c>
      <c r="X1880" s="580" t="str">
        <f t="shared" si="1260"/>
        <v>x</v>
      </c>
      <c r="Y1880" s="580" t="str">
        <f t="shared" si="1142"/>
        <v>x</v>
      </c>
      <c r="Z1880" s="580" t="str">
        <f t="shared" si="1255"/>
        <v/>
      </c>
    </row>
    <row r="1881" spans="1:26" hidden="1" x14ac:dyDescent="0.2">
      <c r="A1881" s="97" t="s">
        <v>165</v>
      </c>
      <c r="B1881" s="1031" t="s">
        <v>165</v>
      </c>
      <c r="C1881" s="978"/>
      <c r="D1881" s="595" t="s">
        <v>261</v>
      </c>
      <c r="E1881" s="596"/>
      <c r="F1881" s="1089">
        <v>4.7</v>
      </c>
      <c r="G1881" s="597">
        <v>1.8625</v>
      </c>
      <c r="H1881" s="682">
        <f>IF(F1881=0,0,IF(F1881&lt;=30,(0.7*F1881+1.45)*G1881,((0.7*30+1.45)+0.58*(F1881-30))*G1881))</f>
        <v>8.8282500000000006</v>
      </c>
      <c r="I1881" s="592">
        <v>0</v>
      </c>
      <c r="J1881" s="592"/>
      <c r="K1881" s="593">
        <f t="shared" si="1257"/>
        <v>0</v>
      </c>
      <c r="L1881" s="594"/>
      <c r="M1881" s="92"/>
      <c r="N1881" s="92"/>
      <c r="O1881" s="93">
        <f t="shared" si="1144"/>
        <v>0</v>
      </c>
      <c r="P1881" s="93">
        <f t="shared" si="1145"/>
        <v>0</v>
      </c>
      <c r="Q1881" s="94"/>
      <c r="R1881" s="92">
        <f t="shared" si="1146"/>
        <v>0</v>
      </c>
      <c r="S1881" s="92">
        <f t="shared" si="1147"/>
        <v>0</v>
      </c>
      <c r="T1881" s="93">
        <f t="shared" si="1148"/>
        <v>0</v>
      </c>
      <c r="U1881" s="95">
        <f t="shared" si="1149"/>
        <v>0</v>
      </c>
      <c r="V1881" s="94"/>
      <c r="W1881" s="96" t="str">
        <f>IF(U1878&gt;0,"xx",IF(P1878&gt;0,"xy",""))</f>
        <v>xx</v>
      </c>
      <c r="X1881" s="580" t="str">
        <f t="shared" si="1260"/>
        <v>x</v>
      </c>
      <c r="Y1881" s="580" t="str">
        <f t="shared" si="1142"/>
        <v>x</v>
      </c>
      <c r="Z1881" s="580" t="str">
        <f t="shared" si="1255"/>
        <v/>
      </c>
    </row>
    <row r="1882" spans="1:26" hidden="1" x14ac:dyDescent="0.2">
      <c r="A1882" s="1008">
        <v>620300</v>
      </c>
      <c r="B1882" s="1010">
        <v>620300</v>
      </c>
      <c r="C1882" s="978" t="s">
        <v>212</v>
      </c>
      <c r="D1882" s="595" t="s">
        <v>376</v>
      </c>
      <c r="E1882" s="596"/>
      <c r="F1882" s="671"/>
      <c r="G1882" s="597"/>
      <c r="H1882" s="682">
        <f>SUM(H1883:H1885)</f>
        <v>304.14024500000005</v>
      </c>
      <c r="I1882" s="592">
        <v>2229.9699999999998</v>
      </c>
      <c r="J1882" s="592">
        <f t="shared" ref="J1882" si="1262">IF(ISBLANK(I1882),"",SUM(H1882:I1882))</f>
        <v>2534.1102449999998</v>
      </c>
      <c r="K1882" s="593">
        <f t="shared" si="1257"/>
        <v>3084.27</v>
      </c>
      <c r="L1882" s="594" t="s">
        <v>21</v>
      </c>
      <c r="M1882" s="92"/>
      <c r="N1882" s="92"/>
      <c r="O1882" s="93">
        <f t="shared" si="1144"/>
        <v>0</v>
      </c>
      <c r="P1882" s="93">
        <f t="shared" si="1145"/>
        <v>0</v>
      </c>
      <c r="Q1882" s="94"/>
      <c r="R1882" s="92">
        <f t="shared" si="1146"/>
        <v>0</v>
      </c>
      <c r="S1882" s="92">
        <f t="shared" si="1147"/>
        <v>0</v>
      </c>
      <c r="T1882" s="93">
        <f t="shared" si="1148"/>
        <v>0</v>
      </c>
      <c r="U1882" s="95">
        <f t="shared" si="1149"/>
        <v>0</v>
      </c>
      <c r="V1882" s="94"/>
      <c r="X1882" s="580" t="str">
        <f t="shared" si="1260"/>
        <v/>
      </c>
      <c r="Y1882" s="580" t="str">
        <f t="shared" si="1142"/>
        <v/>
      </c>
      <c r="Z1882" s="580" t="str">
        <f t="shared" si="1255"/>
        <v/>
      </c>
    </row>
    <row r="1883" spans="1:26" hidden="1" x14ac:dyDescent="0.2">
      <c r="A1883" s="97" t="s">
        <v>165</v>
      </c>
      <c r="B1883" s="1031" t="s">
        <v>165</v>
      </c>
      <c r="C1883" s="978"/>
      <c r="D1883" s="595" t="s">
        <v>218</v>
      </c>
      <c r="E1883" s="596"/>
      <c r="F1883" s="671">
        <v>500</v>
      </c>
      <c r="G1883" s="597">
        <v>0.43049999999999999</v>
      </c>
      <c r="H1883" s="682">
        <f>IF(F1883&lt;=30,(0.51*F1883+4.28)*G1883,((0.51*30+4.28)+0.42*(F1883-30))*G1883)</f>
        <v>93.409890000000004</v>
      </c>
      <c r="I1883" s="592">
        <v>0</v>
      </c>
      <c r="J1883" s="592"/>
      <c r="K1883" s="593">
        <f t="shared" si="1257"/>
        <v>0</v>
      </c>
      <c r="L1883" s="594"/>
      <c r="M1883" s="92"/>
      <c r="N1883" s="92"/>
      <c r="O1883" s="93">
        <f t="shared" si="1144"/>
        <v>0</v>
      </c>
      <c r="P1883" s="93">
        <f t="shared" si="1145"/>
        <v>0</v>
      </c>
      <c r="Q1883" s="94"/>
      <c r="R1883" s="92">
        <f t="shared" si="1146"/>
        <v>0</v>
      </c>
      <c r="S1883" s="92">
        <f t="shared" si="1147"/>
        <v>0</v>
      </c>
      <c r="T1883" s="93">
        <f t="shared" si="1148"/>
        <v>0</v>
      </c>
      <c r="U1883" s="95">
        <f t="shared" si="1149"/>
        <v>0</v>
      </c>
      <c r="V1883" s="94"/>
      <c r="W1883" s="96" t="str">
        <f>IF(U1882&gt;0,"xx",IF(P1882&gt;0,"xy",""))</f>
        <v/>
      </c>
      <c r="X1883" s="580" t="str">
        <f t="shared" si="1260"/>
        <v/>
      </c>
      <c r="Y1883" s="580" t="str">
        <f t="shared" si="1142"/>
        <v/>
      </c>
      <c r="Z1883" s="580" t="str">
        <f t="shared" si="1255"/>
        <v/>
      </c>
    </row>
    <row r="1884" spans="1:26" hidden="1" x14ac:dyDescent="0.2">
      <c r="A1884" s="97" t="s">
        <v>165</v>
      </c>
      <c r="B1884" s="1031" t="s">
        <v>165</v>
      </c>
      <c r="C1884" s="978"/>
      <c r="D1884" s="595" t="s">
        <v>257</v>
      </c>
      <c r="E1884" s="596"/>
      <c r="F1884" s="671">
        <v>180</v>
      </c>
      <c r="G1884" s="597">
        <v>1.5307999999999999</v>
      </c>
      <c r="H1884" s="682">
        <f>IF(F1884=0,0,IF(F1884&lt;=30,(0.7*F1884+1.45)*G1884,((0.7*30+1.45)+0.58*(F1884-30))*G1884))</f>
        <v>167.54606000000001</v>
      </c>
      <c r="I1884" s="592">
        <v>0</v>
      </c>
      <c r="J1884" s="592"/>
      <c r="K1884" s="593">
        <f t="shared" si="1257"/>
        <v>0</v>
      </c>
      <c r="L1884" s="594"/>
      <c r="M1884" s="92"/>
      <c r="N1884" s="92"/>
      <c r="O1884" s="93">
        <f t="shared" si="1144"/>
        <v>0</v>
      </c>
      <c r="P1884" s="93">
        <f t="shared" si="1145"/>
        <v>0</v>
      </c>
      <c r="Q1884" s="94"/>
      <c r="R1884" s="92">
        <f t="shared" si="1146"/>
        <v>0</v>
      </c>
      <c r="S1884" s="92">
        <f t="shared" si="1147"/>
        <v>0</v>
      </c>
      <c r="T1884" s="93">
        <f t="shared" si="1148"/>
        <v>0</v>
      </c>
      <c r="U1884" s="95">
        <f t="shared" si="1149"/>
        <v>0</v>
      </c>
      <c r="V1884" s="94"/>
      <c r="W1884" s="96" t="str">
        <f>IF(U1882&gt;0,"xx",IF(P1882&gt;0,"xy",""))</f>
        <v/>
      </c>
      <c r="X1884" s="580" t="str">
        <f t="shared" si="1260"/>
        <v/>
      </c>
      <c r="Y1884" s="580" t="str">
        <f t="shared" si="1142"/>
        <v/>
      </c>
      <c r="Z1884" s="580" t="str">
        <f t="shared" si="1255"/>
        <v/>
      </c>
    </row>
    <row r="1885" spans="1:26" hidden="1" x14ac:dyDescent="0.2">
      <c r="A1885" s="97" t="s">
        <v>165</v>
      </c>
      <c r="B1885" s="1031" t="s">
        <v>165</v>
      </c>
      <c r="C1885" s="978"/>
      <c r="D1885" s="595" t="s">
        <v>261</v>
      </c>
      <c r="E1885" s="596"/>
      <c r="F1885" s="671">
        <v>20</v>
      </c>
      <c r="G1885" s="597">
        <v>2.7951000000000001</v>
      </c>
      <c r="H1885" s="682">
        <f>IF(F1885=0,0,IF(F1885&lt;=30,(0.7*F1885+1.45)*G1885,((0.7*30+1.45)+0.58*(F1885-30))*G1885))</f>
        <v>43.184294999999999</v>
      </c>
      <c r="I1885" s="592">
        <v>0</v>
      </c>
      <c r="J1885" s="592"/>
      <c r="K1885" s="593">
        <f t="shared" si="1257"/>
        <v>0</v>
      </c>
      <c r="L1885" s="594"/>
      <c r="M1885" s="92"/>
      <c r="N1885" s="92"/>
      <c r="O1885" s="93">
        <f t="shared" si="1144"/>
        <v>0</v>
      </c>
      <c r="P1885" s="93">
        <f t="shared" si="1145"/>
        <v>0</v>
      </c>
      <c r="Q1885" s="94"/>
      <c r="R1885" s="92">
        <f t="shared" si="1146"/>
        <v>0</v>
      </c>
      <c r="S1885" s="92">
        <f t="shared" si="1147"/>
        <v>0</v>
      </c>
      <c r="T1885" s="93">
        <f t="shared" si="1148"/>
        <v>0</v>
      </c>
      <c r="U1885" s="95">
        <f t="shared" si="1149"/>
        <v>0</v>
      </c>
      <c r="V1885" s="94"/>
      <c r="W1885" s="96" t="str">
        <f>IF(U1882&gt;0,"xx",IF(P1882&gt;0,"xy",""))</f>
        <v/>
      </c>
      <c r="X1885" s="580" t="str">
        <f t="shared" si="1260"/>
        <v/>
      </c>
      <c r="Y1885" s="580" t="str">
        <f t="shared" si="1142"/>
        <v/>
      </c>
      <c r="Z1885" s="580" t="str">
        <f t="shared" si="1255"/>
        <v/>
      </c>
    </row>
    <row r="1886" spans="1:26" hidden="1" x14ac:dyDescent="0.2">
      <c r="A1886" s="1008">
        <v>620400</v>
      </c>
      <c r="B1886" s="1010">
        <v>620400</v>
      </c>
      <c r="C1886" s="978" t="s">
        <v>212</v>
      </c>
      <c r="D1886" s="595" t="s">
        <v>377</v>
      </c>
      <c r="E1886" s="596"/>
      <c r="F1886" s="671"/>
      <c r="G1886" s="597"/>
      <c r="H1886" s="682">
        <f>SUM(H1887:H1889)</f>
        <v>410.67501400000009</v>
      </c>
      <c r="I1886" s="592">
        <v>2839.56</v>
      </c>
      <c r="J1886" s="592">
        <f t="shared" ref="J1886" si="1263">IF(ISBLANK(I1886),"",SUM(H1886:I1886))</f>
        <v>3250.2350139999999</v>
      </c>
      <c r="K1886" s="593">
        <f t="shared" si="1257"/>
        <v>3955.86</v>
      </c>
      <c r="L1886" s="594" t="s">
        <v>21</v>
      </c>
      <c r="M1886" s="92"/>
      <c r="N1886" s="92"/>
      <c r="O1886" s="93">
        <f t="shared" si="1144"/>
        <v>0</v>
      </c>
      <c r="P1886" s="93">
        <f t="shared" si="1145"/>
        <v>0</v>
      </c>
      <c r="Q1886" s="94"/>
      <c r="R1886" s="92">
        <f t="shared" si="1146"/>
        <v>0</v>
      </c>
      <c r="S1886" s="92">
        <f t="shared" si="1147"/>
        <v>0</v>
      </c>
      <c r="T1886" s="93">
        <f t="shared" si="1148"/>
        <v>0</v>
      </c>
      <c r="U1886" s="95">
        <f t="shared" si="1149"/>
        <v>0</v>
      </c>
      <c r="V1886" s="94"/>
      <c r="X1886" s="580" t="str">
        <f t="shared" si="1260"/>
        <v/>
      </c>
      <c r="Y1886" s="580" t="str">
        <f t="shared" si="1142"/>
        <v/>
      </c>
      <c r="Z1886" s="580" t="str">
        <f t="shared" si="1255"/>
        <v/>
      </c>
    </row>
    <row r="1887" spans="1:26" hidden="1" x14ac:dyDescent="0.2">
      <c r="A1887" s="97" t="s">
        <v>165</v>
      </c>
      <c r="B1887" s="1031" t="s">
        <v>165</v>
      </c>
      <c r="C1887" s="978"/>
      <c r="D1887" s="595" t="s">
        <v>218</v>
      </c>
      <c r="E1887" s="596"/>
      <c r="F1887" s="671">
        <v>500</v>
      </c>
      <c r="G1887" s="597">
        <v>0.58130000000000004</v>
      </c>
      <c r="H1887" s="682">
        <f>IF(F1887&lt;=30,(0.51*F1887+4.28)*G1887,((0.51*30+4.28)+0.42*(F1887-30))*G1887)</f>
        <v>126.13047400000002</v>
      </c>
      <c r="I1887" s="592">
        <v>0</v>
      </c>
      <c r="J1887" s="592"/>
      <c r="K1887" s="593">
        <f t="shared" si="1257"/>
        <v>0</v>
      </c>
      <c r="L1887" s="594"/>
      <c r="M1887" s="92"/>
      <c r="N1887" s="92"/>
      <c r="O1887" s="93">
        <f t="shared" si="1144"/>
        <v>0</v>
      </c>
      <c r="P1887" s="93">
        <f t="shared" si="1145"/>
        <v>0</v>
      </c>
      <c r="Q1887" s="94"/>
      <c r="R1887" s="92">
        <f t="shared" si="1146"/>
        <v>0</v>
      </c>
      <c r="S1887" s="92">
        <f t="shared" si="1147"/>
        <v>0</v>
      </c>
      <c r="T1887" s="93">
        <f t="shared" si="1148"/>
        <v>0</v>
      </c>
      <c r="U1887" s="95">
        <f t="shared" si="1149"/>
        <v>0</v>
      </c>
      <c r="V1887" s="94"/>
      <c r="W1887" s="96" t="str">
        <f>IF(U1886&gt;0,"xx",IF(P1886&gt;0,"xy",""))</f>
        <v/>
      </c>
      <c r="X1887" s="580" t="str">
        <f t="shared" si="1260"/>
        <v/>
      </c>
      <c r="Y1887" s="580" t="str">
        <f t="shared" si="1142"/>
        <v/>
      </c>
      <c r="Z1887" s="580" t="str">
        <f t="shared" si="1255"/>
        <v/>
      </c>
    </row>
    <row r="1888" spans="1:26" hidden="1" x14ac:dyDescent="0.2">
      <c r="A1888" s="97" t="s">
        <v>165</v>
      </c>
      <c r="B1888" s="1031" t="s">
        <v>165</v>
      </c>
      <c r="C1888" s="978"/>
      <c r="D1888" s="595" t="s">
        <v>257</v>
      </c>
      <c r="E1888" s="596"/>
      <c r="F1888" s="671">
        <v>180</v>
      </c>
      <c r="G1888" s="597">
        <v>2.0670000000000002</v>
      </c>
      <c r="H1888" s="682">
        <f>IF(F1888=0,0,IF(F1888&lt;=30,(0.7*F1888+1.45)*G1888,((0.7*30+1.45)+0.58*(F1888-30))*G1888))</f>
        <v>226.23315000000002</v>
      </c>
      <c r="I1888" s="592">
        <v>0</v>
      </c>
      <c r="J1888" s="592"/>
      <c r="K1888" s="593">
        <f t="shared" si="1257"/>
        <v>0</v>
      </c>
      <c r="L1888" s="594"/>
      <c r="M1888" s="92"/>
      <c r="N1888" s="92"/>
      <c r="O1888" s="93">
        <f t="shared" si="1144"/>
        <v>0</v>
      </c>
      <c r="P1888" s="93">
        <f t="shared" si="1145"/>
        <v>0</v>
      </c>
      <c r="Q1888" s="94"/>
      <c r="R1888" s="92">
        <f t="shared" si="1146"/>
        <v>0</v>
      </c>
      <c r="S1888" s="92">
        <f t="shared" si="1147"/>
        <v>0</v>
      </c>
      <c r="T1888" s="93">
        <f t="shared" si="1148"/>
        <v>0</v>
      </c>
      <c r="U1888" s="95">
        <f t="shared" si="1149"/>
        <v>0</v>
      </c>
      <c r="V1888" s="94"/>
      <c r="W1888" s="96" t="str">
        <f>IF(U1886&gt;0,"xx",IF(P1886&gt;0,"xy",""))</f>
        <v/>
      </c>
      <c r="X1888" s="580" t="str">
        <f t="shared" si="1260"/>
        <v/>
      </c>
      <c r="Y1888" s="580" t="str">
        <f t="shared" si="1142"/>
        <v/>
      </c>
      <c r="Z1888" s="580" t="str">
        <f t="shared" si="1255"/>
        <v/>
      </c>
    </row>
    <row r="1889" spans="1:26" hidden="1" x14ac:dyDescent="0.2">
      <c r="A1889" s="97" t="s">
        <v>165</v>
      </c>
      <c r="B1889" s="1031" t="s">
        <v>165</v>
      </c>
      <c r="C1889" s="978"/>
      <c r="D1889" s="595" t="s">
        <v>261</v>
      </c>
      <c r="E1889" s="596"/>
      <c r="F1889" s="671">
        <v>20</v>
      </c>
      <c r="G1889" s="597">
        <v>3.7742</v>
      </c>
      <c r="H1889" s="682">
        <f>IF(F1889=0,0,IF(F1889&lt;=30,(0.7*F1889+1.45)*G1889,((0.7*30+1.45)+0.58*(F1889-30))*G1889))</f>
        <v>58.311389999999996</v>
      </c>
      <c r="I1889" s="592">
        <v>0</v>
      </c>
      <c r="J1889" s="592"/>
      <c r="K1889" s="593">
        <f t="shared" si="1257"/>
        <v>0</v>
      </c>
      <c r="L1889" s="594"/>
      <c r="M1889" s="92"/>
      <c r="N1889" s="92"/>
      <c r="O1889" s="93">
        <f t="shared" si="1144"/>
        <v>0</v>
      </c>
      <c r="P1889" s="93">
        <f t="shared" si="1145"/>
        <v>0</v>
      </c>
      <c r="Q1889" s="94"/>
      <c r="R1889" s="92">
        <f t="shared" si="1146"/>
        <v>0</v>
      </c>
      <c r="S1889" s="92">
        <f t="shared" si="1147"/>
        <v>0</v>
      </c>
      <c r="T1889" s="93">
        <f t="shared" si="1148"/>
        <v>0</v>
      </c>
      <c r="U1889" s="95">
        <f t="shared" si="1149"/>
        <v>0</v>
      </c>
      <c r="V1889" s="94"/>
      <c r="W1889" s="96" t="str">
        <f>IF(U1886&gt;0,"xx",IF(P1886&gt;0,"xy",""))</f>
        <v/>
      </c>
      <c r="X1889" s="580" t="str">
        <f t="shared" si="1260"/>
        <v/>
      </c>
      <c r="Y1889" s="580" t="str">
        <f t="shared" si="1142"/>
        <v/>
      </c>
      <c r="Z1889" s="580" t="str">
        <f t="shared" si="1255"/>
        <v/>
      </c>
    </row>
    <row r="1890" spans="1:26" hidden="1" x14ac:dyDescent="0.2">
      <c r="A1890" s="1008">
        <v>620500</v>
      </c>
      <c r="B1890" s="1010">
        <v>620500</v>
      </c>
      <c r="C1890" s="978" t="s">
        <v>212</v>
      </c>
      <c r="D1890" s="595" t="s">
        <v>378</v>
      </c>
      <c r="E1890" s="596"/>
      <c r="F1890" s="671"/>
      <c r="G1890" s="597"/>
      <c r="H1890" s="682">
        <f>SUM(H1891:H1893)</f>
        <v>824.57700100000011</v>
      </c>
      <c r="I1890" s="592">
        <v>4906</v>
      </c>
      <c r="J1890" s="592">
        <f t="shared" ref="J1890" si="1264">IF(ISBLANK(I1890),"",SUM(H1890:I1890))</f>
        <v>5730.5770009999997</v>
      </c>
      <c r="K1890" s="593">
        <f t="shared" si="1257"/>
        <v>6974.69</v>
      </c>
      <c r="L1890" s="594" t="s">
        <v>21</v>
      </c>
      <c r="M1890" s="92"/>
      <c r="N1890" s="92"/>
      <c r="O1890" s="93">
        <f t="shared" si="1144"/>
        <v>0</v>
      </c>
      <c r="P1890" s="93">
        <f t="shared" si="1145"/>
        <v>0</v>
      </c>
      <c r="Q1890" s="94"/>
      <c r="R1890" s="92">
        <f t="shared" si="1146"/>
        <v>0</v>
      </c>
      <c r="S1890" s="92">
        <f t="shared" si="1147"/>
        <v>0</v>
      </c>
      <c r="T1890" s="93">
        <f t="shared" si="1148"/>
        <v>0</v>
      </c>
      <c r="U1890" s="95">
        <f t="shared" si="1149"/>
        <v>0</v>
      </c>
      <c r="V1890" s="94"/>
      <c r="X1890" s="580" t="str">
        <f t="shared" si="1260"/>
        <v/>
      </c>
      <c r="Y1890" s="580" t="str">
        <f t="shared" si="1142"/>
        <v/>
      </c>
      <c r="Z1890" s="580" t="str">
        <f t="shared" si="1255"/>
        <v/>
      </c>
    </row>
    <row r="1891" spans="1:26" hidden="1" x14ac:dyDescent="0.2">
      <c r="A1891" s="97" t="s">
        <v>165</v>
      </c>
      <c r="B1891" s="1031" t="s">
        <v>165</v>
      </c>
      <c r="C1891" s="978"/>
      <c r="D1891" s="595" t="s">
        <v>218</v>
      </c>
      <c r="E1891" s="596"/>
      <c r="F1891" s="671">
        <v>500</v>
      </c>
      <c r="G1891" s="597">
        <v>1.1672</v>
      </c>
      <c r="H1891" s="682">
        <f>IF(F1891&lt;=30,(0.51*F1891+4.28)*G1891,((0.51*30+4.28)+0.42*(F1891-30))*G1891)</f>
        <v>253.25905600000002</v>
      </c>
      <c r="I1891" s="592">
        <v>0</v>
      </c>
      <c r="J1891" s="592"/>
      <c r="K1891" s="593">
        <f t="shared" si="1257"/>
        <v>0</v>
      </c>
      <c r="L1891" s="594"/>
      <c r="M1891" s="92"/>
      <c r="N1891" s="92"/>
      <c r="O1891" s="93">
        <f t="shared" si="1144"/>
        <v>0</v>
      </c>
      <c r="P1891" s="93">
        <f t="shared" si="1145"/>
        <v>0</v>
      </c>
      <c r="Q1891" s="94"/>
      <c r="R1891" s="92">
        <f t="shared" si="1146"/>
        <v>0</v>
      </c>
      <c r="S1891" s="92">
        <f t="shared" si="1147"/>
        <v>0</v>
      </c>
      <c r="T1891" s="93">
        <f t="shared" si="1148"/>
        <v>0</v>
      </c>
      <c r="U1891" s="95">
        <f t="shared" si="1149"/>
        <v>0</v>
      </c>
      <c r="V1891" s="94"/>
      <c r="W1891" s="96" t="str">
        <f>IF(U1890&gt;0,"xx",IF(P1890&gt;0,"xy",""))</f>
        <v/>
      </c>
      <c r="X1891" s="580" t="str">
        <f t="shared" si="1260"/>
        <v/>
      </c>
      <c r="Y1891" s="580" t="str">
        <f t="shared" si="1142"/>
        <v/>
      </c>
      <c r="Z1891" s="580" t="str">
        <f t="shared" si="1255"/>
        <v/>
      </c>
    </row>
    <row r="1892" spans="1:26" hidden="1" x14ac:dyDescent="0.2">
      <c r="A1892" s="97" t="s">
        <v>165</v>
      </c>
      <c r="B1892" s="1031" t="s">
        <v>165</v>
      </c>
      <c r="C1892" s="978"/>
      <c r="D1892" s="595" t="s">
        <v>257</v>
      </c>
      <c r="E1892" s="596"/>
      <c r="F1892" s="671">
        <v>180</v>
      </c>
      <c r="G1892" s="597">
        <v>4.1501999999999999</v>
      </c>
      <c r="H1892" s="682">
        <f>IF(F1892=0,0,IF(F1892&lt;=30,(0.7*F1892+1.45)*G1892,((0.7*30+1.45)+0.58*(F1892-30))*G1892))</f>
        <v>454.23939000000001</v>
      </c>
      <c r="I1892" s="592">
        <v>0</v>
      </c>
      <c r="J1892" s="592"/>
      <c r="K1892" s="593">
        <f t="shared" si="1257"/>
        <v>0</v>
      </c>
      <c r="L1892" s="594"/>
      <c r="M1892" s="92"/>
      <c r="N1892" s="92"/>
      <c r="O1892" s="93">
        <f t="shared" si="1144"/>
        <v>0</v>
      </c>
      <c r="P1892" s="93">
        <f t="shared" si="1145"/>
        <v>0</v>
      </c>
      <c r="Q1892" s="94"/>
      <c r="R1892" s="92">
        <f t="shared" si="1146"/>
        <v>0</v>
      </c>
      <c r="S1892" s="92">
        <f t="shared" si="1147"/>
        <v>0</v>
      </c>
      <c r="T1892" s="93">
        <f t="shared" si="1148"/>
        <v>0</v>
      </c>
      <c r="U1892" s="95">
        <f t="shared" si="1149"/>
        <v>0</v>
      </c>
      <c r="V1892" s="94"/>
      <c r="W1892" s="96" t="str">
        <f>IF(U1890&gt;0,"xx",IF(P1890&gt;0,"xy",""))</f>
        <v/>
      </c>
      <c r="X1892" s="580" t="str">
        <f t="shared" si="1260"/>
        <v/>
      </c>
      <c r="Y1892" s="580" t="str">
        <f t="shared" si="1142"/>
        <v/>
      </c>
      <c r="Z1892" s="580" t="str">
        <f t="shared" si="1255"/>
        <v/>
      </c>
    </row>
    <row r="1893" spans="1:26" hidden="1" x14ac:dyDescent="0.2">
      <c r="A1893" s="97" t="s">
        <v>165</v>
      </c>
      <c r="B1893" s="1031" t="s">
        <v>165</v>
      </c>
      <c r="C1893" s="978"/>
      <c r="D1893" s="595" t="s">
        <v>261</v>
      </c>
      <c r="E1893" s="596"/>
      <c r="F1893" s="671">
        <v>20</v>
      </c>
      <c r="G1893" s="597">
        <v>7.5778999999999996</v>
      </c>
      <c r="H1893" s="682">
        <f>IF(F1893=0,0,IF(F1893&lt;=30,(0.7*F1893+1.45)*G1893,((0.7*30+1.45)+0.58*(F1893-30))*G1893))</f>
        <v>117.07855499999999</v>
      </c>
      <c r="I1893" s="592">
        <v>0</v>
      </c>
      <c r="J1893" s="592"/>
      <c r="K1893" s="593">
        <f t="shared" si="1257"/>
        <v>0</v>
      </c>
      <c r="L1893" s="594"/>
      <c r="M1893" s="92"/>
      <c r="N1893" s="92"/>
      <c r="O1893" s="93">
        <f t="shared" si="1144"/>
        <v>0</v>
      </c>
      <c r="P1893" s="93">
        <f t="shared" si="1145"/>
        <v>0</v>
      </c>
      <c r="Q1893" s="94"/>
      <c r="R1893" s="92">
        <f t="shared" si="1146"/>
        <v>0</v>
      </c>
      <c r="S1893" s="92">
        <f t="shared" si="1147"/>
        <v>0</v>
      </c>
      <c r="T1893" s="93">
        <f t="shared" si="1148"/>
        <v>0</v>
      </c>
      <c r="U1893" s="95">
        <f t="shared" si="1149"/>
        <v>0</v>
      </c>
      <c r="V1893" s="94"/>
      <c r="W1893" s="96" t="str">
        <f>IF(U1890&gt;0,"xx",IF(P1890&gt;0,"xy",""))</f>
        <v/>
      </c>
      <c r="X1893" s="580" t="str">
        <f t="shared" si="1260"/>
        <v/>
      </c>
      <c r="Y1893" s="580" t="str">
        <f t="shared" si="1142"/>
        <v/>
      </c>
      <c r="Z1893" s="580" t="str">
        <f t="shared" si="1255"/>
        <v/>
      </c>
    </row>
    <row r="1894" spans="1:26" hidden="1" x14ac:dyDescent="0.2">
      <c r="A1894" s="1008">
        <v>620600</v>
      </c>
      <c r="B1894" s="1010">
        <v>620600</v>
      </c>
      <c r="C1894" s="978" t="s">
        <v>212</v>
      </c>
      <c r="D1894" s="595" t="s">
        <v>379</v>
      </c>
      <c r="E1894" s="596"/>
      <c r="F1894" s="671"/>
      <c r="G1894" s="597"/>
      <c r="H1894" s="682">
        <f>SUM(H1895:H1897)</f>
        <v>1585.2163370000001</v>
      </c>
      <c r="I1894" s="592">
        <v>8533.4000000000015</v>
      </c>
      <c r="J1894" s="592">
        <f t="shared" ref="J1894" si="1265">IF(ISBLANK(I1894),"",SUM(H1894:I1894))</f>
        <v>10118.616337000001</v>
      </c>
      <c r="K1894" s="593">
        <f t="shared" si="1257"/>
        <v>12315.37</v>
      </c>
      <c r="L1894" s="594" t="s">
        <v>21</v>
      </c>
      <c r="M1894" s="92"/>
      <c r="N1894" s="92"/>
      <c r="O1894" s="93">
        <f t="shared" si="1144"/>
        <v>0</v>
      </c>
      <c r="P1894" s="93">
        <f t="shared" si="1145"/>
        <v>0</v>
      </c>
      <c r="Q1894" s="94"/>
      <c r="R1894" s="92">
        <f t="shared" si="1146"/>
        <v>0</v>
      </c>
      <c r="S1894" s="92">
        <f t="shared" si="1147"/>
        <v>0</v>
      </c>
      <c r="T1894" s="93">
        <f t="shared" si="1148"/>
        <v>0</v>
      </c>
      <c r="U1894" s="95">
        <f t="shared" si="1149"/>
        <v>0</v>
      </c>
      <c r="V1894" s="94"/>
      <c r="X1894" s="580" t="str">
        <f t="shared" si="1260"/>
        <v/>
      </c>
      <c r="Y1894" s="580" t="str">
        <f t="shared" si="1142"/>
        <v/>
      </c>
      <c r="Z1894" s="580" t="str">
        <f t="shared" si="1255"/>
        <v/>
      </c>
    </row>
    <row r="1895" spans="1:26" hidden="1" x14ac:dyDescent="0.2">
      <c r="A1895" s="97" t="s">
        <v>165</v>
      </c>
      <c r="B1895" s="1031" t="s">
        <v>165</v>
      </c>
      <c r="C1895" s="978"/>
      <c r="D1895" s="595" t="s">
        <v>218</v>
      </c>
      <c r="E1895" s="596"/>
      <c r="F1895" s="671">
        <v>500</v>
      </c>
      <c r="G1895" s="597">
        <v>2.2439</v>
      </c>
      <c r="H1895" s="682">
        <f>IF(F1895&lt;=30,(0.51*F1895+4.28)*G1895,((0.51*30+4.28)+0.42*(F1895-30))*G1895)</f>
        <v>486.88142200000004</v>
      </c>
      <c r="I1895" s="592">
        <v>0</v>
      </c>
      <c r="J1895" s="592"/>
      <c r="K1895" s="593">
        <f t="shared" si="1257"/>
        <v>0</v>
      </c>
      <c r="L1895" s="594"/>
      <c r="M1895" s="92"/>
      <c r="N1895" s="92"/>
      <c r="O1895" s="93">
        <f t="shared" si="1144"/>
        <v>0</v>
      </c>
      <c r="P1895" s="93">
        <f t="shared" si="1145"/>
        <v>0</v>
      </c>
      <c r="Q1895" s="94"/>
      <c r="R1895" s="92">
        <f t="shared" si="1146"/>
        <v>0</v>
      </c>
      <c r="S1895" s="92">
        <f t="shared" si="1147"/>
        <v>0</v>
      </c>
      <c r="T1895" s="93">
        <f t="shared" si="1148"/>
        <v>0</v>
      </c>
      <c r="U1895" s="95">
        <f t="shared" si="1149"/>
        <v>0</v>
      </c>
      <c r="V1895" s="94"/>
      <c r="W1895" s="96" t="str">
        <f>IF(U1894&gt;0,"xx",IF(P1894&gt;0,"xy",""))</f>
        <v/>
      </c>
      <c r="X1895" s="580" t="str">
        <f t="shared" si="1260"/>
        <v/>
      </c>
      <c r="Y1895" s="580" t="str">
        <f t="shared" si="1142"/>
        <v/>
      </c>
      <c r="Z1895" s="580" t="str">
        <f t="shared" si="1255"/>
        <v/>
      </c>
    </row>
    <row r="1896" spans="1:26" hidden="1" x14ac:dyDescent="0.2">
      <c r="A1896" s="97" t="s">
        <v>165</v>
      </c>
      <c r="B1896" s="1031" t="s">
        <v>165</v>
      </c>
      <c r="C1896" s="978"/>
      <c r="D1896" s="595" t="s">
        <v>257</v>
      </c>
      <c r="E1896" s="596"/>
      <c r="F1896" s="671">
        <v>180</v>
      </c>
      <c r="G1896" s="597">
        <v>7.9786000000000001</v>
      </c>
      <c r="H1896" s="682">
        <f>IF(F1896=0,0,IF(F1896&lt;=30,(0.7*F1896+1.45)*G1896,((0.7*30+1.45)+0.58*(F1896-30))*G1896))</f>
        <v>873.25777000000005</v>
      </c>
      <c r="I1896" s="592">
        <v>0</v>
      </c>
      <c r="J1896" s="592"/>
      <c r="K1896" s="593">
        <f t="shared" si="1257"/>
        <v>0</v>
      </c>
      <c r="L1896" s="594"/>
      <c r="M1896" s="92"/>
      <c r="N1896" s="92"/>
      <c r="O1896" s="93">
        <f t="shared" si="1144"/>
        <v>0</v>
      </c>
      <c r="P1896" s="93">
        <f t="shared" si="1145"/>
        <v>0</v>
      </c>
      <c r="Q1896" s="94"/>
      <c r="R1896" s="92">
        <f t="shared" si="1146"/>
        <v>0</v>
      </c>
      <c r="S1896" s="92">
        <f t="shared" si="1147"/>
        <v>0</v>
      </c>
      <c r="T1896" s="93">
        <f t="shared" si="1148"/>
        <v>0</v>
      </c>
      <c r="U1896" s="95">
        <f t="shared" si="1149"/>
        <v>0</v>
      </c>
      <c r="V1896" s="94"/>
      <c r="W1896" s="96" t="str">
        <f>IF(U1894&gt;0,"xx",IF(P1894&gt;0,"xy",""))</f>
        <v/>
      </c>
      <c r="X1896" s="580" t="str">
        <f t="shared" si="1260"/>
        <v/>
      </c>
      <c r="Y1896" s="580" t="str">
        <f t="shared" si="1142"/>
        <v/>
      </c>
      <c r="Z1896" s="580" t="str">
        <f t="shared" si="1255"/>
        <v/>
      </c>
    </row>
    <row r="1897" spans="1:26" hidden="1" x14ac:dyDescent="0.2">
      <c r="A1897" s="97" t="s">
        <v>165</v>
      </c>
      <c r="B1897" s="1031" t="s">
        <v>165</v>
      </c>
      <c r="C1897" s="978"/>
      <c r="D1897" s="595" t="s">
        <v>261</v>
      </c>
      <c r="E1897" s="596"/>
      <c r="F1897" s="671">
        <v>20</v>
      </c>
      <c r="G1897" s="597">
        <v>14.568099999999999</v>
      </c>
      <c r="H1897" s="682">
        <f>IF(F1897=0,0,IF(F1897&lt;=30,(0.7*F1897+1.45)*G1897,((0.7*30+1.45)+0.58*(F1897-30))*G1897))</f>
        <v>225.07714499999997</v>
      </c>
      <c r="I1897" s="592">
        <v>0</v>
      </c>
      <c r="J1897" s="592"/>
      <c r="K1897" s="593">
        <f t="shared" si="1257"/>
        <v>0</v>
      </c>
      <c r="L1897" s="594"/>
      <c r="M1897" s="92"/>
      <c r="N1897" s="92"/>
      <c r="O1897" s="93">
        <f t="shared" si="1144"/>
        <v>0</v>
      </c>
      <c r="P1897" s="93">
        <f t="shared" si="1145"/>
        <v>0</v>
      </c>
      <c r="Q1897" s="94"/>
      <c r="R1897" s="92">
        <f t="shared" si="1146"/>
        <v>0</v>
      </c>
      <c r="S1897" s="92">
        <f t="shared" si="1147"/>
        <v>0</v>
      </c>
      <c r="T1897" s="93">
        <f t="shared" si="1148"/>
        <v>0</v>
      </c>
      <c r="U1897" s="95">
        <f t="shared" si="1149"/>
        <v>0</v>
      </c>
      <c r="V1897" s="94"/>
      <c r="W1897" s="96" t="str">
        <f>IF(U1894&gt;0,"xx",IF(P1894&gt;0,"xy",""))</f>
        <v/>
      </c>
      <c r="X1897" s="580" t="str">
        <f t="shared" si="1260"/>
        <v/>
      </c>
      <c r="Y1897" s="580" t="str">
        <f t="shared" si="1142"/>
        <v/>
      </c>
      <c r="Z1897" s="580" t="str">
        <f t="shared" si="1255"/>
        <v/>
      </c>
    </row>
    <row r="1898" spans="1:26" hidden="1" x14ac:dyDescent="0.2">
      <c r="A1898" s="1008">
        <v>620100</v>
      </c>
      <c r="B1898" s="1010" t="s">
        <v>2188</v>
      </c>
      <c r="C1898" s="978" t="s">
        <v>212</v>
      </c>
      <c r="D1898" s="595" t="s">
        <v>380</v>
      </c>
      <c r="E1898" s="596"/>
      <c r="F1898" s="671"/>
      <c r="G1898" s="597"/>
      <c r="H1898" s="682">
        <f>SUM(H1899:H1901)</f>
        <v>202.28954899999999</v>
      </c>
      <c r="I1898" s="592">
        <v>1549.3901939787315</v>
      </c>
      <c r="J1898" s="592">
        <f t="shared" ref="J1898" si="1266">IF(ISBLANK(I1898),"",SUM(H1898:I1898))</f>
        <v>1751.6797429787316</v>
      </c>
      <c r="K1898" s="593">
        <f t="shared" si="1257"/>
        <v>2131.9699999999998</v>
      </c>
      <c r="L1898" s="594" t="s">
        <v>21</v>
      </c>
      <c r="M1898" s="92"/>
      <c r="N1898" s="92"/>
      <c r="O1898" s="93">
        <f t="shared" si="1144"/>
        <v>0</v>
      </c>
      <c r="P1898" s="93">
        <f t="shared" si="1145"/>
        <v>0</v>
      </c>
      <c r="Q1898" s="94"/>
      <c r="R1898" s="92">
        <f t="shared" si="1146"/>
        <v>0</v>
      </c>
      <c r="S1898" s="92">
        <f t="shared" si="1147"/>
        <v>0</v>
      </c>
      <c r="T1898" s="93">
        <f t="shared" si="1148"/>
        <v>0</v>
      </c>
      <c r="U1898" s="95">
        <f t="shared" si="1149"/>
        <v>0</v>
      </c>
      <c r="V1898" s="94"/>
      <c r="X1898" s="580" t="str">
        <f t="shared" si="1260"/>
        <v/>
      </c>
      <c r="Y1898" s="580" t="str">
        <f t="shared" si="1142"/>
        <v/>
      </c>
      <c r="Z1898" s="580" t="str">
        <f t="shared" si="1255"/>
        <v/>
      </c>
    </row>
    <row r="1899" spans="1:26" hidden="1" x14ac:dyDescent="0.2">
      <c r="A1899" s="97" t="s">
        <v>165</v>
      </c>
      <c r="B1899" s="1031" t="s">
        <v>165</v>
      </c>
      <c r="C1899" s="978"/>
      <c r="D1899" s="595" t="s">
        <v>218</v>
      </c>
      <c r="E1899" s="596"/>
      <c r="F1899" s="671">
        <v>500</v>
      </c>
      <c r="G1899" s="597">
        <v>0.2863</v>
      </c>
      <c r="H1899" s="682">
        <f>IF(F1899&lt;=30,(0.51*F1899+4.28)*G1899,((0.51*30+4.28)+0.42*(F1899-30))*G1899)</f>
        <v>62.121374000000003</v>
      </c>
      <c r="I1899" s="592">
        <v>0</v>
      </c>
      <c r="J1899" s="592"/>
      <c r="K1899" s="593">
        <f t="shared" si="1257"/>
        <v>0</v>
      </c>
      <c r="L1899" s="594"/>
      <c r="M1899" s="92"/>
      <c r="N1899" s="92"/>
      <c r="O1899" s="93">
        <f t="shared" si="1144"/>
        <v>0</v>
      </c>
      <c r="P1899" s="93">
        <f t="shared" si="1145"/>
        <v>0</v>
      </c>
      <c r="Q1899" s="94"/>
      <c r="R1899" s="92">
        <f t="shared" si="1146"/>
        <v>0</v>
      </c>
      <c r="S1899" s="92">
        <f t="shared" si="1147"/>
        <v>0</v>
      </c>
      <c r="T1899" s="93">
        <f t="shared" si="1148"/>
        <v>0</v>
      </c>
      <c r="U1899" s="95">
        <f t="shared" si="1149"/>
        <v>0</v>
      </c>
      <c r="V1899" s="94"/>
      <c r="W1899" s="96" t="str">
        <f>IF(U1898&gt;0,"xx",IF(P1898&gt;0,"xy",""))</f>
        <v/>
      </c>
      <c r="X1899" s="580" t="str">
        <f t="shared" si="1260"/>
        <v/>
      </c>
      <c r="Y1899" s="580" t="str">
        <f t="shared" si="1142"/>
        <v/>
      </c>
      <c r="Z1899" s="580" t="str">
        <f t="shared" si="1255"/>
        <v/>
      </c>
    </row>
    <row r="1900" spans="1:26" hidden="1" x14ac:dyDescent="0.2">
      <c r="A1900" s="97" t="s">
        <v>165</v>
      </c>
      <c r="B1900" s="1031" t="s">
        <v>165</v>
      </c>
      <c r="C1900" s="978"/>
      <c r="D1900" s="595" t="s">
        <v>257</v>
      </c>
      <c r="E1900" s="596"/>
      <c r="F1900" s="671">
        <v>180</v>
      </c>
      <c r="G1900" s="597">
        <v>1.0182</v>
      </c>
      <c r="H1900" s="682">
        <f>IF(F1900=0,0,IF(F1900&lt;=30,(0.7*F1900+1.45)*G1900,((0.7*30+1.45)+0.58*(F1900-30))*G1900))</f>
        <v>111.44199</v>
      </c>
      <c r="I1900" s="592">
        <v>0</v>
      </c>
      <c r="J1900" s="592"/>
      <c r="K1900" s="593">
        <f t="shared" si="1257"/>
        <v>0</v>
      </c>
      <c r="L1900" s="594"/>
      <c r="M1900" s="92"/>
      <c r="N1900" s="92"/>
      <c r="O1900" s="93">
        <f t="shared" si="1144"/>
        <v>0</v>
      </c>
      <c r="P1900" s="93">
        <f t="shared" si="1145"/>
        <v>0</v>
      </c>
      <c r="Q1900" s="94"/>
      <c r="R1900" s="92">
        <f t="shared" si="1146"/>
        <v>0</v>
      </c>
      <c r="S1900" s="92">
        <f t="shared" si="1147"/>
        <v>0</v>
      </c>
      <c r="T1900" s="93">
        <f t="shared" si="1148"/>
        <v>0</v>
      </c>
      <c r="U1900" s="95">
        <f t="shared" si="1149"/>
        <v>0</v>
      </c>
      <c r="V1900" s="94"/>
      <c r="W1900" s="96" t="str">
        <f>IF(U1898&gt;0,"xx",IF(P1898&gt;0,"xy",""))</f>
        <v/>
      </c>
      <c r="X1900" s="580" t="str">
        <f t="shared" si="1260"/>
        <v/>
      </c>
      <c r="Y1900" s="580" t="str">
        <f t="shared" si="1142"/>
        <v/>
      </c>
      <c r="Z1900" s="580" t="str">
        <f t="shared" si="1255"/>
        <v/>
      </c>
    </row>
    <row r="1901" spans="1:26" hidden="1" x14ac:dyDescent="0.2">
      <c r="A1901" s="97" t="s">
        <v>165</v>
      </c>
      <c r="B1901" s="1031" t="s">
        <v>165</v>
      </c>
      <c r="C1901" s="978"/>
      <c r="D1901" s="595" t="s">
        <v>261</v>
      </c>
      <c r="E1901" s="596"/>
      <c r="F1901" s="671">
        <v>20</v>
      </c>
      <c r="G1901" s="597">
        <v>1.8593</v>
      </c>
      <c r="H1901" s="682">
        <f>IF(F1901=0,0,IF(F1901&lt;=30,(0.7*F1901+1.45)*G1901,((0.7*30+1.45)+0.58*(F1901-30))*G1901))</f>
        <v>28.726184999999997</v>
      </c>
      <c r="I1901" s="592">
        <v>0</v>
      </c>
      <c r="J1901" s="592"/>
      <c r="K1901" s="593">
        <f t="shared" si="1257"/>
        <v>0</v>
      </c>
      <c r="L1901" s="594"/>
      <c r="M1901" s="92"/>
      <c r="N1901" s="92"/>
      <c r="O1901" s="93">
        <f t="shared" si="1144"/>
        <v>0</v>
      </c>
      <c r="P1901" s="93">
        <f t="shared" si="1145"/>
        <v>0</v>
      </c>
      <c r="Q1901" s="94"/>
      <c r="R1901" s="92">
        <f t="shared" si="1146"/>
        <v>0</v>
      </c>
      <c r="S1901" s="92">
        <f t="shared" si="1147"/>
        <v>0</v>
      </c>
      <c r="T1901" s="93">
        <f t="shared" si="1148"/>
        <v>0</v>
      </c>
      <c r="U1901" s="95">
        <f t="shared" si="1149"/>
        <v>0</v>
      </c>
      <c r="V1901" s="94"/>
      <c r="W1901" s="96" t="str">
        <f>IF(U1898&gt;0,"xx",IF(P1898&gt;0,"xy",""))</f>
        <v/>
      </c>
      <c r="X1901" s="580" t="str">
        <f t="shared" si="1260"/>
        <v/>
      </c>
      <c r="Y1901" s="580" t="str">
        <f t="shared" si="1142"/>
        <v/>
      </c>
      <c r="Z1901" s="580" t="str">
        <f t="shared" si="1255"/>
        <v/>
      </c>
    </row>
    <row r="1902" spans="1:26" hidden="1" x14ac:dyDescent="0.2">
      <c r="A1902" s="1008">
        <v>620200</v>
      </c>
      <c r="B1902" s="1010" t="s">
        <v>2191</v>
      </c>
      <c r="C1902" s="978" t="s">
        <v>212</v>
      </c>
      <c r="D1902" s="595" t="s">
        <v>381</v>
      </c>
      <c r="E1902" s="596"/>
      <c r="F1902" s="671"/>
      <c r="G1902" s="597"/>
      <c r="H1902" s="682">
        <f>SUM(H1903:H1905)</f>
        <v>293.342939</v>
      </c>
      <c r="I1902" s="592">
        <v>2171.8384791942863</v>
      </c>
      <c r="J1902" s="592">
        <f t="shared" ref="J1902" si="1267">IF(ISBLANK(I1902),"",SUM(H1902:I1902))</f>
        <v>2465.1814181942864</v>
      </c>
      <c r="K1902" s="593">
        <f t="shared" si="1257"/>
        <v>3000.37</v>
      </c>
      <c r="L1902" s="594" t="s">
        <v>21</v>
      </c>
      <c r="M1902" s="92"/>
      <c r="N1902" s="92"/>
      <c r="O1902" s="93">
        <f t="shared" si="1144"/>
        <v>0</v>
      </c>
      <c r="P1902" s="93">
        <f t="shared" si="1145"/>
        <v>0</v>
      </c>
      <c r="Q1902" s="94"/>
      <c r="R1902" s="92">
        <f t="shared" si="1146"/>
        <v>0</v>
      </c>
      <c r="S1902" s="92">
        <f t="shared" si="1147"/>
        <v>0</v>
      </c>
      <c r="T1902" s="93">
        <f t="shared" si="1148"/>
        <v>0</v>
      </c>
      <c r="U1902" s="95">
        <f t="shared" si="1149"/>
        <v>0</v>
      </c>
      <c r="V1902" s="94"/>
      <c r="X1902" s="580" t="str">
        <f t="shared" si="1260"/>
        <v/>
      </c>
      <c r="Y1902" s="580" t="str">
        <f t="shared" si="1142"/>
        <v/>
      </c>
      <c r="Z1902" s="580" t="str">
        <f t="shared" si="1255"/>
        <v/>
      </c>
    </row>
    <row r="1903" spans="1:26" hidden="1" x14ac:dyDescent="0.2">
      <c r="A1903" s="97" t="s">
        <v>165</v>
      </c>
      <c r="B1903" s="1031" t="s">
        <v>165</v>
      </c>
      <c r="C1903" s="978"/>
      <c r="D1903" s="595" t="s">
        <v>218</v>
      </c>
      <c r="E1903" s="596"/>
      <c r="F1903" s="671">
        <v>500</v>
      </c>
      <c r="G1903" s="597">
        <v>0.4153</v>
      </c>
      <c r="H1903" s="682">
        <f>IF(F1903&lt;=30,(0.51*F1903+4.28)*G1903,((0.51*30+4.28)+0.42*(F1903-30))*G1903)</f>
        <v>90.111794000000003</v>
      </c>
      <c r="I1903" s="592">
        <v>0</v>
      </c>
      <c r="J1903" s="592"/>
      <c r="K1903" s="593">
        <f t="shared" si="1257"/>
        <v>0</v>
      </c>
      <c r="L1903" s="594"/>
      <c r="M1903" s="92"/>
      <c r="N1903" s="92"/>
      <c r="O1903" s="93">
        <f t="shared" si="1144"/>
        <v>0</v>
      </c>
      <c r="P1903" s="93">
        <f t="shared" si="1145"/>
        <v>0</v>
      </c>
      <c r="Q1903" s="94"/>
      <c r="R1903" s="92">
        <f t="shared" si="1146"/>
        <v>0</v>
      </c>
      <c r="S1903" s="92">
        <f t="shared" si="1147"/>
        <v>0</v>
      </c>
      <c r="T1903" s="93">
        <f t="shared" si="1148"/>
        <v>0</v>
      </c>
      <c r="U1903" s="95">
        <f t="shared" si="1149"/>
        <v>0</v>
      </c>
      <c r="V1903" s="94"/>
      <c r="W1903" s="96" t="str">
        <f>IF(U1902&gt;0,"xx",IF(P1902&gt;0,"xy",""))</f>
        <v/>
      </c>
      <c r="X1903" s="580" t="str">
        <f t="shared" si="1260"/>
        <v/>
      </c>
      <c r="Y1903" s="580" t="str">
        <f t="shared" si="1142"/>
        <v/>
      </c>
      <c r="Z1903" s="580" t="str">
        <f t="shared" si="1255"/>
        <v/>
      </c>
    </row>
    <row r="1904" spans="1:26" hidden="1" x14ac:dyDescent="0.2">
      <c r="A1904" s="97" t="s">
        <v>165</v>
      </c>
      <c r="B1904" s="1031" t="s">
        <v>165</v>
      </c>
      <c r="C1904" s="978"/>
      <c r="D1904" s="595" t="s">
        <v>257</v>
      </c>
      <c r="E1904" s="596"/>
      <c r="F1904" s="671">
        <v>180</v>
      </c>
      <c r="G1904" s="597">
        <v>1.4762999999999999</v>
      </c>
      <c r="H1904" s="682">
        <f>IF(F1904=0,0,IF(F1904&lt;=30,(0.7*F1904+1.45)*G1904,((0.7*30+1.45)+0.58*(F1904-30))*G1904))</f>
        <v>161.58103499999999</v>
      </c>
      <c r="I1904" s="592">
        <v>0</v>
      </c>
      <c r="J1904" s="592"/>
      <c r="K1904" s="593">
        <f t="shared" si="1257"/>
        <v>0</v>
      </c>
      <c r="L1904" s="594"/>
      <c r="M1904" s="92"/>
      <c r="N1904" s="92"/>
      <c r="O1904" s="93">
        <f t="shared" si="1144"/>
        <v>0</v>
      </c>
      <c r="P1904" s="93">
        <f t="shared" si="1145"/>
        <v>0</v>
      </c>
      <c r="Q1904" s="94"/>
      <c r="R1904" s="92">
        <f t="shared" si="1146"/>
        <v>0</v>
      </c>
      <c r="S1904" s="92">
        <f t="shared" si="1147"/>
        <v>0</v>
      </c>
      <c r="T1904" s="93">
        <f t="shared" si="1148"/>
        <v>0</v>
      </c>
      <c r="U1904" s="95">
        <f t="shared" si="1149"/>
        <v>0</v>
      </c>
      <c r="V1904" s="94"/>
      <c r="W1904" s="96" t="str">
        <f>IF(U1902&gt;0,"xx",IF(P1902&gt;0,"xy",""))</f>
        <v/>
      </c>
      <c r="X1904" s="580" t="str">
        <f t="shared" si="1260"/>
        <v/>
      </c>
      <c r="Y1904" s="580" t="str">
        <f t="shared" si="1142"/>
        <v/>
      </c>
      <c r="Z1904" s="580" t="str">
        <f t="shared" si="1255"/>
        <v/>
      </c>
    </row>
    <row r="1905" spans="1:26" hidden="1" x14ac:dyDescent="0.2">
      <c r="A1905" s="97" t="s">
        <v>165</v>
      </c>
      <c r="B1905" s="1031" t="s">
        <v>165</v>
      </c>
      <c r="C1905" s="978"/>
      <c r="D1905" s="595" t="s">
        <v>261</v>
      </c>
      <c r="E1905" s="596"/>
      <c r="F1905" s="671">
        <v>20</v>
      </c>
      <c r="G1905" s="597">
        <v>2.6958000000000002</v>
      </c>
      <c r="H1905" s="682">
        <f>IF(F1905=0,0,IF(F1905&lt;=30,(0.7*F1905+1.45)*G1905,((0.7*30+1.45)+0.58*(F1905-30))*G1905))</f>
        <v>41.650109999999998</v>
      </c>
      <c r="I1905" s="592">
        <v>0</v>
      </c>
      <c r="J1905" s="592"/>
      <c r="K1905" s="593">
        <f t="shared" si="1257"/>
        <v>0</v>
      </c>
      <c r="L1905" s="594"/>
      <c r="M1905" s="92"/>
      <c r="N1905" s="92"/>
      <c r="O1905" s="93">
        <f t="shared" si="1144"/>
        <v>0</v>
      </c>
      <c r="P1905" s="93">
        <f t="shared" si="1145"/>
        <v>0</v>
      </c>
      <c r="Q1905" s="94"/>
      <c r="R1905" s="92">
        <f t="shared" si="1146"/>
        <v>0</v>
      </c>
      <c r="S1905" s="92">
        <f t="shared" si="1147"/>
        <v>0</v>
      </c>
      <c r="T1905" s="93">
        <f t="shared" si="1148"/>
        <v>0</v>
      </c>
      <c r="U1905" s="95">
        <f t="shared" si="1149"/>
        <v>0</v>
      </c>
      <c r="V1905" s="94"/>
      <c r="W1905" s="96" t="str">
        <f>IF(U1902&gt;0,"xx",IF(P1902&gt;0,"xy",""))</f>
        <v/>
      </c>
      <c r="X1905" s="580" t="str">
        <f t="shared" si="1260"/>
        <v/>
      </c>
      <c r="Y1905" s="580" t="str">
        <f t="shared" si="1142"/>
        <v/>
      </c>
      <c r="Z1905" s="580" t="str">
        <f t="shared" si="1255"/>
        <v/>
      </c>
    </row>
    <row r="1906" spans="1:26" hidden="1" x14ac:dyDescent="0.2">
      <c r="A1906" s="1008">
        <v>620700</v>
      </c>
      <c r="B1906" s="1010">
        <v>620700</v>
      </c>
      <c r="C1906" s="978" t="s">
        <v>212</v>
      </c>
      <c r="D1906" s="595" t="s">
        <v>382</v>
      </c>
      <c r="E1906" s="596"/>
      <c r="F1906" s="671"/>
      <c r="G1906" s="597"/>
      <c r="H1906" s="682">
        <f>SUM(H1907:H1909)</f>
        <v>440.18659800000006</v>
      </c>
      <c r="I1906" s="592">
        <v>3059.9100000000003</v>
      </c>
      <c r="J1906" s="592">
        <f t="shared" ref="J1906" si="1268">IF(ISBLANK(I1906),"",SUM(H1906:I1906))</f>
        <v>3500.0965980000005</v>
      </c>
      <c r="K1906" s="593">
        <f t="shared" si="1257"/>
        <v>4259.97</v>
      </c>
      <c r="L1906" s="594" t="s">
        <v>21</v>
      </c>
      <c r="M1906" s="92"/>
      <c r="N1906" s="92"/>
      <c r="O1906" s="93">
        <f t="shared" si="1144"/>
        <v>0</v>
      </c>
      <c r="P1906" s="93">
        <f t="shared" si="1145"/>
        <v>0</v>
      </c>
      <c r="Q1906" s="94"/>
      <c r="R1906" s="92">
        <f t="shared" si="1146"/>
        <v>0</v>
      </c>
      <c r="S1906" s="92">
        <f t="shared" si="1147"/>
        <v>0</v>
      </c>
      <c r="T1906" s="93">
        <f t="shared" si="1148"/>
        <v>0</v>
      </c>
      <c r="U1906" s="95">
        <f t="shared" si="1149"/>
        <v>0</v>
      </c>
      <c r="V1906" s="94"/>
      <c r="X1906" s="580" t="str">
        <f t="shared" si="1260"/>
        <v/>
      </c>
      <c r="Y1906" s="580" t="str">
        <f t="shared" si="1142"/>
        <v/>
      </c>
      <c r="Z1906" s="580" t="str">
        <f t="shared" si="1255"/>
        <v/>
      </c>
    </row>
    <row r="1907" spans="1:26" hidden="1" x14ac:dyDescent="0.2">
      <c r="A1907" s="97" t="s">
        <v>165</v>
      </c>
      <c r="B1907" s="1031" t="s">
        <v>165</v>
      </c>
      <c r="C1907" s="978"/>
      <c r="D1907" s="595" t="s">
        <v>218</v>
      </c>
      <c r="E1907" s="596"/>
      <c r="F1907" s="671">
        <v>500</v>
      </c>
      <c r="G1907" s="597" t="s">
        <v>94</v>
      </c>
      <c r="H1907" s="682">
        <f>IF(F1907&lt;=30,(0.51*F1907+4.28)*G1907,((0.51*30+4.28)+0.42*(F1907-30))*G1907)</f>
        <v>135.20023800000001</v>
      </c>
      <c r="I1907" s="592">
        <v>0</v>
      </c>
      <c r="J1907" s="592"/>
      <c r="K1907" s="593">
        <f t="shared" si="1257"/>
        <v>0</v>
      </c>
      <c r="L1907" s="594"/>
      <c r="M1907" s="92"/>
      <c r="N1907" s="92"/>
      <c r="O1907" s="93">
        <f t="shared" si="1144"/>
        <v>0</v>
      </c>
      <c r="P1907" s="93">
        <f t="shared" si="1145"/>
        <v>0</v>
      </c>
      <c r="Q1907" s="94"/>
      <c r="R1907" s="92">
        <f t="shared" si="1146"/>
        <v>0</v>
      </c>
      <c r="S1907" s="92">
        <f t="shared" si="1147"/>
        <v>0</v>
      </c>
      <c r="T1907" s="93">
        <f t="shared" si="1148"/>
        <v>0</v>
      </c>
      <c r="U1907" s="95">
        <f t="shared" si="1149"/>
        <v>0</v>
      </c>
      <c r="V1907" s="94"/>
      <c r="W1907" s="96" t="str">
        <f>IF(U1906&gt;0,"xx",IF(P1906&gt;0,"xy",""))</f>
        <v/>
      </c>
      <c r="X1907" s="580" t="str">
        <f t="shared" si="1260"/>
        <v/>
      </c>
      <c r="Y1907" s="580" t="str">
        <f t="shared" si="1142"/>
        <v/>
      </c>
      <c r="Z1907" s="580" t="str">
        <f t="shared" si="1255"/>
        <v/>
      </c>
    </row>
    <row r="1908" spans="1:26" hidden="1" x14ac:dyDescent="0.2">
      <c r="A1908" s="97" t="s">
        <v>165</v>
      </c>
      <c r="B1908" s="1031" t="s">
        <v>165</v>
      </c>
      <c r="C1908" s="978"/>
      <c r="D1908" s="595" t="s">
        <v>257</v>
      </c>
      <c r="E1908" s="596"/>
      <c r="F1908" s="671">
        <v>180</v>
      </c>
      <c r="G1908" s="597" t="s">
        <v>95</v>
      </c>
      <c r="H1908" s="682">
        <f>IF(F1908=0,0,IF(F1908&lt;=30,(0.7*F1908+1.45)*G1908,((0.7*30+1.45)+0.58*(F1908-30))*G1908))</f>
        <v>242.48647500000001</v>
      </c>
      <c r="I1908" s="592">
        <v>0</v>
      </c>
      <c r="J1908" s="592"/>
      <c r="K1908" s="593">
        <f t="shared" si="1257"/>
        <v>0</v>
      </c>
      <c r="L1908" s="594"/>
      <c r="M1908" s="92"/>
      <c r="N1908" s="92"/>
      <c r="O1908" s="93">
        <f t="shared" si="1144"/>
        <v>0</v>
      </c>
      <c r="P1908" s="93">
        <f t="shared" si="1145"/>
        <v>0</v>
      </c>
      <c r="Q1908" s="94"/>
      <c r="R1908" s="92">
        <f t="shared" si="1146"/>
        <v>0</v>
      </c>
      <c r="S1908" s="92">
        <f t="shared" si="1147"/>
        <v>0</v>
      </c>
      <c r="T1908" s="93">
        <f t="shared" si="1148"/>
        <v>0</v>
      </c>
      <c r="U1908" s="95">
        <f t="shared" si="1149"/>
        <v>0</v>
      </c>
      <c r="V1908" s="94"/>
      <c r="W1908" s="96" t="str">
        <f>IF(U1906&gt;0,"xx",IF(P1906&gt;0,"xy",""))</f>
        <v/>
      </c>
      <c r="X1908" s="580" t="str">
        <f t="shared" si="1260"/>
        <v/>
      </c>
      <c r="Y1908" s="580" t="str">
        <f t="shared" si="1142"/>
        <v/>
      </c>
      <c r="Z1908" s="580" t="str">
        <f t="shared" si="1255"/>
        <v/>
      </c>
    </row>
    <row r="1909" spans="1:26" hidden="1" x14ac:dyDescent="0.2">
      <c r="A1909" s="97" t="s">
        <v>165</v>
      </c>
      <c r="B1909" s="1031" t="s">
        <v>165</v>
      </c>
      <c r="C1909" s="978"/>
      <c r="D1909" s="595" t="s">
        <v>261</v>
      </c>
      <c r="E1909" s="596"/>
      <c r="F1909" s="671">
        <v>20</v>
      </c>
      <c r="G1909" s="597">
        <v>4.0453000000000001</v>
      </c>
      <c r="H1909" s="682">
        <f>IF(F1909=0,0,IF(F1909&lt;=30,(0.7*F1909+1.45)*G1909,((0.7*30+1.45)+0.58*(F1909-30))*G1909))</f>
        <v>62.499884999999999</v>
      </c>
      <c r="I1909" s="592">
        <v>0</v>
      </c>
      <c r="J1909" s="592"/>
      <c r="K1909" s="593">
        <f t="shared" si="1257"/>
        <v>0</v>
      </c>
      <c r="L1909" s="594"/>
      <c r="M1909" s="92"/>
      <c r="N1909" s="92"/>
      <c r="O1909" s="93">
        <f t="shared" si="1144"/>
        <v>0</v>
      </c>
      <c r="P1909" s="93">
        <f t="shared" si="1145"/>
        <v>0</v>
      </c>
      <c r="Q1909" s="94"/>
      <c r="R1909" s="92">
        <f t="shared" si="1146"/>
        <v>0</v>
      </c>
      <c r="S1909" s="92">
        <f t="shared" si="1147"/>
        <v>0</v>
      </c>
      <c r="T1909" s="93">
        <f t="shared" si="1148"/>
        <v>0</v>
      </c>
      <c r="U1909" s="95">
        <f t="shared" si="1149"/>
        <v>0</v>
      </c>
      <c r="V1909" s="94"/>
      <c r="W1909" s="96" t="str">
        <f>IF(U1906&gt;0,"xx",IF(P1906&gt;0,"xy",""))</f>
        <v/>
      </c>
      <c r="X1909" s="580" t="str">
        <f t="shared" si="1260"/>
        <v/>
      </c>
      <c r="Y1909" s="580" t="str">
        <f t="shared" si="1142"/>
        <v/>
      </c>
      <c r="Z1909" s="580" t="str">
        <f t="shared" si="1255"/>
        <v/>
      </c>
    </row>
    <row r="1910" spans="1:26" hidden="1" x14ac:dyDescent="0.2">
      <c r="A1910" s="1008">
        <v>620800</v>
      </c>
      <c r="B1910" s="1010">
        <v>620800</v>
      </c>
      <c r="C1910" s="978" t="s">
        <v>212</v>
      </c>
      <c r="D1910" s="595" t="s">
        <v>383</v>
      </c>
      <c r="E1910" s="596"/>
      <c r="F1910" s="671"/>
      <c r="G1910" s="597"/>
      <c r="H1910" s="682">
        <f>SUM(H1911:H1913)</f>
        <v>578.78751399999999</v>
      </c>
      <c r="I1910" s="592">
        <v>3886.02</v>
      </c>
      <c r="J1910" s="592">
        <f t="shared" ref="J1910" si="1269">IF(ISBLANK(I1910),"",SUM(H1910:I1910))</f>
        <v>4464.8075140000001</v>
      </c>
      <c r="K1910" s="593">
        <f t="shared" si="1257"/>
        <v>5434.12</v>
      </c>
      <c r="L1910" s="594" t="s">
        <v>21</v>
      </c>
      <c r="M1910" s="92"/>
      <c r="N1910" s="92"/>
      <c r="O1910" s="93">
        <f t="shared" si="1144"/>
        <v>0</v>
      </c>
      <c r="P1910" s="93">
        <f t="shared" si="1145"/>
        <v>0</v>
      </c>
      <c r="Q1910" s="94"/>
      <c r="R1910" s="92">
        <f t="shared" si="1146"/>
        <v>0</v>
      </c>
      <c r="S1910" s="92">
        <f t="shared" si="1147"/>
        <v>0</v>
      </c>
      <c r="T1910" s="93">
        <f t="shared" si="1148"/>
        <v>0</v>
      </c>
      <c r="U1910" s="95">
        <f t="shared" si="1149"/>
        <v>0</v>
      </c>
      <c r="V1910" s="94"/>
      <c r="X1910" s="580" t="str">
        <f t="shared" si="1260"/>
        <v/>
      </c>
      <c r="Y1910" s="580" t="str">
        <f t="shared" si="1142"/>
        <v/>
      </c>
      <c r="Z1910" s="580" t="str">
        <f t="shared" si="1255"/>
        <v/>
      </c>
    </row>
    <row r="1911" spans="1:26" hidden="1" x14ac:dyDescent="0.2">
      <c r="A1911" s="97" t="s">
        <v>165</v>
      </c>
      <c r="B1911" s="1031" t="s">
        <v>165</v>
      </c>
      <c r="C1911" s="978"/>
      <c r="D1911" s="595" t="s">
        <v>218</v>
      </c>
      <c r="E1911" s="596"/>
      <c r="F1911" s="671">
        <v>500</v>
      </c>
      <c r="G1911" s="597">
        <v>0.81930000000000003</v>
      </c>
      <c r="H1911" s="682">
        <f>IF(F1911&lt;=30,(0.51*F1911+4.28)*G1911,((0.51*30+4.28)+0.42*(F1911-30))*G1911)</f>
        <v>177.77171400000003</v>
      </c>
      <c r="I1911" s="592">
        <v>0</v>
      </c>
      <c r="J1911" s="592"/>
      <c r="K1911" s="593">
        <f t="shared" si="1257"/>
        <v>0</v>
      </c>
      <c r="L1911" s="594"/>
      <c r="M1911" s="92"/>
      <c r="N1911" s="92"/>
      <c r="O1911" s="93">
        <f t="shared" si="1144"/>
        <v>0</v>
      </c>
      <c r="P1911" s="93">
        <f t="shared" si="1145"/>
        <v>0</v>
      </c>
      <c r="Q1911" s="94"/>
      <c r="R1911" s="92">
        <f t="shared" si="1146"/>
        <v>0</v>
      </c>
      <c r="S1911" s="92">
        <f t="shared" si="1147"/>
        <v>0</v>
      </c>
      <c r="T1911" s="93">
        <f t="shared" si="1148"/>
        <v>0</v>
      </c>
      <c r="U1911" s="95">
        <f t="shared" si="1149"/>
        <v>0</v>
      </c>
      <c r="V1911" s="94"/>
      <c r="W1911" s="96" t="str">
        <f>IF(U1910&gt;0,"xx",IF(P1910&gt;0,"xy",""))</f>
        <v/>
      </c>
      <c r="X1911" s="580" t="str">
        <f t="shared" si="1260"/>
        <v/>
      </c>
      <c r="Y1911" s="580" t="str">
        <f t="shared" si="1142"/>
        <v/>
      </c>
      <c r="Z1911" s="580" t="str">
        <f t="shared" si="1255"/>
        <v/>
      </c>
    </row>
    <row r="1912" spans="1:26" hidden="1" x14ac:dyDescent="0.2">
      <c r="A1912" s="97" t="s">
        <v>165</v>
      </c>
      <c r="B1912" s="1031" t="s">
        <v>165</v>
      </c>
      <c r="C1912" s="978"/>
      <c r="D1912" s="595" t="s">
        <v>257</v>
      </c>
      <c r="E1912" s="596"/>
      <c r="F1912" s="671">
        <v>180</v>
      </c>
      <c r="G1912" s="597">
        <v>2.9131</v>
      </c>
      <c r="H1912" s="682">
        <f>IF(F1912=0,0,IF(F1912&lt;=30,(0.7*F1912+1.45)*G1912,((0.7*30+1.45)+0.58*(F1912-30))*G1912))</f>
        <v>318.838795</v>
      </c>
      <c r="I1912" s="592">
        <v>0</v>
      </c>
      <c r="J1912" s="592"/>
      <c r="K1912" s="593">
        <f t="shared" si="1257"/>
        <v>0</v>
      </c>
      <c r="L1912" s="594"/>
      <c r="M1912" s="92"/>
      <c r="N1912" s="92"/>
      <c r="O1912" s="93">
        <f t="shared" si="1144"/>
        <v>0</v>
      </c>
      <c r="P1912" s="93">
        <f t="shared" si="1145"/>
        <v>0</v>
      </c>
      <c r="Q1912" s="94"/>
      <c r="R1912" s="92">
        <f t="shared" si="1146"/>
        <v>0</v>
      </c>
      <c r="S1912" s="92">
        <f t="shared" si="1147"/>
        <v>0</v>
      </c>
      <c r="T1912" s="93">
        <f t="shared" si="1148"/>
        <v>0</v>
      </c>
      <c r="U1912" s="95">
        <f t="shared" si="1149"/>
        <v>0</v>
      </c>
      <c r="V1912" s="94"/>
      <c r="W1912" s="96" t="str">
        <f>IF(U1910&gt;0,"xx",IF(P1910&gt;0,"xy",""))</f>
        <v/>
      </c>
      <c r="X1912" s="580" t="str">
        <f t="shared" si="1260"/>
        <v/>
      </c>
      <c r="Y1912" s="580" t="str">
        <f t="shared" si="1142"/>
        <v/>
      </c>
      <c r="Z1912" s="580" t="str">
        <f t="shared" si="1255"/>
        <v/>
      </c>
    </row>
    <row r="1913" spans="1:26" hidden="1" x14ac:dyDescent="0.2">
      <c r="A1913" s="97" t="s">
        <v>165</v>
      </c>
      <c r="B1913" s="1031" t="s">
        <v>165</v>
      </c>
      <c r="C1913" s="978"/>
      <c r="D1913" s="595" t="s">
        <v>261</v>
      </c>
      <c r="E1913" s="596"/>
      <c r="F1913" s="671">
        <v>20</v>
      </c>
      <c r="G1913" s="597">
        <v>5.3189000000000002</v>
      </c>
      <c r="H1913" s="682">
        <f>IF(F1913=0,0,IF(F1913&lt;=30,(0.7*F1913+1.45)*G1913,((0.7*30+1.45)+0.58*(F1913-30))*G1913))</f>
        <v>82.177004999999994</v>
      </c>
      <c r="I1913" s="592">
        <v>0</v>
      </c>
      <c r="J1913" s="592"/>
      <c r="K1913" s="593">
        <f t="shared" si="1257"/>
        <v>0</v>
      </c>
      <c r="L1913" s="594"/>
      <c r="M1913" s="92"/>
      <c r="N1913" s="92"/>
      <c r="O1913" s="93">
        <f t="shared" si="1144"/>
        <v>0</v>
      </c>
      <c r="P1913" s="93">
        <f t="shared" si="1145"/>
        <v>0</v>
      </c>
      <c r="Q1913" s="94"/>
      <c r="R1913" s="92">
        <f t="shared" si="1146"/>
        <v>0</v>
      </c>
      <c r="S1913" s="92">
        <f t="shared" si="1147"/>
        <v>0</v>
      </c>
      <c r="T1913" s="93">
        <f t="shared" si="1148"/>
        <v>0</v>
      </c>
      <c r="U1913" s="95">
        <f t="shared" si="1149"/>
        <v>0</v>
      </c>
      <c r="V1913" s="94"/>
      <c r="W1913" s="96" t="str">
        <f>IF(U1910&gt;0,"xx",IF(P1910&gt;0,"xy",""))</f>
        <v/>
      </c>
      <c r="X1913" s="580" t="str">
        <f t="shared" si="1260"/>
        <v/>
      </c>
      <c r="Y1913" s="580" t="str">
        <f t="shared" si="1142"/>
        <v/>
      </c>
      <c r="Z1913" s="580" t="str">
        <f t="shared" si="1255"/>
        <v/>
      </c>
    </row>
    <row r="1914" spans="1:26" hidden="1" x14ac:dyDescent="0.2">
      <c r="A1914" s="1008">
        <v>620900</v>
      </c>
      <c r="B1914" s="1010">
        <v>620900</v>
      </c>
      <c r="C1914" s="978" t="s">
        <v>212</v>
      </c>
      <c r="D1914" s="595" t="s">
        <v>384</v>
      </c>
      <c r="E1914" s="596"/>
      <c r="F1914" s="671"/>
      <c r="G1914" s="597"/>
      <c r="H1914" s="682">
        <f>SUM(H1915:H1917)</f>
        <v>1137.679077</v>
      </c>
      <c r="I1914" s="592">
        <v>6583.16</v>
      </c>
      <c r="J1914" s="592">
        <f t="shared" ref="J1914" si="1270">IF(ISBLANK(I1914),"",SUM(H1914:I1914))</f>
        <v>7720.8390769999996</v>
      </c>
      <c r="K1914" s="593">
        <f t="shared" si="1257"/>
        <v>9397.0300000000007</v>
      </c>
      <c r="L1914" s="594" t="s">
        <v>21</v>
      </c>
      <c r="M1914" s="92"/>
      <c r="N1914" s="92"/>
      <c r="O1914" s="93">
        <f t="shared" si="1144"/>
        <v>0</v>
      </c>
      <c r="P1914" s="93">
        <f t="shared" si="1145"/>
        <v>0</v>
      </c>
      <c r="Q1914" s="94"/>
      <c r="R1914" s="92">
        <f t="shared" si="1146"/>
        <v>0</v>
      </c>
      <c r="S1914" s="92">
        <f t="shared" si="1147"/>
        <v>0</v>
      </c>
      <c r="T1914" s="93">
        <f t="shared" si="1148"/>
        <v>0</v>
      </c>
      <c r="U1914" s="95">
        <f t="shared" si="1149"/>
        <v>0</v>
      </c>
      <c r="V1914" s="94"/>
      <c r="X1914" s="580" t="str">
        <f t="shared" si="1260"/>
        <v/>
      </c>
      <c r="Y1914" s="580" t="str">
        <f t="shared" si="1142"/>
        <v/>
      </c>
      <c r="Z1914" s="580" t="str">
        <f t="shared" si="1255"/>
        <v/>
      </c>
    </row>
    <row r="1915" spans="1:26" hidden="1" x14ac:dyDescent="0.2">
      <c r="A1915" s="97" t="s">
        <v>165</v>
      </c>
      <c r="B1915" s="1031" t="s">
        <v>165</v>
      </c>
      <c r="C1915" s="978"/>
      <c r="D1915" s="595" t="s">
        <v>218</v>
      </c>
      <c r="E1915" s="596"/>
      <c r="F1915" s="671">
        <v>500</v>
      </c>
      <c r="G1915" s="597">
        <v>1.6104000000000001</v>
      </c>
      <c r="H1915" s="682">
        <f>IF(F1915&lt;=30,(0.51*F1915+4.28)*G1915,((0.51*30+4.28)+0.42*(F1915-30))*G1915)</f>
        <v>349.42459200000002</v>
      </c>
      <c r="I1915" s="592">
        <v>0</v>
      </c>
      <c r="J1915" s="592"/>
      <c r="K1915" s="593">
        <f t="shared" si="1257"/>
        <v>0</v>
      </c>
      <c r="L1915" s="594"/>
      <c r="M1915" s="92"/>
      <c r="N1915" s="92"/>
      <c r="O1915" s="93">
        <f t="shared" si="1144"/>
        <v>0</v>
      </c>
      <c r="P1915" s="93">
        <f t="shared" si="1145"/>
        <v>0</v>
      </c>
      <c r="Q1915" s="94"/>
      <c r="R1915" s="92">
        <f t="shared" si="1146"/>
        <v>0</v>
      </c>
      <c r="S1915" s="92">
        <f t="shared" si="1147"/>
        <v>0</v>
      </c>
      <c r="T1915" s="93">
        <f t="shared" si="1148"/>
        <v>0</v>
      </c>
      <c r="U1915" s="95">
        <f t="shared" si="1149"/>
        <v>0</v>
      </c>
      <c r="V1915" s="94"/>
      <c r="W1915" s="96" t="str">
        <f>IF(U1914&gt;0,"xx",IF(P1914&gt;0,"xy",""))</f>
        <v/>
      </c>
      <c r="X1915" s="580" t="str">
        <f t="shared" si="1260"/>
        <v/>
      </c>
      <c r="Y1915" s="580" t="str">
        <f t="shared" si="1142"/>
        <v/>
      </c>
      <c r="Z1915" s="580" t="str">
        <f t="shared" si="1255"/>
        <v/>
      </c>
    </row>
    <row r="1916" spans="1:26" hidden="1" x14ac:dyDescent="0.2">
      <c r="A1916" s="97" t="s">
        <v>165</v>
      </c>
      <c r="B1916" s="1031" t="s">
        <v>165</v>
      </c>
      <c r="C1916" s="978"/>
      <c r="D1916" s="595" t="s">
        <v>257</v>
      </c>
      <c r="E1916" s="596"/>
      <c r="F1916" s="671">
        <v>180</v>
      </c>
      <c r="G1916" s="597">
        <v>5.7260999999999997</v>
      </c>
      <c r="H1916" s="682">
        <f>IF(F1916=0,0,IF(F1916&lt;=30,(0.7*F1916+1.45)*G1916,((0.7*30+1.45)+0.58*(F1916-30))*G1916))</f>
        <v>626.72164499999997</v>
      </c>
      <c r="I1916" s="592">
        <v>0</v>
      </c>
      <c r="J1916" s="592"/>
      <c r="K1916" s="593">
        <f t="shared" si="1257"/>
        <v>0</v>
      </c>
      <c r="L1916" s="594"/>
      <c r="M1916" s="92"/>
      <c r="N1916" s="92"/>
      <c r="O1916" s="93">
        <f t="shared" si="1144"/>
        <v>0</v>
      </c>
      <c r="P1916" s="93">
        <f t="shared" si="1145"/>
        <v>0</v>
      </c>
      <c r="Q1916" s="94"/>
      <c r="R1916" s="92">
        <f t="shared" si="1146"/>
        <v>0</v>
      </c>
      <c r="S1916" s="92">
        <f t="shared" si="1147"/>
        <v>0</v>
      </c>
      <c r="T1916" s="93">
        <f t="shared" si="1148"/>
        <v>0</v>
      </c>
      <c r="U1916" s="95">
        <f t="shared" si="1149"/>
        <v>0</v>
      </c>
      <c r="V1916" s="94"/>
      <c r="W1916" s="96" t="str">
        <f>IF(U1914&gt;0,"xx",IF(P1914&gt;0,"xy",""))</f>
        <v/>
      </c>
      <c r="X1916" s="580" t="str">
        <f t="shared" si="1260"/>
        <v/>
      </c>
      <c r="Y1916" s="580" t="str">
        <f t="shared" si="1142"/>
        <v/>
      </c>
      <c r="Z1916" s="580" t="str">
        <f t="shared" si="1255"/>
        <v/>
      </c>
    </row>
    <row r="1917" spans="1:26" hidden="1" x14ac:dyDescent="0.2">
      <c r="A1917" s="97" t="s">
        <v>165</v>
      </c>
      <c r="B1917" s="1031" t="s">
        <v>165</v>
      </c>
      <c r="C1917" s="978"/>
      <c r="D1917" s="595" t="s">
        <v>261</v>
      </c>
      <c r="E1917" s="596"/>
      <c r="F1917" s="671">
        <v>20</v>
      </c>
      <c r="G1917" s="597">
        <v>10.4552</v>
      </c>
      <c r="H1917" s="682">
        <f>IF(F1917=0,0,IF(F1917&lt;=30,(0.7*F1917+1.45)*G1917,((0.7*30+1.45)+0.58*(F1917-30))*G1917))</f>
        <v>161.53283999999999</v>
      </c>
      <c r="I1917" s="592">
        <v>0</v>
      </c>
      <c r="J1917" s="592"/>
      <c r="K1917" s="593">
        <f t="shared" si="1257"/>
        <v>0</v>
      </c>
      <c r="L1917" s="594"/>
      <c r="M1917" s="92"/>
      <c r="N1917" s="92"/>
      <c r="O1917" s="93">
        <f t="shared" si="1144"/>
        <v>0</v>
      </c>
      <c r="P1917" s="93">
        <f t="shared" si="1145"/>
        <v>0</v>
      </c>
      <c r="Q1917" s="94"/>
      <c r="R1917" s="92">
        <f t="shared" si="1146"/>
        <v>0</v>
      </c>
      <c r="S1917" s="92">
        <f t="shared" si="1147"/>
        <v>0</v>
      </c>
      <c r="T1917" s="93">
        <f t="shared" si="1148"/>
        <v>0</v>
      </c>
      <c r="U1917" s="95">
        <f t="shared" si="1149"/>
        <v>0</v>
      </c>
      <c r="V1917" s="94"/>
      <c r="W1917" s="96" t="str">
        <f>IF(U1914&gt;0,"xx",IF(P1914&gt;0,"xy",""))</f>
        <v/>
      </c>
      <c r="X1917" s="580" t="str">
        <f t="shared" si="1260"/>
        <v/>
      </c>
      <c r="Y1917" s="580" t="str">
        <f t="shared" si="1142"/>
        <v/>
      </c>
      <c r="Z1917" s="580" t="str">
        <f t="shared" si="1255"/>
        <v/>
      </c>
    </row>
    <row r="1918" spans="1:26" hidden="1" x14ac:dyDescent="0.2">
      <c r="A1918" s="1008">
        <v>621000</v>
      </c>
      <c r="B1918" s="1010">
        <v>621000</v>
      </c>
      <c r="C1918" s="978" t="s">
        <v>212</v>
      </c>
      <c r="D1918" s="595" t="s">
        <v>385</v>
      </c>
      <c r="E1918" s="596"/>
      <c r="F1918" s="671"/>
      <c r="G1918" s="597"/>
      <c r="H1918" s="682">
        <f>SUM(H1919:H1921)</f>
        <v>2176.56781</v>
      </c>
      <c r="I1918" s="592">
        <v>11375.210000000001</v>
      </c>
      <c r="J1918" s="592">
        <f t="shared" ref="J1918" si="1271">IF(ISBLANK(I1918),"",SUM(H1918:I1918))</f>
        <v>13551.777810000001</v>
      </c>
      <c r="K1918" s="593">
        <f t="shared" si="1257"/>
        <v>16493.87</v>
      </c>
      <c r="L1918" s="594" t="s">
        <v>21</v>
      </c>
      <c r="M1918" s="92"/>
      <c r="N1918" s="92"/>
      <c r="O1918" s="93">
        <f t="shared" si="1144"/>
        <v>0</v>
      </c>
      <c r="P1918" s="93">
        <f t="shared" si="1145"/>
        <v>0</v>
      </c>
      <c r="Q1918" s="94"/>
      <c r="R1918" s="92">
        <f t="shared" si="1146"/>
        <v>0</v>
      </c>
      <c r="S1918" s="92">
        <f t="shared" si="1147"/>
        <v>0</v>
      </c>
      <c r="T1918" s="93">
        <f t="shared" si="1148"/>
        <v>0</v>
      </c>
      <c r="U1918" s="95">
        <f t="shared" si="1149"/>
        <v>0</v>
      </c>
      <c r="V1918" s="94"/>
      <c r="X1918" s="580" t="str">
        <f t="shared" si="1260"/>
        <v/>
      </c>
      <c r="Y1918" s="580" t="str">
        <f t="shared" si="1142"/>
        <v/>
      </c>
      <c r="Z1918" s="580" t="str">
        <f t="shared" si="1255"/>
        <v/>
      </c>
    </row>
    <row r="1919" spans="1:26" hidden="1" x14ac:dyDescent="0.2">
      <c r="A1919" s="97" t="s">
        <v>165</v>
      </c>
      <c r="B1919" s="1031" t="s">
        <v>165</v>
      </c>
      <c r="C1919" s="978"/>
      <c r="D1919" s="595" t="s">
        <v>218</v>
      </c>
      <c r="E1919" s="596"/>
      <c r="F1919" s="671">
        <v>500</v>
      </c>
      <c r="G1919" s="597">
        <v>3.081</v>
      </c>
      <c r="H1919" s="682">
        <f>IF(F1919&lt;=30,(0.51*F1919+4.28)*G1919,((0.51*30+4.28)+0.42*(F1919-30))*G1919)</f>
        <v>668.51538000000005</v>
      </c>
      <c r="I1919" s="592">
        <v>0</v>
      </c>
      <c r="J1919" s="592"/>
      <c r="K1919" s="593">
        <f t="shared" si="1257"/>
        <v>0</v>
      </c>
      <c r="L1919" s="594"/>
      <c r="M1919" s="92"/>
      <c r="N1919" s="92"/>
      <c r="O1919" s="93">
        <f t="shared" si="1144"/>
        <v>0</v>
      </c>
      <c r="P1919" s="93">
        <f t="shared" si="1145"/>
        <v>0</v>
      </c>
      <c r="Q1919" s="94"/>
      <c r="R1919" s="92">
        <f t="shared" si="1146"/>
        <v>0</v>
      </c>
      <c r="S1919" s="92">
        <f t="shared" si="1147"/>
        <v>0</v>
      </c>
      <c r="T1919" s="93">
        <f t="shared" si="1148"/>
        <v>0</v>
      </c>
      <c r="U1919" s="95">
        <f t="shared" si="1149"/>
        <v>0</v>
      </c>
      <c r="V1919" s="94"/>
      <c r="W1919" s="96" t="str">
        <f>IF(U1918&gt;0,"xx",IF(P1918&gt;0,"xy",""))</f>
        <v/>
      </c>
      <c r="X1919" s="580" t="str">
        <f t="shared" si="1260"/>
        <v/>
      </c>
      <c r="Y1919" s="580" t="str">
        <f t="shared" si="1142"/>
        <v/>
      </c>
      <c r="Z1919" s="580" t="str">
        <f t="shared" si="1255"/>
        <v/>
      </c>
    </row>
    <row r="1920" spans="1:26" hidden="1" x14ac:dyDescent="0.2">
      <c r="A1920" s="97" t="s">
        <v>165</v>
      </c>
      <c r="B1920" s="1031" t="s">
        <v>165</v>
      </c>
      <c r="C1920" s="978"/>
      <c r="D1920" s="595" t="s">
        <v>257</v>
      </c>
      <c r="E1920" s="596"/>
      <c r="F1920" s="671">
        <v>180</v>
      </c>
      <c r="G1920" s="597">
        <v>10.9549</v>
      </c>
      <c r="H1920" s="682">
        <f>IF(F1920=0,0,IF(F1920&lt;=30,(0.7*F1920+1.45)*G1920,((0.7*30+1.45)+0.58*(F1920-30))*G1920))</f>
        <v>1199.013805</v>
      </c>
      <c r="I1920" s="592">
        <v>0</v>
      </c>
      <c r="J1920" s="592"/>
      <c r="K1920" s="593">
        <f t="shared" si="1257"/>
        <v>0</v>
      </c>
      <c r="L1920" s="594"/>
      <c r="M1920" s="92"/>
      <c r="N1920" s="92"/>
      <c r="O1920" s="93">
        <f t="shared" si="1144"/>
        <v>0</v>
      </c>
      <c r="P1920" s="93">
        <f t="shared" si="1145"/>
        <v>0</v>
      </c>
      <c r="Q1920" s="94"/>
      <c r="R1920" s="92">
        <f t="shared" si="1146"/>
        <v>0</v>
      </c>
      <c r="S1920" s="92">
        <f t="shared" si="1147"/>
        <v>0</v>
      </c>
      <c r="T1920" s="93">
        <f t="shared" si="1148"/>
        <v>0</v>
      </c>
      <c r="U1920" s="95">
        <f t="shared" si="1149"/>
        <v>0</v>
      </c>
      <c r="V1920" s="94"/>
      <c r="W1920" s="96" t="str">
        <f>IF(U1918&gt;0,"xx",IF(P1918&gt;0,"xy",""))</f>
        <v/>
      </c>
      <c r="X1920" s="580" t="str">
        <f t="shared" si="1260"/>
        <v/>
      </c>
      <c r="Y1920" s="580" t="str">
        <f t="shared" si="1142"/>
        <v/>
      </c>
      <c r="Z1920" s="580" t="str">
        <f t="shared" si="1255"/>
        <v/>
      </c>
    </row>
    <row r="1921" spans="1:26" hidden="1" x14ac:dyDescent="0.2">
      <c r="A1921" s="97" t="s">
        <v>165</v>
      </c>
      <c r="B1921" s="1031" t="s">
        <v>165</v>
      </c>
      <c r="C1921" s="978"/>
      <c r="D1921" s="595" t="s">
        <v>261</v>
      </c>
      <c r="E1921" s="596"/>
      <c r="F1921" s="671">
        <v>20</v>
      </c>
      <c r="G1921" s="597">
        <v>20.002500000000001</v>
      </c>
      <c r="H1921" s="682">
        <f>IF(F1921=0,0,IF(F1921&lt;=30,(0.7*F1921+1.45)*G1921,((0.7*30+1.45)+0.58*(F1921-30))*G1921))</f>
        <v>309.03862500000002</v>
      </c>
      <c r="I1921" s="592">
        <v>0</v>
      </c>
      <c r="J1921" s="592"/>
      <c r="K1921" s="593">
        <f t="shared" si="1257"/>
        <v>0</v>
      </c>
      <c r="L1921" s="594"/>
      <c r="M1921" s="92"/>
      <c r="N1921" s="92"/>
      <c r="O1921" s="93">
        <f t="shared" si="1144"/>
        <v>0</v>
      </c>
      <c r="P1921" s="93">
        <f t="shared" si="1145"/>
        <v>0</v>
      </c>
      <c r="Q1921" s="94"/>
      <c r="R1921" s="92">
        <f t="shared" si="1146"/>
        <v>0</v>
      </c>
      <c r="S1921" s="92">
        <f t="shared" si="1147"/>
        <v>0</v>
      </c>
      <c r="T1921" s="93">
        <f t="shared" si="1148"/>
        <v>0</v>
      </c>
      <c r="U1921" s="95">
        <f t="shared" si="1149"/>
        <v>0</v>
      </c>
      <c r="V1921" s="94"/>
      <c r="W1921" s="96" t="str">
        <f>IF(U1918&gt;0,"xx",IF(P1918&gt;0,"xy",""))</f>
        <v/>
      </c>
      <c r="X1921" s="580" t="str">
        <f t="shared" si="1260"/>
        <v/>
      </c>
      <c r="Y1921" s="580" t="str">
        <f t="shared" si="1142"/>
        <v/>
      </c>
      <c r="Z1921" s="580" t="str">
        <f t="shared" si="1255"/>
        <v/>
      </c>
    </row>
    <row r="1922" spans="1:26" hidden="1" x14ac:dyDescent="0.2">
      <c r="A1922" s="1008">
        <v>620100</v>
      </c>
      <c r="B1922" s="1010" t="s">
        <v>2189</v>
      </c>
      <c r="C1922" s="978" t="s">
        <v>212</v>
      </c>
      <c r="D1922" s="595" t="s">
        <v>386</v>
      </c>
      <c r="E1922" s="596"/>
      <c r="F1922" s="671"/>
      <c r="G1922" s="597"/>
      <c r="H1922" s="682">
        <f>SUM(H1923:H1925)</f>
        <v>264.82625400000001</v>
      </c>
      <c r="I1922" s="592">
        <v>1965.5025771487717</v>
      </c>
      <c r="J1922" s="592">
        <f t="shared" ref="J1922" si="1272">IF(ISBLANK(I1922),"",SUM(H1922:I1922))</f>
        <v>2230.3288311487718</v>
      </c>
      <c r="K1922" s="593">
        <f t="shared" si="1257"/>
        <v>2714.53</v>
      </c>
      <c r="L1922" s="594" t="s">
        <v>21</v>
      </c>
      <c r="M1922" s="92"/>
      <c r="N1922" s="92"/>
      <c r="O1922" s="93">
        <f t="shared" si="1144"/>
        <v>0</v>
      </c>
      <c r="P1922" s="93">
        <f t="shared" si="1145"/>
        <v>0</v>
      </c>
      <c r="Q1922" s="94"/>
      <c r="R1922" s="92">
        <f t="shared" si="1146"/>
        <v>0</v>
      </c>
      <c r="S1922" s="92">
        <f t="shared" si="1147"/>
        <v>0</v>
      </c>
      <c r="T1922" s="93">
        <f t="shared" si="1148"/>
        <v>0</v>
      </c>
      <c r="U1922" s="95">
        <f t="shared" si="1149"/>
        <v>0</v>
      </c>
      <c r="V1922" s="94"/>
      <c r="X1922" s="580" t="str">
        <f t="shared" si="1260"/>
        <v/>
      </c>
      <c r="Y1922" s="580" t="str">
        <f t="shared" si="1142"/>
        <v/>
      </c>
      <c r="Z1922" s="580" t="str">
        <f t="shared" si="1255"/>
        <v/>
      </c>
    </row>
    <row r="1923" spans="1:26" hidden="1" x14ac:dyDescent="0.2">
      <c r="A1923" s="97" t="s">
        <v>165</v>
      </c>
      <c r="B1923" s="1031" t="s">
        <v>165</v>
      </c>
      <c r="C1923" s="978"/>
      <c r="D1923" s="595" t="s">
        <v>218</v>
      </c>
      <c r="E1923" s="596"/>
      <c r="F1923" s="671">
        <v>500</v>
      </c>
      <c r="G1923" s="597">
        <v>0.37480000000000002</v>
      </c>
      <c r="H1923" s="682">
        <f>IF(F1923&lt;=30,(0.51*F1923+4.28)*G1923,((0.51*30+4.28)+0.42*(F1923-30))*G1923)</f>
        <v>81.324104000000005</v>
      </c>
      <c r="I1923" s="592">
        <v>0</v>
      </c>
      <c r="J1923" s="592"/>
      <c r="K1923" s="593">
        <f t="shared" si="1257"/>
        <v>0</v>
      </c>
      <c r="L1923" s="594"/>
      <c r="M1923" s="92"/>
      <c r="N1923" s="92"/>
      <c r="O1923" s="93">
        <f t="shared" si="1144"/>
        <v>0</v>
      </c>
      <c r="P1923" s="93">
        <f t="shared" si="1145"/>
        <v>0</v>
      </c>
      <c r="Q1923" s="94"/>
      <c r="R1923" s="92">
        <f t="shared" si="1146"/>
        <v>0</v>
      </c>
      <c r="S1923" s="92">
        <f t="shared" si="1147"/>
        <v>0</v>
      </c>
      <c r="T1923" s="93">
        <f t="shared" si="1148"/>
        <v>0</v>
      </c>
      <c r="U1923" s="95">
        <f t="shared" si="1149"/>
        <v>0</v>
      </c>
      <c r="V1923" s="94"/>
      <c r="W1923" s="96" t="str">
        <f>IF(U1922&gt;0,"xx",IF(P1922&gt;0,"xy",""))</f>
        <v/>
      </c>
      <c r="X1923" s="580" t="str">
        <f t="shared" si="1260"/>
        <v/>
      </c>
      <c r="Y1923" s="580" t="str">
        <f t="shared" si="1142"/>
        <v/>
      </c>
      <c r="Z1923" s="580" t="str">
        <f t="shared" si="1255"/>
        <v/>
      </c>
    </row>
    <row r="1924" spans="1:26" hidden="1" x14ac:dyDescent="0.2">
      <c r="A1924" s="97" t="s">
        <v>165</v>
      </c>
      <c r="B1924" s="1031" t="s">
        <v>165</v>
      </c>
      <c r="C1924" s="978"/>
      <c r="D1924" s="595" t="s">
        <v>257</v>
      </c>
      <c r="E1924" s="596"/>
      <c r="F1924" s="671">
        <v>180</v>
      </c>
      <c r="G1924" s="597">
        <v>1.333</v>
      </c>
      <c r="H1924" s="682">
        <f>IF(F1924=0,0,IF(F1924&lt;=30,(0.7*F1924+1.45)*G1924,((0.7*30+1.45)+0.58*(F1924-30))*G1924))</f>
        <v>145.89685</v>
      </c>
      <c r="I1924" s="592">
        <v>0</v>
      </c>
      <c r="J1924" s="592"/>
      <c r="K1924" s="593">
        <f t="shared" si="1257"/>
        <v>0</v>
      </c>
      <c r="L1924" s="594"/>
      <c r="M1924" s="92"/>
      <c r="N1924" s="92"/>
      <c r="O1924" s="93">
        <f t="shared" si="1144"/>
        <v>0</v>
      </c>
      <c r="P1924" s="93">
        <f t="shared" si="1145"/>
        <v>0</v>
      </c>
      <c r="Q1924" s="94"/>
      <c r="R1924" s="92">
        <f t="shared" si="1146"/>
        <v>0</v>
      </c>
      <c r="S1924" s="92">
        <f t="shared" si="1147"/>
        <v>0</v>
      </c>
      <c r="T1924" s="93">
        <f t="shared" si="1148"/>
        <v>0</v>
      </c>
      <c r="U1924" s="95">
        <f t="shared" si="1149"/>
        <v>0</v>
      </c>
      <c r="V1924" s="94"/>
      <c r="W1924" s="96" t="str">
        <f>IF(U1922&gt;0,"xx",IF(P1922&gt;0,"xy",""))</f>
        <v/>
      </c>
      <c r="X1924" s="580" t="str">
        <f t="shared" si="1260"/>
        <v/>
      </c>
      <c r="Y1924" s="580" t="str">
        <f t="shared" si="1142"/>
        <v/>
      </c>
      <c r="Z1924" s="580" t="str">
        <f t="shared" si="1255"/>
        <v/>
      </c>
    </row>
    <row r="1925" spans="1:26" hidden="1" x14ac:dyDescent="0.2">
      <c r="A1925" s="97" t="s">
        <v>165</v>
      </c>
      <c r="B1925" s="1031" t="s">
        <v>165</v>
      </c>
      <c r="C1925" s="978"/>
      <c r="D1925" s="595" t="s">
        <v>261</v>
      </c>
      <c r="E1925" s="596"/>
      <c r="F1925" s="671">
        <v>20</v>
      </c>
      <c r="G1925" s="597">
        <v>2.4340000000000002</v>
      </c>
      <c r="H1925" s="682">
        <f>IF(F1925=0,0,IF(F1925&lt;=30,(0.7*F1925+1.45)*G1925,((0.7*30+1.45)+0.58*(F1925-30))*G1925))</f>
        <v>37.6053</v>
      </c>
      <c r="I1925" s="592">
        <v>0</v>
      </c>
      <c r="J1925" s="592"/>
      <c r="K1925" s="593">
        <f t="shared" si="1257"/>
        <v>0</v>
      </c>
      <c r="L1925" s="594"/>
      <c r="M1925" s="92"/>
      <c r="N1925" s="92"/>
      <c r="O1925" s="93">
        <f t="shared" si="1144"/>
        <v>0</v>
      </c>
      <c r="P1925" s="93">
        <f t="shared" si="1145"/>
        <v>0</v>
      </c>
      <c r="Q1925" s="94"/>
      <c r="R1925" s="92">
        <f t="shared" si="1146"/>
        <v>0</v>
      </c>
      <c r="S1925" s="92">
        <f t="shared" si="1147"/>
        <v>0</v>
      </c>
      <c r="T1925" s="93">
        <f t="shared" si="1148"/>
        <v>0</v>
      </c>
      <c r="U1925" s="95">
        <f t="shared" si="1149"/>
        <v>0</v>
      </c>
      <c r="V1925" s="94"/>
      <c r="W1925" s="96" t="str">
        <f>IF(U1922&gt;0,"xx",IF(P1922&gt;0,"xy",""))</f>
        <v/>
      </c>
      <c r="X1925" s="580" t="str">
        <f t="shared" si="1260"/>
        <v/>
      </c>
      <c r="Y1925" s="580" t="str">
        <f t="shared" si="1142"/>
        <v/>
      </c>
      <c r="Z1925" s="580" t="str">
        <f t="shared" si="1255"/>
        <v/>
      </c>
    </row>
    <row r="1926" spans="1:26" hidden="1" x14ac:dyDescent="0.2">
      <c r="A1926" s="1008">
        <v>620200</v>
      </c>
      <c r="B1926" s="1010" t="s">
        <v>2192</v>
      </c>
      <c r="C1926" s="978" t="s">
        <v>212</v>
      </c>
      <c r="D1926" s="595" t="s">
        <v>387</v>
      </c>
      <c r="E1926" s="596"/>
      <c r="F1926" s="671"/>
      <c r="G1926" s="597">
        <v>0</v>
      </c>
      <c r="H1926" s="682">
        <f>SUM(H1927:H1929)</f>
        <v>384.00739300000004</v>
      </c>
      <c r="I1926" s="592">
        <v>2759.829147579881</v>
      </c>
      <c r="J1926" s="592">
        <f t="shared" ref="J1926" si="1273">IF(ISBLANK(I1926),"",SUM(H1926:I1926))</f>
        <v>3143.8365405798809</v>
      </c>
      <c r="K1926" s="593">
        <f t="shared" si="1257"/>
        <v>3826.36</v>
      </c>
      <c r="L1926" s="594" t="s">
        <v>21</v>
      </c>
      <c r="M1926" s="92"/>
      <c r="N1926" s="92"/>
      <c r="O1926" s="93">
        <f t="shared" si="1144"/>
        <v>0</v>
      </c>
      <c r="P1926" s="93">
        <f t="shared" si="1145"/>
        <v>0</v>
      </c>
      <c r="Q1926" s="94"/>
      <c r="R1926" s="92">
        <f t="shared" si="1146"/>
        <v>0</v>
      </c>
      <c r="S1926" s="92">
        <f t="shared" si="1147"/>
        <v>0</v>
      </c>
      <c r="T1926" s="93">
        <f t="shared" si="1148"/>
        <v>0</v>
      </c>
      <c r="U1926" s="95">
        <f t="shared" si="1149"/>
        <v>0</v>
      </c>
      <c r="V1926" s="94"/>
      <c r="X1926" s="580" t="str">
        <f t="shared" si="1260"/>
        <v/>
      </c>
      <c r="Y1926" s="580" t="str">
        <f t="shared" si="1142"/>
        <v/>
      </c>
      <c r="Z1926" s="580" t="str">
        <f t="shared" si="1255"/>
        <v/>
      </c>
    </row>
    <row r="1927" spans="1:26" hidden="1" x14ac:dyDescent="0.2">
      <c r="A1927" s="97" t="s">
        <v>165</v>
      </c>
      <c r="B1927" s="1031" t="s">
        <v>165</v>
      </c>
      <c r="C1927" s="978"/>
      <c r="D1927" s="595" t="s">
        <v>218</v>
      </c>
      <c r="E1927" s="596"/>
      <c r="F1927" s="671">
        <v>500</v>
      </c>
      <c r="G1927" s="597">
        <v>0.54359999999999997</v>
      </c>
      <c r="H1927" s="682">
        <f>IF(F1927&lt;=30,(0.51*F1927+4.28)*G1927,((0.51*30+4.28)+0.42*(F1927-30))*G1927)</f>
        <v>117.950328</v>
      </c>
      <c r="I1927" s="592">
        <v>0</v>
      </c>
      <c r="J1927" s="592"/>
      <c r="K1927" s="593">
        <f t="shared" si="1257"/>
        <v>0</v>
      </c>
      <c r="L1927" s="594"/>
      <c r="M1927" s="92"/>
      <c r="N1927" s="92"/>
      <c r="O1927" s="93">
        <f t="shared" si="1144"/>
        <v>0</v>
      </c>
      <c r="P1927" s="93">
        <f t="shared" si="1145"/>
        <v>0</v>
      </c>
      <c r="Q1927" s="94"/>
      <c r="R1927" s="92">
        <f t="shared" si="1146"/>
        <v>0</v>
      </c>
      <c r="S1927" s="92">
        <f t="shared" si="1147"/>
        <v>0</v>
      </c>
      <c r="T1927" s="93">
        <f t="shared" si="1148"/>
        <v>0</v>
      </c>
      <c r="U1927" s="95">
        <f t="shared" si="1149"/>
        <v>0</v>
      </c>
      <c r="V1927" s="94"/>
      <c r="W1927" s="96" t="str">
        <f>IF(U1926&gt;0,"xx",IF(P1926&gt;0,"xy",""))</f>
        <v/>
      </c>
      <c r="X1927" s="580" t="str">
        <f t="shared" si="1260"/>
        <v/>
      </c>
      <c r="Y1927" s="580" t="str">
        <f t="shared" si="1142"/>
        <v/>
      </c>
      <c r="Z1927" s="580" t="str">
        <f t="shared" si="1255"/>
        <v/>
      </c>
    </row>
    <row r="1928" spans="1:26" hidden="1" x14ac:dyDescent="0.2">
      <c r="A1928" s="97" t="s">
        <v>165</v>
      </c>
      <c r="B1928" s="1031" t="s">
        <v>165</v>
      </c>
      <c r="C1928" s="978"/>
      <c r="D1928" s="595" t="s">
        <v>257</v>
      </c>
      <c r="E1928" s="596"/>
      <c r="F1928" s="671">
        <v>180</v>
      </c>
      <c r="G1928" s="597">
        <v>1.9327000000000001</v>
      </c>
      <c r="H1928" s="682">
        <f>IF(F1928=0,0,IF(F1928&lt;=30,(0.7*F1928+1.45)*G1928,((0.7*30+1.45)+0.58*(F1928-30))*G1928))</f>
        <v>211.53401500000001</v>
      </c>
      <c r="I1928" s="592">
        <v>0</v>
      </c>
      <c r="J1928" s="592"/>
      <c r="K1928" s="593">
        <f t="shared" si="1257"/>
        <v>0</v>
      </c>
      <c r="L1928" s="594"/>
      <c r="M1928" s="92"/>
      <c r="N1928" s="92"/>
      <c r="O1928" s="93">
        <f t="shared" si="1144"/>
        <v>0</v>
      </c>
      <c r="P1928" s="93">
        <f t="shared" si="1145"/>
        <v>0</v>
      </c>
      <c r="Q1928" s="94"/>
      <c r="R1928" s="92">
        <f t="shared" si="1146"/>
        <v>0</v>
      </c>
      <c r="S1928" s="92">
        <f t="shared" si="1147"/>
        <v>0</v>
      </c>
      <c r="T1928" s="93">
        <f t="shared" si="1148"/>
        <v>0</v>
      </c>
      <c r="U1928" s="95">
        <f t="shared" si="1149"/>
        <v>0</v>
      </c>
      <c r="V1928" s="94"/>
      <c r="W1928" s="96" t="str">
        <f>IF(U1926&gt;0,"xx",IF(P1926&gt;0,"xy",""))</f>
        <v/>
      </c>
      <c r="X1928" s="580" t="str">
        <f t="shared" si="1260"/>
        <v/>
      </c>
      <c r="Y1928" s="580" t="str">
        <f t="shared" si="1142"/>
        <v/>
      </c>
      <c r="Z1928" s="580" t="str">
        <f t="shared" si="1255"/>
        <v/>
      </c>
    </row>
    <row r="1929" spans="1:26" hidden="1" x14ac:dyDescent="0.2">
      <c r="A1929" s="97" t="s">
        <v>165</v>
      </c>
      <c r="B1929" s="1031" t="s">
        <v>165</v>
      </c>
      <c r="C1929" s="978"/>
      <c r="D1929" s="595" t="s">
        <v>261</v>
      </c>
      <c r="E1929" s="596"/>
      <c r="F1929" s="671">
        <v>20</v>
      </c>
      <c r="G1929" s="597">
        <v>3.5289999999999999</v>
      </c>
      <c r="H1929" s="682">
        <f>IF(F1929=0,0,IF(F1929&lt;=30,(0.7*F1929+1.45)*G1929,((0.7*30+1.45)+0.58*(F1929-30))*G1929))</f>
        <v>54.523049999999998</v>
      </c>
      <c r="I1929" s="592">
        <v>0</v>
      </c>
      <c r="J1929" s="592"/>
      <c r="K1929" s="593">
        <f t="shared" si="1257"/>
        <v>0</v>
      </c>
      <c r="L1929" s="594"/>
      <c r="M1929" s="92"/>
      <c r="N1929" s="92"/>
      <c r="O1929" s="93">
        <f t="shared" si="1144"/>
        <v>0</v>
      </c>
      <c r="P1929" s="93">
        <f t="shared" si="1145"/>
        <v>0</v>
      </c>
      <c r="Q1929" s="94"/>
      <c r="R1929" s="92">
        <f t="shared" si="1146"/>
        <v>0</v>
      </c>
      <c r="S1929" s="92">
        <f t="shared" si="1147"/>
        <v>0</v>
      </c>
      <c r="T1929" s="93">
        <f t="shared" si="1148"/>
        <v>0</v>
      </c>
      <c r="U1929" s="95">
        <f t="shared" si="1149"/>
        <v>0</v>
      </c>
      <c r="V1929" s="94"/>
      <c r="W1929" s="96" t="str">
        <f>IF(U1926&gt;0,"xx",IF(P1926&gt;0,"xy",""))</f>
        <v/>
      </c>
      <c r="X1929" s="580" t="str">
        <f t="shared" si="1260"/>
        <v/>
      </c>
      <c r="Y1929" s="580" t="str">
        <f t="shared" si="1142"/>
        <v/>
      </c>
      <c r="Z1929" s="580" t="str">
        <f t="shared" si="1255"/>
        <v/>
      </c>
    </row>
    <row r="1930" spans="1:26" hidden="1" x14ac:dyDescent="0.2">
      <c r="A1930" s="1008">
        <v>621100</v>
      </c>
      <c r="B1930" s="1010">
        <v>621100</v>
      </c>
      <c r="C1930" s="978" t="s">
        <v>212</v>
      </c>
      <c r="D1930" s="595" t="s">
        <v>388</v>
      </c>
      <c r="E1930" s="596"/>
      <c r="F1930" s="671"/>
      <c r="G1930" s="597"/>
      <c r="H1930" s="682">
        <f>SUM(H1931:H1933)</f>
        <v>576.24698599999999</v>
      </c>
      <c r="I1930" s="592">
        <v>3889.84</v>
      </c>
      <c r="J1930" s="592">
        <f t="shared" ref="J1930" si="1274">IF(ISBLANK(I1930),"",SUM(H1930:I1930))</f>
        <v>4466.0869860000003</v>
      </c>
      <c r="K1930" s="593">
        <f t="shared" si="1257"/>
        <v>5435.67</v>
      </c>
      <c r="L1930" s="594" t="s">
        <v>21</v>
      </c>
      <c r="M1930" s="92"/>
      <c r="N1930" s="92"/>
      <c r="O1930" s="93">
        <f t="shared" si="1144"/>
        <v>0</v>
      </c>
      <c r="P1930" s="93">
        <f t="shared" si="1145"/>
        <v>0</v>
      </c>
      <c r="Q1930" s="94"/>
      <c r="R1930" s="92">
        <f t="shared" si="1146"/>
        <v>0</v>
      </c>
      <c r="S1930" s="92">
        <f t="shared" si="1147"/>
        <v>0</v>
      </c>
      <c r="T1930" s="93">
        <f t="shared" si="1148"/>
        <v>0</v>
      </c>
      <c r="U1930" s="95">
        <f t="shared" si="1149"/>
        <v>0</v>
      </c>
      <c r="V1930" s="94"/>
      <c r="X1930" s="580" t="str">
        <f t="shared" si="1260"/>
        <v/>
      </c>
      <c r="Y1930" s="580" t="str">
        <f t="shared" si="1142"/>
        <v/>
      </c>
      <c r="Z1930" s="580" t="str">
        <f t="shared" si="1255"/>
        <v/>
      </c>
    </row>
    <row r="1931" spans="1:26" hidden="1" x14ac:dyDescent="0.2">
      <c r="A1931" s="97" t="s">
        <v>165</v>
      </c>
      <c r="B1931" s="1031" t="s">
        <v>165</v>
      </c>
      <c r="C1931" s="978"/>
      <c r="D1931" s="595" t="s">
        <v>218</v>
      </c>
      <c r="E1931" s="596"/>
      <c r="F1931" s="671">
        <v>500</v>
      </c>
      <c r="G1931" s="597">
        <v>0.81569999999999998</v>
      </c>
      <c r="H1931" s="682">
        <f>IF(F1931&lt;=30,(0.51*F1931+4.28)*G1931,((0.51*30+4.28)+0.42*(F1931-30))*G1931)</f>
        <v>176.99058600000001</v>
      </c>
      <c r="I1931" s="592">
        <v>0</v>
      </c>
      <c r="J1931" s="592"/>
      <c r="K1931" s="593">
        <f t="shared" si="1257"/>
        <v>0</v>
      </c>
      <c r="L1931" s="594"/>
      <c r="M1931" s="92"/>
      <c r="N1931" s="92"/>
      <c r="O1931" s="93">
        <f t="shared" si="1144"/>
        <v>0</v>
      </c>
      <c r="P1931" s="93">
        <f t="shared" si="1145"/>
        <v>0</v>
      </c>
      <c r="Q1931" s="94"/>
      <c r="R1931" s="92">
        <f t="shared" si="1146"/>
        <v>0</v>
      </c>
      <c r="S1931" s="92">
        <f t="shared" si="1147"/>
        <v>0</v>
      </c>
      <c r="T1931" s="93">
        <f t="shared" si="1148"/>
        <v>0</v>
      </c>
      <c r="U1931" s="95">
        <f t="shared" si="1149"/>
        <v>0</v>
      </c>
      <c r="V1931" s="94"/>
      <c r="W1931" s="96" t="str">
        <f>IF(U1930&gt;0,"xx",IF(P1930&gt;0,"xy",""))</f>
        <v/>
      </c>
      <c r="X1931" s="580" t="str">
        <f t="shared" si="1260"/>
        <v/>
      </c>
      <c r="Y1931" s="580" t="str">
        <f t="shared" si="1142"/>
        <v/>
      </c>
      <c r="Z1931" s="580" t="str">
        <f t="shared" si="1255"/>
        <v/>
      </c>
    </row>
    <row r="1932" spans="1:26" hidden="1" x14ac:dyDescent="0.2">
      <c r="A1932" s="97" t="s">
        <v>165</v>
      </c>
      <c r="B1932" s="1031" t="s">
        <v>165</v>
      </c>
      <c r="C1932" s="978"/>
      <c r="D1932" s="595" t="s">
        <v>257</v>
      </c>
      <c r="E1932" s="596"/>
      <c r="F1932" s="671">
        <v>180</v>
      </c>
      <c r="G1932" s="597">
        <v>2.9003000000000001</v>
      </c>
      <c r="H1932" s="682">
        <f>IF(F1932=0,0,IF(F1932&lt;=30,(0.7*F1932+1.45)*G1932,((0.7*30+1.45)+0.58*(F1932-30))*G1932))</f>
        <v>317.43783500000001</v>
      </c>
      <c r="I1932" s="592">
        <v>0</v>
      </c>
      <c r="J1932" s="592"/>
      <c r="K1932" s="593">
        <f t="shared" si="1257"/>
        <v>0</v>
      </c>
      <c r="L1932" s="594"/>
      <c r="M1932" s="92"/>
      <c r="N1932" s="92"/>
      <c r="O1932" s="93">
        <f t="shared" si="1144"/>
        <v>0</v>
      </c>
      <c r="P1932" s="93">
        <f t="shared" si="1145"/>
        <v>0</v>
      </c>
      <c r="Q1932" s="94"/>
      <c r="R1932" s="92">
        <f t="shared" si="1146"/>
        <v>0</v>
      </c>
      <c r="S1932" s="92">
        <f t="shared" si="1147"/>
        <v>0</v>
      </c>
      <c r="T1932" s="93">
        <f t="shared" si="1148"/>
        <v>0</v>
      </c>
      <c r="U1932" s="95">
        <f t="shared" si="1149"/>
        <v>0</v>
      </c>
      <c r="V1932" s="94"/>
      <c r="W1932" s="96" t="str">
        <f>IF(U1930&gt;0,"xx",IF(P1930&gt;0,"xy",""))</f>
        <v/>
      </c>
      <c r="X1932" s="580" t="str">
        <f t="shared" si="1260"/>
        <v/>
      </c>
      <c r="Y1932" s="580" t="str">
        <f t="shared" si="1142"/>
        <v/>
      </c>
      <c r="Z1932" s="580" t="str">
        <f t="shared" si="1255"/>
        <v/>
      </c>
    </row>
    <row r="1933" spans="1:26" hidden="1" x14ac:dyDescent="0.2">
      <c r="A1933" s="97" t="s">
        <v>165</v>
      </c>
      <c r="B1933" s="1031" t="s">
        <v>165</v>
      </c>
      <c r="C1933" s="978"/>
      <c r="D1933" s="595" t="s">
        <v>261</v>
      </c>
      <c r="E1933" s="596"/>
      <c r="F1933" s="671">
        <v>20</v>
      </c>
      <c r="G1933" s="597">
        <v>5.2957000000000001</v>
      </c>
      <c r="H1933" s="682">
        <f>IF(F1933=0,0,IF(F1933&lt;=30,(0.7*F1933+1.45)*G1933,((0.7*30+1.45)+0.58*(F1933-30))*G1933))</f>
        <v>81.818564999999992</v>
      </c>
      <c r="I1933" s="592">
        <v>0</v>
      </c>
      <c r="J1933" s="592"/>
      <c r="K1933" s="593">
        <f t="shared" ref="K1933:K1996" si="1275">IF(ISBLANK(I1933),0,ROUND(J1933*(1+$F$10)*(1+$F$11*E1933),2))</f>
        <v>0</v>
      </c>
      <c r="L1933" s="594"/>
      <c r="M1933" s="92"/>
      <c r="N1933" s="92"/>
      <c r="O1933" s="93">
        <f t="shared" si="1144"/>
        <v>0</v>
      </c>
      <c r="P1933" s="93">
        <f t="shared" si="1145"/>
        <v>0</v>
      </c>
      <c r="Q1933" s="94"/>
      <c r="R1933" s="92">
        <f t="shared" si="1146"/>
        <v>0</v>
      </c>
      <c r="S1933" s="92">
        <f t="shared" si="1147"/>
        <v>0</v>
      </c>
      <c r="T1933" s="93">
        <f t="shared" si="1148"/>
        <v>0</v>
      </c>
      <c r="U1933" s="95">
        <f t="shared" si="1149"/>
        <v>0</v>
      </c>
      <c r="V1933" s="94"/>
      <c r="W1933" s="96" t="str">
        <f>IF(U1930&gt;0,"xx",IF(P1930&gt;0,"xy",""))</f>
        <v/>
      </c>
      <c r="X1933" s="580" t="str">
        <f t="shared" si="1260"/>
        <v/>
      </c>
      <c r="Y1933" s="580" t="str">
        <f t="shared" si="1142"/>
        <v/>
      </c>
      <c r="Z1933" s="580" t="str">
        <f t="shared" si="1255"/>
        <v/>
      </c>
    </row>
    <row r="1934" spans="1:26" hidden="1" x14ac:dyDescent="0.2">
      <c r="A1934" s="1008">
        <v>621200</v>
      </c>
      <c r="B1934" s="1010">
        <v>621200</v>
      </c>
      <c r="C1934" s="978" t="s">
        <v>212</v>
      </c>
      <c r="D1934" s="595" t="s">
        <v>389</v>
      </c>
      <c r="E1934" s="596"/>
      <c r="F1934" s="671"/>
      <c r="G1934" s="597"/>
      <c r="H1934" s="682">
        <f>SUM(H1935:H1937)</f>
        <v>747.00901199999998</v>
      </c>
      <c r="I1934" s="592">
        <v>4932.78</v>
      </c>
      <c r="J1934" s="592">
        <f t="shared" ref="J1934" si="1276">IF(ISBLANK(I1934),"",SUM(H1934:I1934))</f>
        <v>5679.7890119999993</v>
      </c>
      <c r="K1934" s="593">
        <f t="shared" si="1275"/>
        <v>6912.87</v>
      </c>
      <c r="L1934" s="594" t="s">
        <v>21</v>
      </c>
      <c r="M1934" s="92"/>
      <c r="N1934" s="92"/>
      <c r="O1934" s="93">
        <f t="shared" si="1144"/>
        <v>0</v>
      </c>
      <c r="P1934" s="93">
        <f t="shared" si="1145"/>
        <v>0</v>
      </c>
      <c r="Q1934" s="94"/>
      <c r="R1934" s="92">
        <f t="shared" si="1146"/>
        <v>0</v>
      </c>
      <c r="S1934" s="92">
        <f t="shared" si="1147"/>
        <v>0</v>
      </c>
      <c r="T1934" s="93">
        <f t="shared" si="1148"/>
        <v>0</v>
      </c>
      <c r="U1934" s="95">
        <f t="shared" si="1149"/>
        <v>0</v>
      </c>
      <c r="V1934" s="94"/>
      <c r="X1934" s="580" t="str">
        <f t="shared" si="1260"/>
        <v/>
      </c>
      <c r="Y1934" s="580" t="str">
        <f t="shared" si="1142"/>
        <v/>
      </c>
      <c r="Z1934" s="580" t="str">
        <f t="shared" si="1255"/>
        <v/>
      </c>
    </row>
    <row r="1935" spans="1:26" hidden="1" x14ac:dyDescent="0.2">
      <c r="A1935" s="97" t="s">
        <v>165</v>
      </c>
      <c r="B1935" s="1031" t="s">
        <v>165</v>
      </c>
      <c r="C1935" s="978"/>
      <c r="D1935" s="595" t="s">
        <v>218</v>
      </c>
      <c r="E1935" s="596"/>
      <c r="F1935" s="671">
        <v>500</v>
      </c>
      <c r="G1935" s="597">
        <v>1.0573999999999999</v>
      </c>
      <c r="H1935" s="682">
        <f>IF(F1935&lt;=30,(0.51*F1935+4.28)*G1935,((0.51*30+4.28)+0.42*(F1935-30))*G1935)</f>
        <v>229.434652</v>
      </c>
      <c r="I1935" s="592">
        <v>0</v>
      </c>
      <c r="J1935" s="592"/>
      <c r="K1935" s="593">
        <f t="shared" si="1275"/>
        <v>0</v>
      </c>
      <c r="L1935" s="594"/>
      <c r="M1935" s="92"/>
      <c r="N1935" s="92"/>
      <c r="O1935" s="93">
        <f t="shared" si="1144"/>
        <v>0</v>
      </c>
      <c r="P1935" s="93">
        <f t="shared" si="1145"/>
        <v>0</v>
      </c>
      <c r="Q1935" s="94"/>
      <c r="R1935" s="92">
        <f t="shared" si="1146"/>
        <v>0</v>
      </c>
      <c r="S1935" s="92">
        <f t="shared" si="1147"/>
        <v>0</v>
      </c>
      <c r="T1935" s="93">
        <f t="shared" si="1148"/>
        <v>0</v>
      </c>
      <c r="U1935" s="95">
        <f t="shared" si="1149"/>
        <v>0</v>
      </c>
      <c r="V1935" s="94"/>
      <c r="W1935" s="96" t="str">
        <f>IF(U1934&gt;0,"xx",IF(P1934&gt;0,"xy",""))</f>
        <v/>
      </c>
      <c r="X1935" s="580" t="str">
        <f t="shared" si="1260"/>
        <v/>
      </c>
      <c r="Y1935" s="580" t="str">
        <f t="shared" si="1142"/>
        <v/>
      </c>
      <c r="Z1935" s="580" t="str">
        <f t="shared" si="1255"/>
        <v/>
      </c>
    </row>
    <row r="1936" spans="1:26" hidden="1" x14ac:dyDescent="0.2">
      <c r="A1936" s="97" t="s">
        <v>165</v>
      </c>
      <c r="B1936" s="1031" t="s">
        <v>165</v>
      </c>
      <c r="C1936" s="978"/>
      <c r="D1936" s="595" t="s">
        <v>257</v>
      </c>
      <c r="E1936" s="596"/>
      <c r="F1936" s="671">
        <v>180</v>
      </c>
      <c r="G1936" s="597">
        <v>3.7597999999999998</v>
      </c>
      <c r="H1936" s="682">
        <f>IF(F1936=0,0,IF(F1936&lt;=30,(0.7*F1936+1.45)*G1936,((0.7*30+1.45)+0.58*(F1936-30))*G1936))</f>
        <v>411.51011</v>
      </c>
      <c r="I1936" s="592">
        <v>0</v>
      </c>
      <c r="J1936" s="592"/>
      <c r="K1936" s="593">
        <f t="shared" si="1275"/>
        <v>0</v>
      </c>
      <c r="L1936" s="594"/>
      <c r="M1936" s="92"/>
      <c r="N1936" s="92"/>
      <c r="O1936" s="93">
        <f t="shared" si="1144"/>
        <v>0</v>
      </c>
      <c r="P1936" s="93">
        <f t="shared" si="1145"/>
        <v>0</v>
      </c>
      <c r="Q1936" s="94"/>
      <c r="R1936" s="92">
        <f t="shared" si="1146"/>
        <v>0</v>
      </c>
      <c r="S1936" s="92">
        <f t="shared" si="1147"/>
        <v>0</v>
      </c>
      <c r="T1936" s="93">
        <f t="shared" si="1148"/>
        <v>0</v>
      </c>
      <c r="U1936" s="95">
        <f t="shared" si="1149"/>
        <v>0</v>
      </c>
      <c r="V1936" s="94"/>
      <c r="W1936" s="96" t="str">
        <f>IF(U1934&gt;0,"xx",IF(P1934&gt;0,"xy",""))</f>
        <v/>
      </c>
      <c r="X1936" s="580" t="str">
        <f t="shared" si="1260"/>
        <v/>
      </c>
      <c r="Y1936" s="580" t="str">
        <f t="shared" si="1142"/>
        <v/>
      </c>
      <c r="Z1936" s="580" t="str">
        <f t="shared" si="1255"/>
        <v/>
      </c>
    </row>
    <row r="1937" spans="1:26" hidden="1" x14ac:dyDescent="0.2">
      <c r="A1937" s="97" t="s">
        <v>165</v>
      </c>
      <c r="B1937" s="1031" t="s">
        <v>165</v>
      </c>
      <c r="C1937" s="978"/>
      <c r="D1937" s="595" t="s">
        <v>261</v>
      </c>
      <c r="E1937" s="596"/>
      <c r="F1937" s="671">
        <v>20</v>
      </c>
      <c r="G1937" s="597">
        <v>6.8650000000000002</v>
      </c>
      <c r="H1937" s="682">
        <f>IF(F1937=0,0,IF(F1937&lt;=30,(0.7*F1937+1.45)*G1937,((0.7*30+1.45)+0.58*(F1937-30))*G1937))</f>
        <v>106.06425</v>
      </c>
      <c r="I1937" s="592">
        <v>0</v>
      </c>
      <c r="J1937" s="592"/>
      <c r="K1937" s="593">
        <f t="shared" si="1275"/>
        <v>0</v>
      </c>
      <c r="L1937" s="594"/>
      <c r="M1937" s="92"/>
      <c r="N1937" s="92"/>
      <c r="O1937" s="93">
        <f t="shared" si="1144"/>
        <v>0</v>
      </c>
      <c r="P1937" s="93">
        <f t="shared" si="1145"/>
        <v>0</v>
      </c>
      <c r="Q1937" s="94"/>
      <c r="R1937" s="92">
        <f t="shared" si="1146"/>
        <v>0</v>
      </c>
      <c r="S1937" s="92">
        <f t="shared" si="1147"/>
        <v>0</v>
      </c>
      <c r="T1937" s="93">
        <f t="shared" si="1148"/>
        <v>0</v>
      </c>
      <c r="U1937" s="95">
        <f t="shared" si="1149"/>
        <v>0</v>
      </c>
      <c r="V1937" s="94"/>
      <c r="W1937" s="96" t="str">
        <f>IF(U1934&gt;0,"xx",IF(P1934&gt;0,"xy",""))</f>
        <v/>
      </c>
      <c r="X1937" s="580" t="str">
        <f t="shared" si="1260"/>
        <v/>
      </c>
      <c r="Y1937" s="580" t="str">
        <f t="shared" si="1142"/>
        <v/>
      </c>
      <c r="Z1937" s="580" t="str">
        <f t="shared" si="1255"/>
        <v/>
      </c>
    </row>
    <row r="1938" spans="1:26" hidden="1" x14ac:dyDescent="0.2">
      <c r="A1938" s="1008">
        <v>621300</v>
      </c>
      <c r="B1938" s="1010">
        <v>621300</v>
      </c>
      <c r="C1938" s="978" t="s">
        <v>212</v>
      </c>
      <c r="D1938" s="595" t="s">
        <v>390</v>
      </c>
      <c r="E1938" s="596"/>
      <c r="F1938" s="671"/>
      <c r="G1938" s="597"/>
      <c r="H1938" s="682">
        <f>SUM(H1939:H1941)</f>
        <v>1451.453563</v>
      </c>
      <c r="I1938" s="592">
        <v>8262.84</v>
      </c>
      <c r="J1938" s="592">
        <f t="shared" ref="J1938" si="1277">IF(ISBLANK(I1938),"",SUM(H1938:I1938))</f>
        <v>9714.2935629999993</v>
      </c>
      <c r="K1938" s="593">
        <f t="shared" si="1275"/>
        <v>11823.27</v>
      </c>
      <c r="L1938" s="594" t="s">
        <v>21</v>
      </c>
      <c r="M1938" s="92"/>
      <c r="N1938" s="92"/>
      <c r="O1938" s="93">
        <f t="shared" si="1144"/>
        <v>0</v>
      </c>
      <c r="P1938" s="93">
        <f t="shared" si="1145"/>
        <v>0</v>
      </c>
      <c r="Q1938" s="94"/>
      <c r="R1938" s="92">
        <f t="shared" si="1146"/>
        <v>0</v>
      </c>
      <c r="S1938" s="92">
        <f t="shared" si="1147"/>
        <v>0</v>
      </c>
      <c r="T1938" s="93">
        <f t="shared" si="1148"/>
        <v>0</v>
      </c>
      <c r="U1938" s="95">
        <f t="shared" si="1149"/>
        <v>0</v>
      </c>
      <c r="V1938" s="94"/>
      <c r="X1938" s="580" t="str">
        <f t="shared" si="1260"/>
        <v/>
      </c>
      <c r="Y1938" s="580" t="str">
        <f t="shared" si="1142"/>
        <v/>
      </c>
      <c r="Z1938" s="580" t="str">
        <f t="shared" si="1255"/>
        <v/>
      </c>
    </row>
    <row r="1939" spans="1:26" hidden="1" x14ac:dyDescent="0.2">
      <c r="A1939" s="97" t="s">
        <v>165</v>
      </c>
      <c r="B1939" s="1031" t="s">
        <v>165</v>
      </c>
      <c r="C1939" s="978"/>
      <c r="D1939" s="595" t="s">
        <v>218</v>
      </c>
      <c r="E1939" s="596"/>
      <c r="F1939" s="671">
        <v>500</v>
      </c>
      <c r="G1939" s="597">
        <v>2.0546000000000002</v>
      </c>
      <c r="H1939" s="682">
        <f>IF(F1939&lt;=30,(0.51*F1939+4.28)*G1939,((0.51*30+4.28)+0.42*(F1939-30))*G1939)</f>
        <v>445.80710800000008</v>
      </c>
      <c r="I1939" s="592">
        <v>0</v>
      </c>
      <c r="J1939" s="592"/>
      <c r="K1939" s="593">
        <f t="shared" si="1275"/>
        <v>0</v>
      </c>
      <c r="L1939" s="594"/>
      <c r="M1939" s="92"/>
      <c r="N1939" s="92"/>
      <c r="O1939" s="93">
        <f t="shared" si="1144"/>
        <v>0</v>
      </c>
      <c r="P1939" s="93">
        <f t="shared" si="1145"/>
        <v>0</v>
      </c>
      <c r="Q1939" s="94"/>
      <c r="R1939" s="92">
        <f t="shared" si="1146"/>
        <v>0</v>
      </c>
      <c r="S1939" s="92">
        <f t="shared" si="1147"/>
        <v>0</v>
      </c>
      <c r="T1939" s="93">
        <f t="shared" si="1148"/>
        <v>0</v>
      </c>
      <c r="U1939" s="95">
        <f t="shared" si="1149"/>
        <v>0</v>
      </c>
      <c r="V1939" s="94"/>
      <c r="W1939" s="96" t="str">
        <f>IF(U1938&gt;0,"xx",IF(P1938&gt;0,"xy",""))</f>
        <v/>
      </c>
      <c r="X1939" s="580" t="str">
        <f t="shared" si="1260"/>
        <v/>
      </c>
      <c r="Y1939" s="580" t="str">
        <f t="shared" si="1142"/>
        <v/>
      </c>
      <c r="Z1939" s="580" t="str">
        <f t="shared" si="1255"/>
        <v/>
      </c>
    </row>
    <row r="1940" spans="1:26" hidden="1" x14ac:dyDescent="0.2">
      <c r="A1940" s="97" t="s">
        <v>165</v>
      </c>
      <c r="B1940" s="1031" t="s">
        <v>165</v>
      </c>
      <c r="C1940" s="978"/>
      <c r="D1940" s="595" t="s">
        <v>257</v>
      </c>
      <c r="E1940" s="596"/>
      <c r="F1940" s="671">
        <v>180</v>
      </c>
      <c r="G1940" s="597">
        <v>7.3052999999999999</v>
      </c>
      <c r="H1940" s="682">
        <f>IF(F1940=0,0,IF(F1940&lt;=30,(0.7*F1940+1.45)*G1940,((0.7*30+1.45)+0.58*(F1940-30))*G1940))</f>
        <v>799.56508499999995</v>
      </c>
      <c r="I1940" s="592">
        <v>0</v>
      </c>
      <c r="J1940" s="592"/>
      <c r="K1940" s="593">
        <f t="shared" si="1275"/>
        <v>0</v>
      </c>
      <c r="L1940" s="594"/>
      <c r="M1940" s="92"/>
      <c r="N1940" s="92"/>
      <c r="O1940" s="93">
        <f t="shared" si="1144"/>
        <v>0</v>
      </c>
      <c r="P1940" s="93">
        <f t="shared" si="1145"/>
        <v>0</v>
      </c>
      <c r="Q1940" s="94"/>
      <c r="R1940" s="92">
        <f t="shared" si="1146"/>
        <v>0</v>
      </c>
      <c r="S1940" s="92">
        <f t="shared" si="1147"/>
        <v>0</v>
      </c>
      <c r="T1940" s="93">
        <f t="shared" si="1148"/>
        <v>0</v>
      </c>
      <c r="U1940" s="95">
        <f t="shared" si="1149"/>
        <v>0</v>
      </c>
      <c r="V1940" s="94"/>
      <c r="W1940" s="96" t="str">
        <f>IF(U1938&gt;0,"xx",IF(P1938&gt;0,"xy",""))</f>
        <v/>
      </c>
      <c r="X1940" s="580" t="str">
        <f t="shared" si="1260"/>
        <v/>
      </c>
      <c r="Y1940" s="580" t="str">
        <f t="shared" si="1142"/>
        <v/>
      </c>
      <c r="Z1940" s="580" t="str">
        <f t="shared" si="1255"/>
        <v/>
      </c>
    </row>
    <row r="1941" spans="1:26" hidden="1" x14ac:dyDescent="0.2">
      <c r="A1941" s="97" t="s">
        <v>165</v>
      </c>
      <c r="B1941" s="1031" t="s">
        <v>165</v>
      </c>
      <c r="C1941" s="978"/>
      <c r="D1941" s="595" t="s">
        <v>261</v>
      </c>
      <c r="E1941" s="596"/>
      <c r="F1941" s="671">
        <v>20</v>
      </c>
      <c r="G1941" s="597">
        <v>13.3386</v>
      </c>
      <c r="H1941" s="682">
        <f>IF(F1941=0,0,IF(F1941&lt;=30,(0.7*F1941+1.45)*G1941,((0.7*30+1.45)+0.58*(F1941-30))*G1941))</f>
        <v>206.08136999999999</v>
      </c>
      <c r="I1941" s="592">
        <v>0</v>
      </c>
      <c r="J1941" s="592"/>
      <c r="K1941" s="593">
        <f t="shared" si="1275"/>
        <v>0</v>
      </c>
      <c r="L1941" s="594"/>
      <c r="M1941" s="92"/>
      <c r="N1941" s="92"/>
      <c r="O1941" s="93">
        <f t="shared" si="1144"/>
        <v>0</v>
      </c>
      <c r="P1941" s="93">
        <f t="shared" si="1145"/>
        <v>0</v>
      </c>
      <c r="Q1941" s="94"/>
      <c r="R1941" s="92">
        <f t="shared" si="1146"/>
        <v>0</v>
      </c>
      <c r="S1941" s="92">
        <f t="shared" si="1147"/>
        <v>0</v>
      </c>
      <c r="T1941" s="93">
        <f t="shared" si="1148"/>
        <v>0</v>
      </c>
      <c r="U1941" s="95">
        <f t="shared" si="1149"/>
        <v>0</v>
      </c>
      <c r="V1941" s="94"/>
      <c r="W1941" s="96" t="str">
        <f>IF(U1938&gt;0,"xx",IF(P1938&gt;0,"xy",""))</f>
        <v/>
      </c>
      <c r="X1941" s="580" t="str">
        <f t="shared" si="1260"/>
        <v/>
      </c>
      <c r="Y1941" s="580" t="str">
        <f t="shared" si="1142"/>
        <v/>
      </c>
      <c r="Z1941" s="580" t="str">
        <f t="shared" si="1255"/>
        <v/>
      </c>
    </row>
    <row r="1942" spans="1:26" hidden="1" x14ac:dyDescent="0.2">
      <c r="A1942" s="1008">
        <v>621400</v>
      </c>
      <c r="B1942" s="1010">
        <v>621400</v>
      </c>
      <c r="C1942" s="978" t="s">
        <v>212</v>
      </c>
      <c r="D1942" s="595" t="s">
        <v>391</v>
      </c>
      <c r="E1942" s="596"/>
      <c r="F1942" s="671"/>
      <c r="G1942" s="597"/>
      <c r="H1942" s="682">
        <f>SUM(H1943:H1945)</f>
        <v>2767.7807320000002</v>
      </c>
      <c r="I1942" s="592">
        <v>14215.7</v>
      </c>
      <c r="J1942" s="592">
        <f t="shared" ref="J1942" si="1278">IF(ISBLANK(I1942),"",SUM(H1942:I1942))</f>
        <v>16983.480732</v>
      </c>
      <c r="K1942" s="593">
        <f t="shared" si="1275"/>
        <v>20670.59</v>
      </c>
      <c r="L1942" s="594" t="s">
        <v>21</v>
      </c>
      <c r="M1942" s="92"/>
      <c r="N1942" s="92"/>
      <c r="O1942" s="93">
        <f t="shared" si="1144"/>
        <v>0</v>
      </c>
      <c r="P1942" s="93">
        <f t="shared" si="1145"/>
        <v>0</v>
      </c>
      <c r="Q1942" s="94"/>
      <c r="R1942" s="92">
        <f t="shared" si="1146"/>
        <v>0</v>
      </c>
      <c r="S1942" s="92">
        <f t="shared" si="1147"/>
        <v>0</v>
      </c>
      <c r="T1942" s="93">
        <f t="shared" si="1148"/>
        <v>0</v>
      </c>
      <c r="U1942" s="95">
        <f t="shared" si="1149"/>
        <v>0</v>
      </c>
      <c r="V1942" s="94"/>
      <c r="X1942" s="580" t="str">
        <f t="shared" si="1260"/>
        <v/>
      </c>
      <c r="Y1942" s="580" t="str">
        <f t="shared" si="1142"/>
        <v/>
      </c>
      <c r="Z1942" s="580" t="str">
        <f t="shared" si="1255"/>
        <v/>
      </c>
    </row>
    <row r="1943" spans="1:26" hidden="1" x14ac:dyDescent="0.2">
      <c r="A1943" s="97" t="s">
        <v>165</v>
      </c>
      <c r="B1943" s="1031" t="s">
        <v>165</v>
      </c>
      <c r="C1943" s="978"/>
      <c r="D1943" s="595" t="s">
        <v>218</v>
      </c>
      <c r="E1943" s="596"/>
      <c r="F1943" s="671">
        <v>500</v>
      </c>
      <c r="G1943" s="597">
        <v>3.9178999999999999</v>
      </c>
      <c r="H1943" s="682">
        <f>IF(F1943&lt;=30,(0.51*F1943+4.28)*G1943,((0.51*30+4.28)+0.42*(F1943-30))*G1943)</f>
        <v>850.10594200000003</v>
      </c>
      <c r="I1943" s="592"/>
      <c r="J1943" s="592"/>
      <c r="K1943" s="593">
        <f t="shared" si="1275"/>
        <v>0</v>
      </c>
      <c r="L1943" s="594"/>
      <c r="M1943" s="92"/>
      <c r="N1943" s="92"/>
      <c r="O1943" s="93">
        <f t="shared" si="1144"/>
        <v>0</v>
      </c>
      <c r="P1943" s="93">
        <f t="shared" si="1145"/>
        <v>0</v>
      </c>
      <c r="Q1943" s="94"/>
      <c r="R1943" s="92">
        <f t="shared" si="1146"/>
        <v>0</v>
      </c>
      <c r="S1943" s="92">
        <f t="shared" si="1147"/>
        <v>0</v>
      </c>
      <c r="T1943" s="93">
        <f t="shared" si="1148"/>
        <v>0</v>
      </c>
      <c r="U1943" s="95">
        <f t="shared" si="1149"/>
        <v>0</v>
      </c>
      <c r="V1943" s="94"/>
      <c r="W1943" s="96" t="str">
        <f>IF(U1942&gt;0,"xx",IF(P1942&gt;0,"xy",""))</f>
        <v/>
      </c>
      <c r="X1943" s="580" t="str">
        <f t="shared" ref="X1943:X2023" si="1279">IF(W1943="X","x",IF(W1943="xx","x",IF(W1943="xy","x",IF(W1943="y","x",IF(OR(P1943&gt;0,U1943&gt;0),"x","")))))</f>
        <v/>
      </c>
      <c r="Y1943" s="580" t="str">
        <f t="shared" si="1142"/>
        <v/>
      </c>
      <c r="Z1943" s="580" t="str">
        <f t="shared" ref="Z1943:Z2006" si="1280">IF(W1943="X","x",IF(U1943&gt;0,"x",""))</f>
        <v/>
      </c>
    </row>
    <row r="1944" spans="1:26" hidden="1" x14ac:dyDescent="0.2">
      <c r="A1944" s="97" t="s">
        <v>165</v>
      </c>
      <c r="B1944" s="1031" t="s">
        <v>165</v>
      </c>
      <c r="C1944" s="978"/>
      <c r="D1944" s="595" t="s">
        <v>257</v>
      </c>
      <c r="E1944" s="596"/>
      <c r="F1944" s="671">
        <v>180</v>
      </c>
      <c r="G1944" s="597">
        <v>13.9305</v>
      </c>
      <c r="H1944" s="682">
        <f>IF(F1944=0,0,IF(F1944&lt;=30,(0.7*F1944+1.45)*G1944,((0.7*30+1.45)+0.58*(F1944-30))*G1944))</f>
        <v>1524.693225</v>
      </c>
      <c r="I1944" s="592"/>
      <c r="J1944" s="592"/>
      <c r="K1944" s="593">
        <f t="shared" si="1275"/>
        <v>0</v>
      </c>
      <c r="L1944" s="594"/>
      <c r="M1944" s="92"/>
      <c r="N1944" s="92"/>
      <c r="O1944" s="93">
        <f t="shared" si="1144"/>
        <v>0</v>
      </c>
      <c r="P1944" s="93">
        <f t="shared" si="1145"/>
        <v>0</v>
      </c>
      <c r="Q1944" s="94"/>
      <c r="R1944" s="92">
        <f t="shared" si="1146"/>
        <v>0</v>
      </c>
      <c r="S1944" s="92">
        <f t="shared" si="1147"/>
        <v>0</v>
      </c>
      <c r="T1944" s="93">
        <f t="shared" si="1148"/>
        <v>0</v>
      </c>
      <c r="U1944" s="95">
        <f t="shared" si="1149"/>
        <v>0</v>
      </c>
      <c r="V1944" s="94"/>
      <c r="W1944" s="96" t="str">
        <f>IF(U1942&gt;0,"xx",IF(P1942&gt;0,"xy",""))</f>
        <v/>
      </c>
      <c r="X1944" s="580" t="str">
        <f t="shared" si="1279"/>
        <v/>
      </c>
      <c r="Y1944" s="580" t="str">
        <f t="shared" si="1142"/>
        <v/>
      </c>
      <c r="Z1944" s="580" t="str">
        <f t="shared" si="1280"/>
        <v/>
      </c>
    </row>
    <row r="1945" spans="1:26" hidden="1" x14ac:dyDescent="0.2">
      <c r="A1945" s="97" t="s">
        <v>165</v>
      </c>
      <c r="B1945" s="1031" t="s">
        <v>165</v>
      </c>
      <c r="C1945" s="978"/>
      <c r="D1945" s="595" t="s">
        <v>261</v>
      </c>
      <c r="E1945" s="596"/>
      <c r="F1945" s="671">
        <v>20</v>
      </c>
      <c r="G1945" s="597">
        <v>25.435699999999997</v>
      </c>
      <c r="H1945" s="682">
        <f>IF(F1945=0,0,IF(F1945&lt;=30,(0.7*F1945+1.45)*G1945,((0.7*30+1.45)+0.58*(F1945-30))*G1945))</f>
        <v>392.98156499999993</v>
      </c>
      <c r="I1945" s="592"/>
      <c r="J1945" s="592"/>
      <c r="K1945" s="593">
        <f t="shared" si="1275"/>
        <v>0</v>
      </c>
      <c r="L1945" s="594"/>
      <c r="M1945" s="92"/>
      <c r="N1945" s="92"/>
      <c r="O1945" s="93">
        <f t="shared" si="1144"/>
        <v>0</v>
      </c>
      <c r="P1945" s="93">
        <f t="shared" si="1145"/>
        <v>0</v>
      </c>
      <c r="Q1945" s="94"/>
      <c r="R1945" s="92">
        <f t="shared" si="1146"/>
        <v>0</v>
      </c>
      <c r="S1945" s="92">
        <f t="shared" si="1147"/>
        <v>0</v>
      </c>
      <c r="T1945" s="93">
        <f t="shared" si="1148"/>
        <v>0</v>
      </c>
      <c r="U1945" s="95">
        <f t="shared" si="1149"/>
        <v>0</v>
      </c>
      <c r="V1945" s="94"/>
      <c r="W1945" s="96" t="str">
        <f>IF(U1942&gt;0,"xx",IF(P1942&gt;0,"xy",""))</f>
        <v/>
      </c>
      <c r="X1945" s="580" t="str">
        <f t="shared" si="1279"/>
        <v/>
      </c>
      <c r="Y1945" s="580" t="str">
        <f t="shared" si="1142"/>
        <v/>
      </c>
      <c r="Z1945" s="580" t="str">
        <f t="shared" si="1280"/>
        <v/>
      </c>
    </row>
    <row r="1946" spans="1:26" hidden="1" x14ac:dyDescent="0.2">
      <c r="A1946" s="1008">
        <v>607500</v>
      </c>
      <c r="B1946" s="1010">
        <v>607500</v>
      </c>
      <c r="C1946" s="978" t="s">
        <v>212</v>
      </c>
      <c r="D1946" s="595" t="s">
        <v>545</v>
      </c>
      <c r="E1946" s="596"/>
      <c r="F1946" s="671"/>
      <c r="G1946" s="597"/>
      <c r="H1946" s="682">
        <f>SUM(H1947:H1949)</f>
        <v>1.134379</v>
      </c>
      <c r="I1946" s="592">
        <v>45.309999999999995</v>
      </c>
      <c r="J1946" s="592">
        <f t="shared" ref="J1946" si="1281">IF(ISBLANK(I1946),"",SUM(H1946:I1946))</f>
        <v>46.444378999999998</v>
      </c>
      <c r="K1946" s="593">
        <f t="shared" si="1275"/>
        <v>56.53</v>
      </c>
      <c r="L1946" s="594" t="s">
        <v>19</v>
      </c>
      <c r="M1946" s="92"/>
      <c r="N1946" s="92"/>
      <c r="O1946" s="93">
        <f t="shared" si="1144"/>
        <v>0</v>
      </c>
      <c r="P1946" s="93">
        <f t="shared" si="1145"/>
        <v>0</v>
      </c>
      <c r="Q1946" s="94"/>
      <c r="R1946" s="92">
        <f t="shared" si="1146"/>
        <v>0</v>
      </c>
      <c r="S1946" s="92">
        <f t="shared" si="1147"/>
        <v>0</v>
      </c>
      <c r="T1946" s="93">
        <f t="shared" si="1148"/>
        <v>0</v>
      </c>
      <c r="U1946" s="95">
        <f t="shared" si="1149"/>
        <v>0</v>
      </c>
      <c r="V1946" s="94"/>
      <c r="X1946" s="580" t="str">
        <f t="shared" si="1279"/>
        <v/>
      </c>
      <c r="Y1946" s="580" t="str">
        <f t="shared" si="1142"/>
        <v/>
      </c>
      <c r="Z1946" s="580" t="str">
        <f t="shared" si="1280"/>
        <v/>
      </c>
    </row>
    <row r="1947" spans="1:26" hidden="1" x14ac:dyDescent="0.2">
      <c r="A1947" s="97" t="s">
        <v>165</v>
      </c>
      <c r="B1947" s="1031" t="s">
        <v>165</v>
      </c>
      <c r="C1947" s="978"/>
      <c r="D1947" s="595" t="s">
        <v>218</v>
      </c>
      <c r="E1947" s="596"/>
      <c r="F1947" s="671">
        <v>500</v>
      </c>
      <c r="G1947" s="597">
        <v>2.9999999999999997E-4</v>
      </c>
      <c r="H1947" s="682">
        <f>IF(F1947&lt;=30,(0.51*F1947+4.28)*G1947,((0.51*30+4.28)+0.42*(F1947-30))*G1947)</f>
        <v>6.5093999999999999E-2</v>
      </c>
      <c r="I1947" s="592"/>
      <c r="J1947" s="592"/>
      <c r="K1947" s="593">
        <f t="shared" si="1275"/>
        <v>0</v>
      </c>
      <c r="L1947" s="594"/>
      <c r="M1947" s="92"/>
      <c r="N1947" s="92"/>
      <c r="O1947" s="93">
        <f t="shared" si="1144"/>
        <v>0</v>
      </c>
      <c r="P1947" s="93">
        <f t="shared" si="1145"/>
        <v>0</v>
      </c>
      <c r="Q1947" s="94"/>
      <c r="R1947" s="92">
        <f t="shared" si="1146"/>
        <v>0</v>
      </c>
      <c r="S1947" s="92">
        <f t="shared" si="1147"/>
        <v>0</v>
      </c>
      <c r="T1947" s="93">
        <f t="shared" si="1148"/>
        <v>0</v>
      </c>
      <c r="U1947" s="95">
        <f t="shared" si="1149"/>
        <v>0</v>
      </c>
      <c r="V1947" s="94"/>
      <c r="W1947" s="96" t="str">
        <f>IF(U1946&gt;0,"xx",IF(P1946&gt;0,"xy",""))</f>
        <v/>
      </c>
      <c r="X1947" s="580" t="str">
        <f t="shared" si="1279"/>
        <v/>
      </c>
      <c r="Y1947" s="580" t="str">
        <f t="shared" si="1142"/>
        <v/>
      </c>
      <c r="Z1947" s="580" t="str">
        <f t="shared" si="1280"/>
        <v/>
      </c>
    </row>
    <row r="1948" spans="1:26" hidden="1" x14ac:dyDescent="0.2">
      <c r="A1948" s="97" t="s">
        <v>165</v>
      </c>
      <c r="B1948" s="1031" t="s">
        <v>165</v>
      </c>
      <c r="C1948" s="978"/>
      <c r="D1948" s="595" t="s">
        <v>257</v>
      </c>
      <c r="E1948" s="596"/>
      <c r="F1948" s="671">
        <v>180</v>
      </c>
      <c r="G1948" s="597">
        <v>1.2999999999999999E-3</v>
      </c>
      <c r="H1948" s="682">
        <f>IF(F1948=0,0,IF(F1948&lt;=30,(0.7*F1948+1.45)*G1948,((0.7*30+1.45)+0.58*(F1948-30))*G1948))</f>
        <v>0.14228499999999999</v>
      </c>
      <c r="I1948" s="592"/>
      <c r="J1948" s="592"/>
      <c r="K1948" s="593">
        <f t="shared" si="1275"/>
        <v>0</v>
      </c>
      <c r="L1948" s="594"/>
      <c r="M1948" s="92"/>
      <c r="N1948" s="92"/>
      <c r="O1948" s="93">
        <f t="shared" si="1144"/>
        <v>0</v>
      </c>
      <c r="P1948" s="93">
        <f t="shared" si="1145"/>
        <v>0</v>
      </c>
      <c r="Q1948" s="94"/>
      <c r="R1948" s="92">
        <f t="shared" si="1146"/>
        <v>0</v>
      </c>
      <c r="S1948" s="92">
        <f t="shared" si="1147"/>
        <v>0</v>
      </c>
      <c r="T1948" s="93">
        <f t="shared" si="1148"/>
        <v>0</v>
      </c>
      <c r="U1948" s="95">
        <f t="shared" si="1149"/>
        <v>0</v>
      </c>
      <c r="V1948" s="94"/>
      <c r="W1948" s="96" t="str">
        <f>IF(U1946&gt;0,"xx",IF(P1946&gt;0,"xy",""))</f>
        <v/>
      </c>
      <c r="X1948" s="580" t="str">
        <f t="shared" si="1279"/>
        <v/>
      </c>
      <c r="Y1948" s="580" t="str">
        <f t="shared" si="1142"/>
        <v/>
      </c>
      <c r="Z1948" s="580" t="str">
        <f t="shared" si="1280"/>
        <v/>
      </c>
    </row>
    <row r="1949" spans="1:26" hidden="1" x14ac:dyDescent="0.2">
      <c r="A1949" s="97" t="s">
        <v>165</v>
      </c>
      <c r="B1949" s="1031" t="s">
        <v>165</v>
      </c>
      <c r="C1949" s="978"/>
      <c r="D1949" s="595" t="s">
        <v>366</v>
      </c>
      <c r="E1949" s="596"/>
      <c r="F1949" s="671">
        <v>20</v>
      </c>
      <c r="G1949" s="597">
        <v>0.06</v>
      </c>
      <c r="H1949" s="682">
        <f>IF(F1949=0,0,IF(F1949&lt;=30,(0.7*F1949+1.45)*G1949,((0.7*30+1.45)+0.58*(F1949-30))*G1949))</f>
        <v>0.92699999999999994</v>
      </c>
      <c r="I1949" s="592"/>
      <c r="J1949" s="592"/>
      <c r="K1949" s="593">
        <f t="shared" si="1275"/>
        <v>0</v>
      </c>
      <c r="L1949" s="594"/>
      <c r="M1949" s="92"/>
      <c r="N1949" s="92"/>
      <c r="O1949" s="93">
        <f t="shared" si="1144"/>
        <v>0</v>
      </c>
      <c r="P1949" s="93">
        <f t="shared" si="1145"/>
        <v>0</v>
      </c>
      <c r="Q1949" s="94"/>
      <c r="R1949" s="92">
        <f t="shared" si="1146"/>
        <v>0</v>
      </c>
      <c r="S1949" s="92">
        <f t="shared" si="1147"/>
        <v>0</v>
      </c>
      <c r="T1949" s="93">
        <f t="shared" si="1148"/>
        <v>0</v>
      </c>
      <c r="U1949" s="95">
        <f t="shared" si="1149"/>
        <v>0</v>
      </c>
      <c r="V1949" s="94"/>
      <c r="W1949" s="96" t="str">
        <f>IF(U1946&gt;0,"xx",IF(P1946&gt;0,"xy",""))</f>
        <v/>
      </c>
      <c r="X1949" s="580" t="str">
        <f t="shared" si="1279"/>
        <v/>
      </c>
      <c r="Y1949" s="580" t="str">
        <f t="shared" si="1142"/>
        <v/>
      </c>
      <c r="Z1949" s="580" t="str">
        <f t="shared" si="1280"/>
        <v/>
      </c>
    </row>
    <row r="1950" spans="1:26" hidden="1" x14ac:dyDescent="0.2">
      <c r="A1950" s="1008">
        <v>607600</v>
      </c>
      <c r="B1950" s="1010">
        <v>607600</v>
      </c>
      <c r="C1950" s="978" t="s">
        <v>212</v>
      </c>
      <c r="D1950" s="595" t="s">
        <v>546</v>
      </c>
      <c r="E1950" s="596"/>
      <c r="F1950" s="671"/>
      <c r="G1950" s="597"/>
      <c r="H1950" s="682">
        <f>SUM(H1951:H1953)</f>
        <v>1.8043420000000001</v>
      </c>
      <c r="I1950" s="592">
        <v>57.410000000000004</v>
      </c>
      <c r="J1950" s="592">
        <f t="shared" ref="J1950" si="1282">IF(ISBLANK(I1950),"",SUM(H1950:I1950))</f>
        <v>59.214342000000002</v>
      </c>
      <c r="K1950" s="593">
        <f t="shared" si="1275"/>
        <v>72.069999999999993</v>
      </c>
      <c r="L1950" s="594" t="s">
        <v>19</v>
      </c>
      <c r="M1950" s="92"/>
      <c r="N1950" s="92"/>
      <c r="O1950" s="93">
        <f t="shared" si="1144"/>
        <v>0</v>
      </c>
      <c r="P1950" s="93">
        <f t="shared" si="1145"/>
        <v>0</v>
      </c>
      <c r="Q1950" s="94"/>
      <c r="R1950" s="92">
        <f t="shared" si="1146"/>
        <v>0</v>
      </c>
      <c r="S1950" s="92">
        <f t="shared" si="1147"/>
        <v>0</v>
      </c>
      <c r="T1950" s="93">
        <f t="shared" si="1148"/>
        <v>0</v>
      </c>
      <c r="U1950" s="95">
        <f t="shared" si="1149"/>
        <v>0</v>
      </c>
      <c r="V1950" s="94"/>
      <c r="X1950" s="580" t="str">
        <f t="shared" si="1279"/>
        <v/>
      </c>
      <c r="Y1950" s="580" t="str">
        <f t="shared" si="1142"/>
        <v/>
      </c>
      <c r="Z1950" s="580" t="str">
        <f t="shared" si="1280"/>
        <v/>
      </c>
    </row>
    <row r="1951" spans="1:26" hidden="1" x14ac:dyDescent="0.2">
      <c r="A1951" s="97" t="s">
        <v>165</v>
      </c>
      <c r="B1951" s="1031" t="s">
        <v>165</v>
      </c>
      <c r="C1951" s="978"/>
      <c r="D1951" s="595" t="s">
        <v>218</v>
      </c>
      <c r="E1951" s="596"/>
      <c r="F1951" s="671">
        <v>500</v>
      </c>
      <c r="G1951" s="597">
        <v>4.0000000000000002E-4</v>
      </c>
      <c r="H1951" s="682">
        <f>IF(F1951&lt;=30,(0.51*F1951+4.28)*G1951,((0.51*30+4.28)+0.42*(F1951-30))*G1951)</f>
        <v>8.6792000000000008E-2</v>
      </c>
      <c r="I1951" s="592"/>
      <c r="J1951" s="592"/>
      <c r="K1951" s="593">
        <f t="shared" si="1275"/>
        <v>0</v>
      </c>
      <c r="L1951" s="594"/>
      <c r="M1951" s="92"/>
      <c r="N1951" s="92"/>
      <c r="O1951" s="93">
        <f t="shared" si="1144"/>
        <v>0</v>
      </c>
      <c r="P1951" s="93">
        <f t="shared" si="1145"/>
        <v>0</v>
      </c>
      <c r="Q1951" s="94"/>
      <c r="R1951" s="92">
        <f t="shared" si="1146"/>
        <v>0</v>
      </c>
      <c r="S1951" s="92">
        <f t="shared" si="1147"/>
        <v>0</v>
      </c>
      <c r="T1951" s="93">
        <f t="shared" si="1148"/>
        <v>0</v>
      </c>
      <c r="U1951" s="95">
        <f t="shared" si="1149"/>
        <v>0</v>
      </c>
      <c r="V1951" s="94"/>
      <c r="W1951" s="96" t="str">
        <f>IF(U1950&gt;0,"xx",IF(P1950&gt;0,"xy",""))</f>
        <v/>
      </c>
      <c r="X1951" s="580" t="str">
        <f t="shared" si="1279"/>
        <v/>
      </c>
      <c r="Y1951" s="580" t="str">
        <f t="shared" si="1142"/>
        <v/>
      </c>
      <c r="Z1951" s="580" t="str">
        <f t="shared" si="1280"/>
        <v/>
      </c>
    </row>
    <row r="1952" spans="1:26" hidden="1" x14ac:dyDescent="0.2">
      <c r="A1952" s="97" t="s">
        <v>165</v>
      </c>
      <c r="B1952" s="1031" t="s">
        <v>165</v>
      </c>
      <c r="C1952" s="978"/>
      <c r="D1952" s="595" t="s">
        <v>257</v>
      </c>
      <c r="E1952" s="596"/>
      <c r="F1952" s="671">
        <v>180</v>
      </c>
      <c r="G1952" s="597">
        <v>2E-3</v>
      </c>
      <c r="H1952" s="682">
        <f>IF(F1952=0,0,IF(F1952&lt;=30,(0.7*F1952+1.45)*G1952,((0.7*30+1.45)+0.58*(F1952-30))*G1952))</f>
        <v>0.21890000000000001</v>
      </c>
      <c r="I1952" s="592"/>
      <c r="J1952" s="592"/>
      <c r="K1952" s="593">
        <f t="shared" si="1275"/>
        <v>0</v>
      </c>
      <c r="L1952" s="594"/>
      <c r="M1952" s="92"/>
      <c r="N1952" s="92"/>
      <c r="O1952" s="93">
        <f t="shared" si="1144"/>
        <v>0</v>
      </c>
      <c r="P1952" s="93">
        <f t="shared" si="1145"/>
        <v>0</v>
      </c>
      <c r="Q1952" s="94"/>
      <c r="R1952" s="92">
        <f t="shared" si="1146"/>
        <v>0</v>
      </c>
      <c r="S1952" s="92">
        <f t="shared" si="1147"/>
        <v>0</v>
      </c>
      <c r="T1952" s="93">
        <f t="shared" si="1148"/>
        <v>0</v>
      </c>
      <c r="U1952" s="95">
        <f t="shared" si="1149"/>
        <v>0</v>
      </c>
      <c r="V1952" s="94"/>
      <c r="W1952" s="96" t="str">
        <f>IF(U1950&gt;0,"xx",IF(P1950&gt;0,"xy",""))</f>
        <v/>
      </c>
      <c r="X1952" s="580" t="str">
        <f t="shared" si="1279"/>
        <v/>
      </c>
      <c r="Y1952" s="580" t="str">
        <f t="shared" si="1142"/>
        <v/>
      </c>
      <c r="Z1952" s="580" t="str">
        <f t="shared" si="1280"/>
        <v/>
      </c>
    </row>
    <row r="1953" spans="1:26" hidden="1" x14ac:dyDescent="0.2">
      <c r="A1953" s="97" t="s">
        <v>165</v>
      </c>
      <c r="B1953" s="1031" t="s">
        <v>165</v>
      </c>
      <c r="C1953" s="978"/>
      <c r="D1953" s="595" t="s">
        <v>366</v>
      </c>
      <c r="E1953" s="596"/>
      <c r="F1953" s="671">
        <v>20</v>
      </c>
      <c r="G1953" s="597">
        <v>9.7000000000000003E-2</v>
      </c>
      <c r="H1953" s="682">
        <f>IF(F1953=0,0,IF(F1953&lt;=30,(0.7*F1953+1.45)*G1953,((0.7*30+1.45)+0.58*(F1953-30))*G1953))</f>
        <v>1.49865</v>
      </c>
      <c r="I1953" s="592"/>
      <c r="J1953" s="592"/>
      <c r="K1953" s="593">
        <f t="shared" si="1275"/>
        <v>0</v>
      </c>
      <c r="L1953" s="594"/>
      <c r="M1953" s="92"/>
      <c r="N1953" s="92"/>
      <c r="O1953" s="93">
        <f t="shared" si="1144"/>
        <v>0</v>
      </c>
      <c r="P1953" s="93">
        <f t="shared" si="1145"/>
        <v>0</v>
      </c>
      <c r="Q1953" s="94"/>
      <c r="R1953" s="92">
        <f t="shared" si="1146"/>
        <v>0</v>
      </c>
      <c r="S1953" s="92">
        <f t="shared" si="1147"/>
        <v>0</v>
      </c>
      <c r="T1953" s="93">
        <f t="shared" si="1148"/>
        <v>0</v>
      </c>
      <c r="U1953" s="95">
        <f t="shared" si="1149"/>
        <v>0</v>
      </c>
      <c r="V1953" s="94"/>
      <c r="W1953" s="96" t="str">
        <f>IF(U1950&gt;0,"xx",IF(P1950&gt;0,"xy",""))</f>
        <v/>
      </c>
      <c r="X1953" s="580" t="str">
        <f t="shared" si="1279"/>
        <v/>
      </c>
      <c r="Y1953" s="580" t="str">
        <f t="shared" si="1142"/>
        <v/>
      </c>
      <c r="Z1953" s="580" t="str">
        <f t="shared" si="1280"/>
        <v/>
      </c>
    </row>
    <row r="1954" spans="1:26" x14ac:dyDescent="0.2">
      <c r="A1954" s="1008">
        <v>610400</v>
      </c>
      <c r="B1954" s="1107" t="s">
        <v>2193</v>
      </c>
      <c r="C1954" s="1108" t="s">
        <v>212</v>
      </c>
      <c r="D1954" s="1109" t="s">
        <v>392</v>
      </c>
      <c r="E1954" s="1110"/>
      <c r="F1954" s="671"/>
      <c r="G1954" s="597"/>
      <c r="H1954" s="682">
        <f>SUM(H1955:H1957)</f>
        <v>2.0521862999999998</v>
      </c>
      <c r="I1954" s="592">
        <v>84.649999999999991</v>
      </c>
      <c r="J1954" s="592">
        <f t="shared" ref="J1954" si="1283">IF(ISBLANK(I1954),"",SUM(H1954:I1954))</f>
        <v>86.702186299999994</v>
      </c>
      <c r="K1954" s="593">
        <f t="shared" si="1275"/>
        <v>105.53</v>
      </c>
      <c r="L1954" s="594" t="s">
        <v>19</v>
      </c>
      <c r="M1954" s="92">
        <v>244</v>
      </c>
      <c r="N1954" s="92">
        <v>89.25</v>
      </c>
      <c r="O1954" s="93">
        <f t="shared" si="1144"/>
        <v>25749.32</v>
      </c>
      <c r="P1954" s="93">
        <f t="shared" si="1145"/>
        <v>21777</v>
      </c>
      <c r="Q1954" s="94"/>
      <c r="R1954" s="1111">
        <f t="shared" si="1146"/>
        <v>244</v>
      </c>
      <c r="S1954" s="1111">
        <f t="shared" si="1147"/>
        <v>89.25</v>
      </c>
      <c r="T1954" s="1112">
        <f t="shared" si="1148"/>
        <v>25749.32</v>
      </c>
      <c r="U1954" s="1113">
        <f t="shared" si="1149"/>
        <v>21777</v>
      </c>
      <c r="V1954" s="1114"/>
      <c r="X1954" s="580" t="str">
        <f t="shared" si="1279"/>
        <v>x</v>
      </c>
      <c r="Y1954" s="580" t="str">
        <f t="shared" si="1142"/>
        <v>x</v>
      </c>
      <c r="Z1954" s="580" t="str">
        <f t="shared" si="1280"/>
        <v>x</v>
      </c>
    </row>
    <row r="1955" spans="1:26" hidden="1" x14ac:dyDescent="0.2">
      <c r="A1955" s="97" t="s">
        <v>165</v>
      </c>
      <c r="B1955" s="1031" t="s">
        <v>165</v>
      </c>
      <c r="C1955" s="978"/>
      <c r="D1955" s="595" t="s">
        <v>218</v>
      </c>
      <c r="E1955" s="596"/>
      <c r="F1955" s="1089">
        <v>4.7</v>
      </c>
      <c r="G1955" s="597">
        <v>1.9E-3</v>
      </c>
      <c r="H1955" s="682">
        <f>IF(F1955&lt;=30,(0.51*F1955+4.28)*G1955,((0.51*30+4.28)+0.42*(F1955-30))*G1955)</f>
        <v>1.2686300000000001E-2</v>
      </c>
      <c r="I1955" s="592"/>
      <c r="J1955" s="592"/>
      <c r="K1955" s="593">
        <f t="shared" si="1275"/>
        <v>0</v>
      </c>
      <c r="L1955" s="594"/>
      <c r="M1955" s="92"/>
      <c r="N1955" s="92"/>
      <c r="O1955" s="93">
        <f t="shared" si="1144"/>
        <v>0</v>
      </c>
      <c r="P1955" s="93">
        <f t="shared" si="1145"/>
        <v>0</v>
      </c>
      <c r="Q1955" s="94"/>
      <c r="R1955" s="92">
        <f t="shared" si="1146"/>
        <v>0</v>
      </c>
      <c r="S1955" s="92">
        <f t="shared" si="1147"/>
        <v>0</v>
      </c>
      <c r="T1955" s="93">
        <f t="shared" si="1148"/>
        <v>0</v>
      </c>
      <c r="U1955" s="95">
        <f t="shared" si="1149"/>
        <v>0</v>
      </c>
      <c r="V1955" s="94"/>
      <c r="W1955" s="96" t="str">
        <f>IF(U1954&gt;0,"xx",IF(P1954&gt;0,"xy",""))</f>
        <v>xx</v>
      </c>
      <c r="X1955" s="580" t="str">
        <f t="shared" si="1279"/>
        <v>x</v>
      </c>
      <c r="Y1955" s="580" t="str">
        <f t="shared" si="1142"/>
        <v>x</v>
      </c>
      <c r="Z1955" s="580" t="str">
        <f t="shared" si="1280"/>
        <v/>
      </c>
    </row>
    <row r="1956" spans="1:26" hidden="1" x14ac:dyDescent="0.2">
      <c r="A1956" s="97" t="s">
        <v>165</v>
      </c>
      <c r="B1956" s="1031" t="s">
        <v>165</v>
      </c>
      <c r="C1956" s="978"/>
      <c r="D1956" s="595" t="s">
        <v>257</v>
      </c>
      <c r="E1956" s="596"/>
      <c r="F1956" s="1089">
        <v>4.7</v>
      </c>
      <c r="G1956" s="597">
        <v>0.01</v>
      </c>
      <c r="H1956" s="682">
        <f>IF(F1956=0,0,IF(F1956&lt;=30,(0.7*F1956+1.45)*G1956,((0.7*30+1.45)+0.58*(F1956-30))*G1956))</f>
        <v>4.7400000000000005E-2</v>
      </c>
      <c r="I1956" s="592"/>
      <c r="J1956" s="592"/>
      <c r="K1956" s="593">
        <f t="shared" si="1275"/>
        <v>0</v>
      </c>
      <c r="L1956" s="594"/>
      <c r="M1956" s="92"/>
      <c r="N1956" s="92"/>
      <c r="O1956" s="93">
        <f t="shared" si="1144"/>
        <v>0</v>
      </c>
      <c r="P1956" s="93">
        <f t="shared" si="1145"/>
        <v>0</v>
      </c>
      <c r="Q1956" s="94"/>
      <c r="R1956" s="92">
        <f t="shared" si="1146"/>
        <v>0</v>
      </c>
      <c r="S1956" s="92">
        <f t="shared" si="1147"/>
        <v>0</v>
      </c>
      <c r="T1956" s="93">
        <f t="shared" si="1148"/>
        <v>0</v>
      </c>
      <c r="U1956" s="95">
        <f t="shared" si="1149"/>
        <v>0</v>
      </c>
      <c r="V1956" s="94"/>
      <c r="W1956" s="96" t="str">
        <f>IF(U1954&gt;0,"xx",IF(P1954&gt;0,"xy",""))</f>
        <v>xx</v>
      </c>
      <c r="X1956" s="580" t="str">
        <f t="shared" si="1279"/>
        <v>x</v>
      </c>
      <c r="Y1956" s="580" t="str">
        <f t="shared" si="1142"/>
        <v>x</v>
      </c>
      <c r="Z1956" s="580" t="str">
        <f t="shared" si="1280"/>
        <v/>
      </c>
    </row>
    <row r="1957" spans="1:26" hidden="1" x14ac:dyDescent="0.2">
      <c r="A1957" s="97" t="s">
        <v>165</v>
      </c>
      <c r="B1957" s="1031" t="s">
        <v>165</v>
      </c>
      <c r="C1957" s="978"/>
      <c r="D1957" s="595" t="s">
        <v>366</v>
      </c>
      <c r="E1957" s="596"/>
      <c r="F1957" s="1089">
        <v>23.8</v>
      </c>
      <c r="G1957" s="597">
        <v>0.11</v>
      </c>
      <c r="H1957" s="682">
        <f>IF(F1957=0,0,IF(F1957&lt;=30,(0.7*F1957+1.45)*G1957,((0.7*30+1.45)+0.58*(F1957-30))*G1957))</f>
        <v>1.9921</v>
      </c>
      <c r="I1957" s="592"/>
      <c r="J1957" s="592"/>
      <c r="K1957" s="593">
        <f t="shared" si="1275"/>
        <v>0</v>
      </c>
      <c r="L1957" s="594"/>
      <c r="M1957" s="92"/>
      <c r="N1957" s="92"/>
      <c r="O1957" s="93">
        <f t="shared" si="1144"/>
        <v>0</v>
      </c>
      <c r="P1957" s="93">
        <f t="shared" si="1145"/>
        <v>0</v>
      </c>
      <c r="Q1957" s="94"/>
      <c r="R1957" s="92">
        <f t="shared" si="1146"/>
        <v>0</v>
      </c>
      <c r="S1957" s="92">
        <f t="shared" si="1147"/>
        <v>0</v>
      </c>
      <c r="T1957" s="93">
        <f t="shared" si="1148"/>
        <v>0</v>
      </c>
      <c r="U1957" s="95">
        <f t="shared" si="1149"/>
        <v>0</v>
      </c>
      <c r="V1957" s="94"/>
      <c r="W1957" s="96" t="str">
        <f>IF(U1954&gt;0,"xx",IF(P1954&gt;0,"xy",""))</f>
        <v>xx</v>
      </c>
      <c r="X1957" s="580" t="str">
        <f t="shared" si="1279"/>
        <v>x</v>
      </c>
      <c r="Y1957" s="580" t="str">
        <f t="shared" si="1142"/>
        <v>x</v>
      </c>
      <c r="Z1957" s="580" t="str">
        <f t="shared" si="1280"/>
        <v/>
      </c>
    </row>
    <row r="1958" spans="1:26" hidden="1" x14ac:dyDescent="0.2">
      <c r="A1958" s="1008">
        <v>610400</v>
      </c>
      <c r="B1958" s="1010" t="s">
        <v>2194</v>
      </c>
      <c r="C1958" s="978" t="s">
        <v>212</v>
      </c>
      <c r="D1958" s="595" t="s">
        <v>547</v>
      </c>
      <c r="E1958" s="596"/>
      <c r="F1958" s="671"/>
      <c r="G1958" s="597"/>
      <c r="H1958" s="682">
        <f>SUM(H1959:H1961)</f>
        <v>5.6421190000000001</v>
      </c>
      <c r="I1958" s="592">
        <v>109.74000000000001</v>
      </c>
      <c r="J1958" s="592">
        <f t="shared" ref="J1958" si="1284">IF(ISBLANK(I1958),"",SUM(H1958:I1958))</f>
        <v>115.382119</v>
      </c>
      <c r="K1958" s="593">
        <f t="shared" si="1275"/>
        <v>140.43</v>
      </c>
      <c r="L1958" s="594" t="s">
        <v>19</v>
      </c>
      <c r="M1958" s="92"/>
      <c r="N1958" s="92"/>
      <c r="O1958" s="93">
        <f t="shared" si="1144"/>
        <v>0</v>
      </c>
      <c r="P1958" s="93">
        <f t="shared" si="1145"/>
        <v>0</v>
      </c>
      <c r="Q1958" s="94"/>
      <c r="R1958" s="92">
        <f t="shared" si="1146"/>
        <v>0</v>
      </c>
      <c r="S1958" s="92">
        <f t="shared" si="1147"/>
        <v>0</v>
      </c>
      <c r="T1958" s="93">
        <f t="shared" si="1148"/>
        <v>0</v>
      </c>
      <c r="U1958" s="95">
        <f t="shared" si="1149"/>
        <v>0</v>
      </c>
      <c r="V1958" s="94"/>
      <c r="X1958" s="580" t="str">
        <f t="shared" si="1279"/>
        <v/>
      </c>
      <c r="Y1958" s="580" t="str">
        <f t="shared" si="1142"/>
        <v/>
      </c>
      <c r="Z1958" s="580" t="str">
        <f t="shared" si="1280"/>
        <v/>
      </c>
    </row>
    <row r="1959" spans="1:26" hidden="1" x14ac:dyDescent="0.2">
      <c r="A1959" s="97" t="s">
        <v>165</v>
      </c>
      <c r="B1959" s="1031" t="s">
        <v>165</v>
      </c>
      <c r="C1959" s="978"/>
      <c r="D1959" s="595" t="s">
        <v>218</v>
      </c>
      <c r="E1959" s="596"/>
      <c r="F1959" s="671">
        <v>500</v>
      </c>
      <c r="G1959" s="597">
        <v>2.3E-3</v>
      </c>
      <c r="H1959" s="682">
        <f>IF(F1959&lt;=30,(0.51*F1959+4.28)*G1959,((0.51*30+4.28)+0.42*(F1959-30))*G1959)</f>
        <v>0.49905400000000005</v>
      </c>
      <c r="I1959" s="592"/>
      <c r="J1959" s="592"/>
      <c r="K1959" s="593">
        <f t="shared" si="1275"/>
        <v>0</v>
      </c>
      <c r="L1959" s="594"/>
      <c r="M1959" s="92"/>
      <c r="N1959" s="92"/>
      <c r="O1959" s="93">
        <f t="shared" si="1144"/>
        <v>0</v>
      </c>
      <c r="P1959" s="93">
        <f t="shared" si="1145"/>
        <v>0</v>
      </c>
      <c r="Q1959" s="94"/>
      <c r="R1959" s="92">
        <f t="shared" si="1146"/>
        <v>0</v>
      </c>
      <c r="S1959" s="92">
        <f t="shared" si="1147"/>
        <v>0</v>
      </c>
      <c r="T1959" s="93">
        <f t="shared" si="1148"/>
        <v>0</v>
      </c>
      <c r="U1959" s="95">
        <f t="shared" si="1149"/>
        <v>0</v>
      </c>
      <c r="V1959" s="94"/>
      <c r="W1959" s="96" t="str">
        <f>IF(U1958&gt;0,"xx",IF(P1958&gt;0,"xy",""))</f>
        <v/>
      </c>
      <c r="X1959" s="580" t="str">
        <f t="shared" si="1279"/>
        <v/>
      </c>
      <c r="Y1959" s="580" t="str">
        <f t="shared" si="1142"/>
        <v/>
      </c>
      <c r="Z1959" s="580" t="str">
        <f t="shared" si="1280"/>
        <v/>
      </c>
    </row>
    <row r="1960" spans="1:26" hidden="1" x14ac:dyDescent="0.2">
      <c r="A1960" s="97" t="s">
        <v>165</v>
      </c>
      <c r="B1960" s="1031" t="s">
        <v>165</v>
      </c>
      <c r="C1960" s="978"/>
      <c r="D1960" s="595" t="s">
        <v>257</v>
      </c>
      <c r="E1960" s="596"/>
      <c r="F1960" s="671">
        <v>180</v>
      </c>
      <c r="G1960" s="597">
        <v>1.17E-2</v>
      </c>
      <c r="H1960" s="682">
        <f>IF(F1960=0,0,IF(F1960&lt;=30,(0.7*F1960+1.45)*G1960,((0.7*30+1.45)+0.58*(F1960-30))*G1960))</f>
        <v>1.2805650000000002</v>
      </c>
      <c r="I1960" s="592"/>
      <c r="J1960" s="592"/>
      <c r="K1960" s="593">
        <f t="shared" si="1275"/>
        <v>0</v>
      </c>
      <c r="L1960" s="594"/>
      <c r="M1960" s="92"/>
      <c r="N1960" s="92"/>
      <c r="O1960" s="93">
        <f t="shared" si="1144"/>
        <v>0</v>
      </c>
      <c r="P1960" s="93">
        <f t="shared" si="1145"/>
        <v>0</v>
      </c>
      <c r="Q1960" s="94"/>
      <c r="R1960" s="92">
        <f t="shared" si="1146"/>
        <v>0</v>
      </c>
      <c r="S1960" s="92">
        <f t="shared" si="1147"/>
        <v>0</v>
      </c>
      <c r="T1960" s="93">
        <f t="shared" si="1148"/>
        <v>0</v>
      </c>
      <c r="U1960" s="95">
        <f t="shared" si="1149"/>
        <v>0</v>
      </c>
      <c r="V1960" s="94"/>
      <c r="W1960" s="96" t="str">
        <f>IF(U1958&gt;0,"xx",IF(P1958&gt;0,"xy",""))</f>
        <v/>
      </c>
      <c r="X1960" s="580" t="str">
        <f t="shared" si="1279"/>
        <v/>
      </c>
      <c r="Y1960" s="580" t="str">
        <f t="shared" si="1142"/>
        <v/>
      </c>
      <c r="Z1960" s="580" t="str">
        <f t="shared" si="1280"/>
        <v/>
      </c>
    </row>
    <row r="1961" spans="1:26" hidden="1" x14ac:dyDescent="0.2">
      <c r="A1961" s="97" t="s">
        <v>165</v>
      </c>
      <c r="B1961" s="1031" t="s">
        <v>165</v>
      </c>
      <c r="C1961" s="978"/>
      <c r="D1961" s="595" t="s">
        <v>366</v>
      </c>
      <c r="E1961" s="596"/>
      <c r="F1961" s="671">
        <v>20</v>
      </c>
      <c r="G1961" s="597">
        <v>0.25</v>
      </c>
      <c r="H1961" s="682">
        <f>IF(F1961=0,0,IF(F1961&lt;=30,(0.7*F1961+1.45)*G1961,((0.7*30+1.45)+0.58*(F1961-30))*G1961))</f>
        <v>3.8624999999999998</v>
      </c>
      <c r="I1961" s="592"/>
      <c r="J1961" s="592"/>
      <c r="K1961" s="593">
        <f t="shared" si="1275"/>
        <v>0</v>
      </c>
      <c r="L1961" s="594"/>
      <c r="M1961" s="92"/>
      <c r="N1961" s="92"/>
      <c r="O1961" s="93">
        <f t="shared" si="1144"/>
        <v>0</v>
      </c>
      <c r="P1961" s="93">
        <f t="shared" si="1145"/>
        <v>0</v>
      </c>
      <c r="Q1961" s="94"/>
      <c r="R1961" s="92">
        <f t="shared" si="1146"/>
        <v>0</v>
      </c>
      <c r="S1961" s="92">
        <f t="shared" si="1147"/>
        <v>0</v>
      </c>
      <c r="T1961" s="93">
        <f t="shared" si="1148"/>
        <v>0</v>
      </c>
      <c r="U1961" s="95">
        <f t="shared" si="1149"/>
        <v>0</v>
      </c>
      <c r="V1961" s="94"/>
      <c r="W1961" s="96" t="str">
        <f>IF(U1958&gt;0,"xx",IF(P1958&gt;0,"xy",""))</f>
        <v/>
      </c>
      <c r="X1961" s="580" t="str">
        <f t="shared" si="1279"/>
        <v/>
      </c>
      <c r="Y1961" s="580" t="str">
        <f t="shared" si="1142"/>
        <v/>
      </c>
      <c r="Z1961" s="580" t="str">
        <f t="shared" si="1280"/>
        <v/>
      </c>
    </row>
    <row r="1962" spans="1:26" x14ac:dyDescent="0.2">
      <c r="A1962" s="1008">
        <v>610600</v>
      </c>
      <c r="B1962" s="1107" t="s">
        <v>2197</v>
      </c>
      <c r="C1962" s="1108" t="s">
        <v>212</v>
      </c>
      <c r="D1962" s="1109" t="s">
        <v>393</v>
      </c>
      <c r="E1962" s="1110"/>
      <c r="F1962" s="671"/>
      <c r="G1962" s="597"/>
      <c r="H1962" s="682">
        <f>SUM(H1963:H1965)</f>
        <v>7.1437761999999996</v>
      </c>
      <c r="I1962" s="592">
        <v>134.82999999999998</v>
      </c>
      <c r="J1962" s="592">
        <f t="shared" ref="J1962" si="1285">IF(ISBLANK(I1962),"",SUM(H1962:I1962))</f>
        <v>141.97377619999997</v>
      </c>
      <c r="K1962" s="593">
        <f t="shared" si="1275"/>
        <v>172.8</v>
      </c>
      <c r="L1962" s="594" t="s">
        <v>19</v>
      </c>
      <c r="M1962" s="92">
        <v>82</v>
      </c>
      <c r="N1962" s="92">
        <v>152.91</v>
      </c>
      <c r="O1962" s="93">
        <f t="shared" si="1144"/>
        <v>14169.6</v>
      </c>
      <c r="P1962" s="93">
        <f t="shared" si="1145"/>
        <v>12538.62</v>
      </c>
      <c r="Q1962" s="94"/>
      <c r="R1962" s="1111">
        <f t="shared" si="1146"/>
        <v>82</v>
      </c>
      <c r="S1962" s="1111">
        <f t="shared" si="1147"/>
        <v>152.91</v>
      </c>
      <c r="T1962" s="1112">
        <f t="shared" si="1148"/>
        <v>14169.6</v>
      </c>
      <c r="U1962" s="1113">
        <f t="shared" si="1149"/>
        <v>12538.62</v>
      </c>
      <c r="V1962" s="1114"/>
      <c r="X1962" s="580" t="str">
        <f t="shared" si="1279"/>
        <v>x</v>
      </c>
      <c r="Y1962" s="580" t="str">
        <f t="shared" si="1142"/>
        <v>x</v>
      </c>
      <c r="Z1962" s="580" t="str">
        <f t="shared" si="1280"/>
        <v>x</v>
      </c>
    </row>
    <row r="1963" spans="1:26" hidden="1" x14ac:dyDescent="0.2">
      <c r="A1963" s="97" t="s">
        <v>165</v>
      </c>
      <c r="B1963" s="1031" t="s">
        <v>165</v>
      </c>
      <c r="C1963" s="978"/>
      <c r="D1963" s="595" t="s">
        <v>218</v>
      </c>
      <c r="E1963" s="596"/>
      <c r="F1963" s="1089">
        <v>4.7</v>
      </c>
      <c r="G1963" s="597">
        <v>2.5999999999999999E-3</v>
      </c>
      <c r="H1963" s="682">
        <f>IF(F1963&lt;=30,(0.51*F1963+4.28)*G1963,((0.51*30+4.28)+0.42*(F1963-30))*G1963)</f>
        <v>1.7360199999999999E-2</v>
      </c>
      <c r="I1963" s="592"/>
      <c r="J1963" s="592"/>
      <c r="K1963" s="593">
        <f t="shared" si="1275"/>
        <v>0</v>
      </c>
      <c r="L1963" s="594"/>
      <c r="M1963" s="92"/>
      <c r="N1963" s="92"/>
      <c r="O1963" s="93">
        <f t="shared" si="1144"/>
        <v>0</v>
      </c>
      <c r="P1963" s="93">
        <f t="shared" si="1145"/>
        <v>0</v>
      </c>
      <c r="Q1963" s="94"/>
      <c r="R1963" s="92">
        <f t="shared" si="1146"/>
        <v>0</v>
      </c>
      <c r="S1963" s="92">
        <f t="shared" si="1147"/>
        <v>0</v>
      </c>
      <c r="T1963" s="93">
        <f t="shared" si="1148"/>
        <v>0</v>
      </c>
      <c r="U1963" s="95">
        <f t="shared" si="1149"/>
        <v>0</v>
      </c>
      <c r="V1963" s="94"/>
      <c r="W1963" s="96" t="str">
        <f>IF(U1962&gt;0,"xx",IF(P1962&gt;0,"xy",""))</f>
        <v>xx</v>
      </c>
      <c r="X1963" s="580" t="str">
        <f t="shared" si="1279"/>
        <v>x</v>
      </c>
      <c r="Y1963" s="580" t="str">
        <f t="shared" si="1142"/>
        <v>x</v>
      </c>
      <c r="Z1963" s="580" t="str">
        <f t="shared" si="1280"/>
        <v/>
      </c>
    </row>
    <row r="1964" spans="1:26" hidden="1" x14ac:dyDescent="0.2">
      <c r="A1964" s="97" t="s">
        <v>165</v>
      </c>
      <c r="B1964" s="1031" t="s">
        <v>165</v>
      </c>
      <c r="C1964" s="978"/>
      <c r="D1964" s="595" t="s">
        <v>257</v>
      </c>
      <c r="E1964" s="596"/>
      <c r="F1964" s="1089">
        <v>4.7</v>
      </c>
      <c r="G1964" s="597">
        <v>1.34E-2</v>
      </c>
      <c r="H1964" s="682">
        <f>IF(F1964=0,0,IF(F1964&lt;=30,(0.7*F1964+1.45)*G1964,((0.7*30+1.45)+0.58*(F1964-30))*G1964))</f>
        <v>6.3516000000000003E-2</v>
      </c>
      <c r="I1964" s="592"/>
      <c r="J1964" s="592"/>
      <c r="K1964" s="593">
        <f t="shared" si="1275"/>
        <v>0</v>
      </c>
      <c r="L1964" s="594"/>
      <c r="M1964" s="92"/>
      <c r="N1964" s="92"/>
      <c r="O1964" s="93">
        <f t="shared" si="1144"/>
        <v>0</v>
      </c>
      <c r="P1964" s="93">
        <f t="shared" si="1145"/>
        <v>0</v>
      </c>
      <c r="Q1964" s="94"/>
      <c r="R1964" s="92">
        <f t="shared" si="1146"/>
        <v>0</v>
      </c>
      <c r="S1964" s="92">
        <f t="shared" si="1147"/>
        <v>0</v>
      </c>
      <c r="T1964" s="93">
        <f t="shared" si="1148"/>
        <v>0</v>
      </c>
      <c r="U1964" s="95">
        <f t="shared" si="1149"/>
        <v>0</v>
      </c>
      <c r="V1964" s="94"/>
      <c r="W1964" s="96" t="str">
        <f>IF(U1962&gt;0,"xx",IF(P1962&gt;0,"xy",""))</f>
        <v>xx</v>
      </c>
      <c r="X1964" s="580" t="str">
        <f t="shared" si="1279"/>
        <v>x</v>
      </c>
      <c r="Y1964" s="580" t="str">
        <f t="shared" si="1142"/>
        <v>x</v>
      </c>
      <c r="Z1964" s="580" t="str">
        <f t="shared" si="1280"/>
        <v/>
      </c>
    </row>
    <row r="1965" spans="1:26" hidden="1" x14ac:dyDescent="0.2">
      <c r="A1965" s="97" t="s">
        <v>165</v>
      </c>
      <c r="B1965" s="1031" t="s">
        <v>165</v>
      </c>
      <c r="C1965" s="978"/>
      <c r="D1965" s="595" t="s">
        <v>366</v>
      </c>
      <c r="E1965" s="596"/>
      <c r="F1965" s="1089">
        <v>23.8</v>
      </c>
      <c r="G1965" s="597">
        <v>0.39</v>
      </c>
      <c r="H1965" s="682">
        <f>IF(F1965=0,0,IF(F1965&lt;=30,(0.7*F1965+1.45)*G1965,((0.7*30+1.45)+0.58*(F1965-30))*G1965))</f>
        <v>7.0629</v>
      </c>
      <c r="I1965" s="592"/>
      <c r="J1965" s="592"/>
      <c r="K1965" s="593">
        <f t="shared" si="1275"/>
        <v>0</v>
      </c>
      <c r="L1965" s="594"/>
      <c r="M1965" s="92"/>
      <c r="N1965" s="92"/>
      <c r="O1965" s="93">
        <f t="shared" si="1144"/>
        <v>0</v>
      </c>
      <c r="P1965" s="93">
        <f t="shared" si="1145"/>
        <v>0</v>
      </c>
      <c r="Q1965" s="94"/>
      <c r="R1965" s="92">
        <f t="shared" si="1146"/>
        <v>0</v>
      </c>
      <c r="S1965" s="92">
        <f t="shared" si="1147"/>
        <v>0</v>
      </c>
      <c r="T1965" s="93">
        <f t="shared" si="1148"/>
        <v>0</v>
      </c>
      <c r="U1965" s="95">
        <f t="shared" si="1149"/>
        <v>0</v>
      </c>
      <c r="V1965" s="94"/>
      <c r="W1965" s="96" t="str">
        <f>IF(U1962&gt;0,"xx",IF(P1962&gt;0,"xy",""))</f>
        <v>xx</v>
      </c>
      <c r="X1965" s="580" t="str">
        <f t="shared" si="1279"/>
        <v>x</v>
      </c>
      <c r="Y1965" s="580" t="str">
        <f t="shared" si="1142"/>
        <v>x</v>
      </c>
      <c r="Z1965" s="580" t="str">
        <f t="shared" si="1280"/>
        <v/>
      </c>
    </row>
    <row r="1966" spans="1:26" hidden="1" x14ac:dyDescent="0.2">
      <c r="A1966" s="1008">
        <v>610600</v>
      </c>
      <c r="B1966" s="1010" t="s">
        <v>2198</v>
      </c>
      <c r="C1966" s="978" t="s">
        <v>212</v>
      </c>
      <c r="D1966" s="595" t="s">
        <v>548</v>
      </c>
      <c r="E1966" s="596"/>
      <c r="F1966" s="671"/>
      <c r="G1966" s="597"/>
      <c r="H1966" s="682">
        <f>SUM(H1967:H1969)</f>
        <v>10.470437</v>
      </c>
      <c r="I1966" s="592">
        <v>187.48</v>
      </c>
      <c r="J1966" s="592">
        <f t="shared" ref="J1966" si="1286">IF(ISBLANK(I1966),"",SUM(H1966:I1966))</f>
        <v>197.95043699999999</v>
      </c>
      <c r="K1966" s="593">
        <f t="shared" si="1275"/>
        <v>240.93</v>
      </c>
      <c r="L1966" s="594" t="s">
        <v>19</v>
      </c>
      <c r="M1966" s="92"/>
      <c r="N1966" s="92"/>
      <c r="O1966" s="93">
        <f t="shared" si="1144"/>
        <v>0</v>
      </c>
      <c r="P1966" s="93">
        <f t="shared" si="1145"/>
        <v>0</v>
      </c>
      <c r="Q1966" s="94"/>
      <c r="R1966" s="92">
        <f t="shared" si="1146"/>
        <v>0</v>
      </c>
      <c r="S1966" s="92">
        <f t="shared" si="1147"/>
        <v>0</v>
      </c>
      <c r="T1966" s="93">
        <f t="shared" si="1148"/>
        <v>0</v>
      </c>
      <c r="U1966" s="95">
        <f t="shared" si="1149"/>
        <v>0</v>
      </c>
      <c r="V1966" s="94"/>
      <c r="X1966" s="580" t="str">
        <f t="shared" si="1279"/>
        <v/>
      </c>
      <c r="Y1966" s="580" t="str">
        <f t="shared" si="1142"/>
        <v/>
      </c>
      <c r="Z1966" s="580" t="str">
        <f t="shared" si="1280"/>
        <v/>
      </c>
    </row>
    <row r="1967" spans="1:26" hidden="1" x14ac:dyDescent="0.2">
      <c r="A1967" s="97" t="s">
        <v>165</v>
      </c>
      <c r="B1967" s="1031" t="s">
        <v>165</v>
      </c>
      <c r="C1967" s="978"/>
      <c r="D1967" s="595" t="s">
        <v>218</v>
      </c>
      <c r="E1967" s="596"/>
      <c r="F1967" s="671">
        <v>500</v>
      </c>
      <c r="G1967" s="597">
        <v>2.8999999999999998E-3</v>
      </c>
      <c r="H1967" s="682">
        <f>IF(F1967&lt;=30,(0.51*F1967+4.28)*G1967,((0.51*30+4.28)+0.42*(F1967-30))*G1967)</f>
        <v>0.62924199999999997</v>
      </c>
      <c r="I1967" s="592"/>
      <c r="J1967" s="592"/>
      <c r="K1967" s="593">
        <f t="shared" si="1275"/>
        <v>0</v>
      </c>
      <c r="L1967" s="594"/>
      <c r="M1967" s="92"/>
      <c r="N1967" s="92"/>
      <c r="O1967" s="93">
        <f t="shared" si="1144"/>
        <v>0</v>
      </c>
      <c r="P1967" s="93">
        <f t="shared" si="1145"/>
        <v>0</v>
      </c>
      <c r="Q1967" s="94"/>
      <c r="R1967" s="92">
        <f t="shared" si="1146"/>
        <v>0</v>
      </c>
      <c r="S1967" s="92">
        <f t="shared" si="1147"/>
        <v>0</v>
      </c>
      <c r="T1967" s="93">
        <f t="shared" si="1148"/>
        <v>0</v>
      </c>
      <c r="U1967" s="95">
        <f t="shared" si="1149"/>
        <v>0</v>
      </c>
      <c r="V1967" s="94"/>
      <c r="W1967" s="96" t="str">
        <f>IF(U1966&gt;0,"xx",IF(P1966&gt;0,"xy",""))</f>
        <v/>
      </c>
      <c r="X1967" s="580" t="str">
        <f t="shared" si="1279"/>
        <v/>
      </c>
      <c r="Y1967" s="580" t="str">
        <f t="shared" si="1142"/>
        <v/>
      </c>
      <c r="Z1967" s="580" t="str">
        <f t="shared" si="1280"/>
        <v/>
      </c>
    </row>
    <row r="1968" spans="1:26" hidden="1" x14ac:dyDescent="0.2">
      <c r="A1968" s="97" t="s">
        <v>165</v>
      </c>
      <c r="B1968" s="1031" t="s">
        <v>165</v>
      </c>
      <c r="C1968" s="978"/>
      <c r="D1968" s="595" t="s">
        <v>257</v>
      </c>
      <c r="E1968" s="596"/>
      <c r="F1968" s="671">
        <v>180</v>
      </c>
      <c r="G1968" s="597">
        <v>1.5100000000000001E-2</v>
      </c>
      <c r="H1968" s="682">
        <f>IF(F1968=0,0,IF(F1968&lt;=30,(0.7*F1968+1.45)*G1968,((0.7*30+1.45)+0.58*(F1968-30))*G1968))</f>
        <v>1.652695</v>
      </c>
      <c r="I1968" s="592"/>
      <c r="J1968" s="592"/>
      <c r="K1968" s="593">
        <f t="shared" si="1275"/>
        <v>0</v>
      </c>
      <c r="L1968" s="594"/>
      <c r="M1968" s="92"/>
      <c r="N1968" s="92"/>
      <c r="O1968" s="93">
        <f t="shared" si="1144"/>
        <v>0</v>
      </c>
      <c r="P1968" s="93">
        <f t="shared" si="1145"/>
        <v>0</v>
      </c>
      <c r="Q1968" s="94"/>
      <c r="R1968" s="92">
        <f t="shared" si="1146"/>
        <v>0</v>
      </c>
      <c r="S1968" s="92">
        <f t="shared" si="1147"/>
        <v>0</v>
      </c>
      <c r="T1968" s="93">
        <f t="shared" si="1148"/>
        <v>0</v>
      </c>
      <c r="U1968" s="95">
        <f t="shared" si="1149"/>
        <v>0</v>
      </c>
      <c r="V1968" s="94"/>
      <c r="W1968" s="96" t="str">
        <f>IF(U1966&gt;0,"xx",IF(P1966&gt;0,"xy",""))</f>
        <v/>
      </c>
      <c r="X1968" s="580" t="str">
        <f t="shared" si="1279"/>
        <v/>
      </c>
      <c r="Y1968" s="580" t="str">
        <f t="shared" si="1142"/>
        <v/>
      </c>
      <c r="Z1968" s="580" t="str">
        <f t="shared" si="1280"/>
        <v/>
      </c>
    </row>
    <row r="1969" spans="1:26" hidden="1" x14ac:dyDescent="0.2">
      <c r="A1969" s="97" t="s">
        <v>165</v>
      </c>
      <c r="B1969" s="1031" t="s">
        <v>165</v>
      </c>
      <c r="C1969" s="978"/>
      <c r="D1969" s="595" t="s">
        <v>366</v>
      </c>
      <c r="E1969" s="596"/>
      <c r="F1969" s="671">
        <v>20</v>
      </c>
      <c r="G1969" s="597">
        <v>0.53</v>
      </c>
      <c r="H1969" s="682">
        <f>IF(F1969=0,0,IF(F1969&lt;=30,(0.7*F1969+1.45)*G1969,((0.7*30+1.45)+0.58*(F1969-30))*G1969))</f>
        <v>8.1884999999999994</v>
      </c>
      <c r="I1969" s="592"/>
      <c r="J1969" s="592"/>
      <c r="K1969" s="593">
        <f t="shared" si="1275"/>
        <v>0</v>
      </c>
      <c r="L1969" s="594"/>
      <c r="M1969" s="92"/>
      <c r="N1969" s="92"/>
      <c r="O1969" s="93">
        <f t="shared" si="1144"/>
        <v>0</v>
      </c>
      <c r="P1969" s="93">
        <f t="shared" si="1145"/>
        <v>0</v>
      </c>
      <c r="Q1969" s="94"/>
      <c r="R1969" s="92">
        <f t="shared" si="1146"/>
        <v>0</v>
      </c>
      <c r="S1969" s="92">
        <f t="shared" si="1147"/>
        <v>0</v>
      </c>
      <c r="T1969" s="93">
        <f t="shared" si="1148"/>
        <v>0</v>
      </c>
      <c r="U1969" s="95">
        <f t="shared" si="1149"/>
        <v>0</v>
      </c>
      <c r="V1969" s="94"/>
      <c r="W1969" s="96" t="str">
        <f>IF(U1966&gt;0,"xx",IF(P1966&gt;0,"xy",""))</f>
        <v/>
      </c>
      <c r="X1969" s="580" t="str">
        <f t="shared" si="1279"/>
        <v/>
      </c>
      <c r="Y1969" s="580" t="str">
        <f t="shared" si="1142"/>
        <v/>
      </c>
      <c r="Z1969" s="580" t="str">
        <f t="shared" si="1280"/>
        <v/>
      </c>
    </row>
    <row r="1970" spans="1:26" hidden="1" x14ac:dyDescent="0.2">
      <c r="A1970" s="1008">
        <v>610800</v>
      </c>
      <c r="B1970" s="1010" t="s">
        <v>2203</v>
      </c>
      <c r="C1970" s="978" t="s">
        <v>212</v>
      </c>
      <c r="D1970" s="595" t="s">
        <v>394</v>
      </c>
      <c r="E1970" s="596"/>
      <c r="F1970" s="671"/>
      <c r="G1970" s="597"/>
      <c r="H1970" s="682">
        <f>SUM(H1971:H1973)</f>
        <v>12.884596</v>
      </c>
      <c r="I1970" s="592">
        <v>240.13000000000002</v>
      </c>
      <c r="J1970" s="592">
        <f t="shared" ref="J1970" si="1287">IF(ISBLANK(I1970),"",SUM(H1970:I1970))</f>
        <v>253.01459600000001</v>
      </c>
      <c r="K1970" s="593">
        <f t="shared" si="1275"/>
        <v>307.94</v>
      </c>
      <c r="L1970" s="594" t="s">
        <v>19</v>
      </c>
      <c r="M1970" s="92"/>
      <c r="N1970" s="92"/>
      <c r="O1970" s="93">
        <f t="shared" si="1144"/>
        <v>0</v>
      </c>
      <c r="P1970" s="93">
        <f t="shared" si="1145"/>
        <v>0</v>
      </c>
      <c r="Q1970" s="94"/>
      <c r="R1970" s="92">
        <f t="shared" si="1146"/>
        <v>0</v>
      </c>
      <c r="S1970" s="92">
        <f t="shared" si="1147"/>
        <v>0</v>
      </c>
      <c r="T1970" s="93">
        <f t="shared" si="1148"/>
        <v>0</v>
      </c>
      <c r="U1970" s="95">
        <f t="shared" si="1149"/>
        <v>0</v>
      </c>
      <c r="V1970" s="94"/>
      <c r="X1970" s="580" t="str">
        <f t="shared" si="1279"/>
        <v/>
      </c>
      <c r="Y1970" s="580" t="str">
        <f t="shared" si="1142"/>
        <v/>
      </c>
      <c r="Z1970" s="580" t="str">
        <f t="shared" si="1280"/>
        <v/>
      </c>
    </row>
    <row r="1971" spans="1:26" hidden="1" x14ac:dyDescent="0.2">
      <c r="A1971" s="97" t="s">
        <v>165</v>
      </c>
      <c r="B1971" s="1031" t="s">
        <v>165</v>
      </c>
      <c r="C1971" s="978"/>
      <c r="D1971" s="595" t="s">
        <v>218</v>
      </c>
      <c r="E1971" s="596"/>
      <c r="F1971" s="671">
        <v>500</v>
      </c>
      <c r="G1971" s="597">
        <v>3.2000000000000002E-3</v>
      </c>
      <c r="H1971" s="682">
        <f>IF(F1971&lt;=30,(0.51*F1971+4.28)*G1971,((0.51*30+4.28)+0.42*(F1971-30))*G1971)</f>
        <v>0.69433600000000006</v>
      </c>
      <c r="I1971" s="592"/>
      <c r="J1971" s="592"/>
      <c r="K1971" s="593">
        <f t="shared" si="1275"/>
        <v>0</v>
      </c>
      <c r="L1971" s="594"/>
      <c r="M1971" s="92"/>
      <c r="N1971" s="92"/>
      <c r="O1971" s="93">
        <f t="shared" si="1144"/>
        <v>0</v>
      </c>
      <c r="P1971" s="93">
        <f t="shared" si="1145"/>
        <v>0</v>
      </c>
      <c r="Q1971" s="94"/>
      <c r="R1971" s="92">
        <f t="shared" si="1146"/>
        <v>0</v>
      </c>
      <c r="S1971" s="92">
        <f t="shared" si="1147"/>
        <v>0</v>
      </c>
      <c r="T1971" s="93">
        <f t="shared" si="1148"/>
        <v>0</v>
      </c>
      <c r="U1971" s="95">
        <f t="shared" si="1149"/>
        <v>0</v>
      </c>
      <c r="V1971" s="94"/>
      <c r="W1971" s="96" t="str">
        <f>IF(U1970&gt;0,"xx",IF(P1970&gt;0,"xy",""))</f>
        <v/>
      </c>
      <c r="X1971" s="580" t="str">
        <f t="shared" si="1279"/>
        <v/>
      </c>
      <c r="Y1971" s="580" t="str">
        <f t="shared" si="1142"/>
        <v/>
      </c>
      <c r="Z1971" s="580" t="str">
        <f t="shared" si="1280"/>
        <v/>
      </c>
    </row>
    <row r="1972" spans="1:26" hidden="1" x14ac:dyDescent="0.2">
      <c r="A1972" s="97" t="s">
        <v>165</v>
      </c>
      <c r="B1972" s="1031" t="s">
        <v>165</v>
      </c>
      <c r="C1972" s="978"/>
      <c r="D1972" s="595" t="s">
        <v>257</v>
      </c>
      <c r="E1972" s="596"/>
      <c r="F1972" s="671">
        <v>180</v>
      </c>
      <c r="G1972" s="597">
        <v>1.6799999999999999E-2</v>
      </c>
      <c r="H1972" s="682">
        <f>IF(F1972=0,0,IF(F1972&lt;=30,(0.7*F1972+1.45)*G1972,((0.7*30+1.45)+0.58*(F1972-30))*G1972))</f>
        <v>1.83876</v>
      </c>
      <c r="I1972" s="592"/>
      <c r="J1972" s="592"/>
      <c r="K1972" s="593">
        <f t="shared" si="1275"/>
        <v>0</v>
      </c>
      <c r="L1972" s="594"/>
      <c r="M1972" s="92"/>
      <c r="N1972" s="92"/>
      <c r="O1972" s="93">
        <f t="shared" si="1144"/>
        <v>0</v>
      </c>
      <c r="P1972" s="93">
        <f t="shared" si="1145"/>
        <v>0</v>
      </c>
      <c r="Q1972" s="94"/>
      <c r="R1972" s="92">
        <f t="shared" si="1146"/>
        <v>0</v>
      </c>
      <c r="S1972" s="92">
        <f t="shared" si="1147"/>
        <v>0</v>
      </c>
      <c r="T1972" s="93">
        <f t="shared" si="1148"/>
        <v>0</v>
      </c>
      <c r="U1972" s="95">
        <f t="shared" si="1149"/>
        <v>0</v>
      </c>
      <c r="V1972" s="94"/>
      <c r="W1972" s="96" t="str">
        <f>IF(U1970&gt;0,"xx",IF(P1970&gt;0,"xy",""))</f>
        <v/>
      </c>
      <c r="X1972" s="580" t="str">
        <f t="shared" si="1279"/>
        <v/>
      </c>
      <c r="Y1972" s="580" t="str">
        <f t="shared" si="1142"/>
        <v/>
      </c>
      <c r="Z1972" s="580" t="str">
        <f t="shared" si="1280"/>
        <v/>
      </c>
    </row>
    <row r="1973" spans="1:26" hidden="1" x14ac:dyDescent="0.2">
      <c r="A1973" s="97" t="s">
        <v>165</v>
      </c>
      <c r="B1973" s="1031" t="s">
        <v>165</v>
      </c>
      <c r="C1973" s="978"/>
      <c r="D1973" s="595" t="s">
        <v>366</v>
      </c>
      <c r="E1973" s="596"/>
      <c r="F1973" s="671">
        <v>20</v>
      </c>
      <c r="G1973" s="597">
        <v>0.67</v>
      </c>
      <c r="H1973" s="682">
        <f>IF(F1973=0,0,IF(F1973&lt;=30,(0.7*F1973+1.45)*G1973,((0.7*30+1.45)+0.58*(F1973-30))*G1973))</f>
        <v>10.3515</v>
      </c>
      <c r="I1973" s="592"/>
      <c r="J1973" s="592"/>
      <c r="K1973" s="593">
        <f t="shared" si="1275"/>
        <v>0</v>
      </c>
      <c r="L1973" s="594"/>
      <c r="M1973" s="92"/>
      <c r="N1973" s="92"/>
      <c r="O1973" s="93">
        <f t="shared" si="1144"/>
        <v>0</v>
      </c>
      <c r="P1973" s="93">
        <f t="shared" si="1145"/>
        <v>0</v>
      </c>
      <c r="Q1973" s="94"/>
      <c r="R1973" s="92">
        <f t="shared" si="1146"/>
        <v>0</v>
      </c>
      <c r="S1973" s="92">
        <f t="shared" si="1147"/>
        <v>0</v>
      </c>
      <c r="T1973" s="93">
        <f t="shared" si="1148"/>
        <v>0</v>
      </c>
      <c r="U1973" s="95">
        <f t="shared" si="1149"/>
        <v>0</v>
      </c>
      <c r="V1973" s="94"/>
      <c r="W1973" s="96" t="str">
        <f>IF(U1970&gt;0,"xx",IF(P1970&gt;0,"xy",""))</f>
        <v/>
      </c>
      <c r="X1973" s="580" t="str">
        <f t="shared" si="1279"/>
        <v/>
      </c>
      <c r="Y1973" s="580" t="str">
        <f t="shared" si="1142"/>
        <v/>
      </c>
      <c r="Z1973" s="580" t="str">
        <f t="shared" si="1280"/>
        <v/>
      </c>
    </row>
    <row r="1974" spans="1:26" x14ac:dyDescent="0.2">
      <c r="A1974" s="1008">
        <v>610400</v>
      </c>
      <c r="B1974" s="1107" t="s">
        <v>2195</v>
      </c>
      <c r="C1974" s="1108" t="s">
        <v>212</v>
      </c>
      <c r="D1974" s="1109" t="s">
        <v>395</v>
      </c>
      <c r="E1974" s="1110"/>
      <c r="F1974" s="671"/>
      <c r="G1974" s="597"/>
      <c r="H1974" s="682">
        <f>SUM(H1975:H1977)</f>
        <v>2.0521862999999998</v>
      </c>
      <c r="I1974" s="592">
        <v>172.8</v>
      </c>
      <c r="J1974" s="592">
        <f t="shared" ref="J1974" si="1288">IF(ISBLANK(I1974),"",SUM(H1974:I1974))</f>
        <v>174.8521863</v>
      </c>
      <c r="K1974" s="593">
        <f t="shared" si="1275"/>
        <v>212.81</v>
      </c>
      <c r="L1974" s="594" t="s">
        <v>19</v>
      </c>
      <c r="M1974" s="92">
        <v>162</v>
      </c>
      <c r="N1974" s="92">
        <v>130.25</v>
      </c>
      <c r="O1974" s="93">
        <f t="shared" si="1144"/>
        <v>34475.22</v>
      </c>
      <c r="P1974" s="93">
        <f t="shared" si="1145"/>
        <v>21100.5</v>
      </c>
      <c r="Q1974" s="94"/>
      <c r="R1974" s="1111">
        <f t="shared" si="1146"/>
        <v>162</v>
      </c>
      <c r="S1974" s="1111">
        <f t="shared" si="1147"/>
        <v>130.25</v>
      </c>
      <c r="T1974" s="1112">
        <f t="shared" si="1148"/>
        <v>34475.22</v>
      </c>
      <c r="U1974" s="1113">
        <f t="shared" si="1149"/>
        <v>21100.5</v>
      </c>
      <c r="V1974" s="1114"/>
      <c r="X1974" s="580" t="str">
        <f t="shared" si="1279"/>
        <v>x</v>
      </c>
      <c r="Y1974" s="580" t="str">
        <f t="shared" si="1142"/>
        <v>x</v>
      </c>
      <c r="Z1974" s="580" t="str">
        <f t="shared" si="1280"/>
        <v>x</v>
      </c>
    </row>
    <row r="1975" spans="1:26" hidden="1" x14ac:dyDescent="0.2">
      <c r="A1975" s="97" t="s">
        <v>165</v>
      </c>
      <c r="B1975" s="1031" t="s">
        <v>165</v>
      </c>
      <c r="C1975" s="978"/>
      <c r="D1975" s="595" t="s">
        <v>218</v>
      </c>
      <c r="E1975" s="596"/>
      <c r="F1975" s="1089">
        <v>4.7</v>
      </c>
      <c r="G1975" s="597">
        <v>1.9E-3</v>
      </c>
      <c r="H1975" s="682">
        <f>IF(F1975&lt;=30,(0.51*F1975+4.28)*G1975,((0.51*30+4.28)+0.42*(F1975-30))*G1975)</f>
        <v>1.2686300000000001E-2</v>
      </c>
      <c r="I1975" s="592"/>
      <c r="J1975" s="592"/>
      <c r="K1975" s="593">
        <f t="shared" si="1275"/>
        <v>0</v>
      </c>
      <c r="L1975" s="594"/>
      <c r="M1975" s="92"/>
      <c r="N1975" s="92"/>
      <c r="O1975" s="93">
        <f t="shared" si="1144"/>
        <v>0</v>
      </c>
      <c r="P1975" s="93">
        <f t="shared" si="1145"/>
        <v>0</v>
      </c>
      <c r="Q1975" s="94"/>
      <c r="R1975" s="92">
        <f t="shared" si="1146"/>
        <v>0</v>
      </c>
      <c r="S1975" s="92">
        <f t="shared" si="1147"/>
        <v>0</v>
      </c>
      <c r="T1975" s="93">
        <f t="shared" si="1148"/>
        <v>0</v>
      </c>
      <c r="U1975" s="95">
        <f t="shared" si="1149"/>
        <v>0</v>
      </c>
      <c r="V1975" s="94"/>
      <c r="W1975" s="96" t="str">
        <f>IF(U1974&gt;0,"xx",IF(P1974&gt;0,"xy",""))</f>
        <v>xx</v>
      </c>
      <c r="X1975" s="580" t="str">
        <f t="shared" si="1279"/>
        <v>x</v>
      </c>
      <c r="Y1975" s="580" t="str">
        <f t="shared" si="1142"/>
        <v>x</v>
      </c>
      <c r="Z1975" s="580" t="str">
        <f t="shared" si="1280"/>
        <v/>
      </c>
    </row>
    <row r="1976" spans="1:26" hidden="1" x14ac:dyDescent="0.2">
      <c r="A1976" s="97" t="s">
        <v>165</v>
      </c>
      <c r="B1976" s="1031" t="s">
        <v>165</v>
      </c>
      <c r="C1976" s="978"/>
      <c r="D1976" s="595" t="s">
        <v>257</v>
      </c>
      <c r="E1976" s="596"/>
      <c r="F1976" s="1089">
        <v>4.7</v>
      </c>
      <c r="G1976" s="597">
        <v>0.01</v>
      </c>
      <c r="H1976" s="682">
        <f>IF(F1976=0,0,IF(F1976&lt;=30,(0.7*F1976+1.45)*G1976,((0.7*30+1.45)+0.58*(F1976-30))*G1976))</f>
        <v>4.7400000000000005E-2</v>
      </c>
      <c r="I1976" s="592"/>
      <c r="J1976" s="592"/>
      <c r="K1976" s="593">
        <f t="shared" si="1275"/>
        <v>0</v>
      </c>
      <c r="L1976" s="594"/>
      <c r="M1976" s="92"/>
      <c r="N1976" s="92"/>
      <c r="O1976" s="93">
        <f t="shared" si="1144"/>
        <v>0</v>
      </c>
      <c r="P1976" s="93">
        <f t="shared" si="1145"/>
        <v>0</v>
      </c>
      <c r="Q1976" s="94"/>
      <c r="R1976" s="92">
        <f t="shared" si="1146"/>
        <v>0</v>
      </c>
      <c r="S1976" s="92">
        <f t="shared" si="1147"/>
        <v>0</v>
      </c>
      <c r="T1976" s="93">
        <f t="shared" si="1148"/>
        <v>0</v>
      </c>
      <c r="U1976" s="95">
        <f t="shared" si="1149"/>
        <v>0</v>
      </c>
      <c r="V1976" s="94"/>
      <c r="W1976" s="96" t="str">
        <f>IF(U1974&gt;0,"xx",IF(P1974&gt;0,"xy",""))</f>
        <v>xx</v>
      </c>
      <c r="X1976" s="580" t="str">
        <f t="shared" si="1279"/>
        <v>x</v>
      </c>
      <c r="Y1976" s="580" t="str">
        <f t="shared" si="1142"/>
        <v>x</v>
      </c>
      <c r="Z1976" s="580" t="str">
        <f t="shared" si="1280"/>
        <v/>
      </c>
    </row>
    <row r="1977" spans="1:26" hidden="1" x14ac:dyDescent="0.2">
      <c r="A1977" s="97" t="s">
        <v>165</v>
      </c>
      <c r="B1977" s="1031" t="s">
        <v>165</v>
      </c>
      <c r="C1977" s="978"/>
      <c r="D1977" s="595" t="s">
        <v>366</v>
      </c>
      <c r="E1977" s="596"/>
      <c r="F1977" s="1089">
        <v>23.8</v>
      </c>
      <c r="G1977" s="597">
        <v>0.11</v>
      </c>
      <c r="H1977" s="682">
        <f>IF(F1977=0,0,IF(F1977&lt;=30,(0.7*F1977+1.45)*G1977,((0.7*30+1.45)+0.58*(F1977-30))*G1977))</f>
        <v>1.9921</v>
      </c>
      <c r="I1977" s="592"/>
      <c r="J1977" s="592"/>
      <c r="K1977" s="593">
        <f t="shared" si="1275"/>
        <v>0</v>
      </c>
      <c r="L1977" s="594"/>
      <c r="M1977" s="92"/>
      <c r="N1977" s="92"/>
      <c r="O1977" s="93">
        <f t="shared" si="1144"/>
        <v>0</v>
      </c>
      <c r="P1977" s="93">
        <f t="shared" si="1145"/>
        <v>0</v>
      </c>
      <c r="Q1977" s="94"/>
      <c r="R1977" s="92">
        <f t="shared" si="1146"/>
        <v>0</v>
      </c>
      <c r="S1977" s="92">
        <f t="shared" si="1147"/>
        <v>0</v>
      </c>
      <c r="T1977" s="93">
        <f t="shared" si="1148"/>
        <v>0</v>
      </c>
      <c r="U1977" s="95">
        <f t="shared" si="1149"/>
        <v>0</v>
      </c>
      <c r="V1977" s="94"/>
      <c r="W1977" s="96" t="str">
        <f>IF(U1974&gt;0,"xx",IF(P1974&gt;0,"xy",""))</f>
        <v>xx</v>
      </c>
      <c r="X1977" s="580" t="str">
        <f t="shared" si="1279"/>
        <v>x</v>
      </c>
      <c r="Y1977" s="580" t="str">
        <f t="shared" si="1142"/>
        <v>x</v>
      </c>
      <c r="Z1977" s="580" t="str">
        <f t="shared" si="1280"/>
        <v/>
      </c>
    </row>
    <row r="1978" spans="1:26" hidden="1" x14ac:dyDescent="0.2">
      <c r="A1978" s="1008">
        <v>610600</v>
      </c>
      <c r="B1978" s="1010" t="s">
        <v>2199</v>
      </c>
      <c r="C1978" s="978" t="s">
        <v>212</v>
      </c>
      <c r="D1978" s="595" t="s">
        <v>747</v>
      </c>
      <c r="E1978" s="596"/>
      <c r="F1978" s="671"/>
      <c r="G1978" s="597"/>
      <c r="H1978" s="682">
        <f>SUM(H1979:H1981)</f>
        <v>5.6421190000000001</v>
      </c>
      <c r="I1978" s="592">
        <v>195.33500000000001</v>
      </c>
      <c r="J1978" s="592">
        <f t="shared" ref="J1978" si="1289">IF(ISBLANK(I1978),"",SUM(H1978:I1978))</f>
        <v>200.97711900000002</v>
      </c>
      <c r="K1978" s="593">
        <f t="shared" si="1275"/>
        <v>244.61</v>
      </c>
      <c r="L1978" s="594" t="s">
        <v>19</v>
      </c>
      <c r="M1978" s="92"/>
      <c r="N1978" s="92"/>
      <c r="O1978" s="93">
        <f t="shared" si="1144"/>
        <v>0</v>
      </c>
      <c r="P1978" s="93">
        <f t="shared" si="1145"/>
        <v>0</v>
      </c>
      <c r="Q1978" s="94"/>
      <c r="R1978" s="92">
        <f t="shared" si="1146"/>
        <v>0</v>
      </c>
      <c r="S1978" s="92">
        <f t="shared" si="1147"/>
        <v>0</v>
      </c>
      <c r="T1978" s="93">
        <f t="shared" si="1148"/>
        <v>0</v>
      </c>
      <c r="U1978" s="95">
        <f t="shared" si="1149"/>
        <v>0</v>
      </c>
      <c r="V1978" s="94"/>
      <c r="X1978" s="580" t="str">
        <f t="shared" si="1279"/>
        <v/>
      </c>
      <c r="Y1978" s="580" t="str">
        <f t="shared" si="1142"/>
        <v/>
      </c>
      <c r="Z1978" s="580" t="str">
        <f t="shared" si="1280"/>
        <v/>
      </c>
    </row>
    <row r="1979" spans="1:26" hidden="1" x14ac:dyDescent="0.2">
      <c r="A1979" s="97" t="s">
        <v>165</v>
      </c>
      <c r="B1979" s="1031" t="s">
        <v>165</v>
      </c>
      <c r="C1979" s="978"/>
      <c r="D1979" s="595" t="s">
        <v>218</v>
      </c>
      <c r="E1979" s="596"/>
      <c r="F1979" s="671">
        <v>500</v>
      </c>
      <c r="G1979" s="597">
        <v>2.3E-3</v>
      </c>
      <c r="H1979" s="682">
        <f>IF(F1979&lt;=30,(0.51*F1979+4.28)*G1979,((0.51*30+4.28)+0.42*(F1979-30))*G1979)</f>
        <v>0.49905400000000005</v>
      </c>
      <c r="I1979" s="592"/>
      <c r="J1979" s="592"/>
      <c r="K1979" s="593">
        <f t="shared" si="1275"/>
        <v>0</v>
      </c>
      <c r="L1979" s="594"/>
      <c r="M1979" s="92"/>
      <c r="N1979" s="92"/>
      <c r="O1979" s="93">
        <f t="shared" si="1144"/>
        <v>0</v>
      </c>
      <c r="P1979" s="93">
        <f t="shared" si="1145"/>
        <v>0</v>
      </c>
      <c r="Q1979" s="94"/>
      <c r="R1979" s="92">
        <f t="shared" si="1146"/>
        <v>0</v>
      </c>
      <c r="S1979" s="92">
        <f t="shared" si="1147"/>
        <v>0</v>
      </c>
      <c r="T1979" s="93">
        <f t="shared" si="1148"/>
        <v>0</v>
      </c>
      <c r="U1979" s="95">
        <f t="shared" si="1149"/>
        <v>0</v>
      </c>
      <c r="V1979" s="94"/>
      <c r="W1979" s="96" t="str">
        <f>IF(U1978&gt;0,"xx",IF(P1978&gt;0,"xy",""))</f>
        <v/>
      </c>
      <c r="X1979" s="580" t="str">
        <f t="shared" si="1279"/>
        <v/>
      </c>
      <c r="Y1979" s="580" t="str">
        <f t="shared" si="1142"/>
        <v/>
      </c>
      <c r="Z1979" s="580" t="str">
        <f t="shared" si="1280"/>
        <v/>
      </c>
    </row>
    <row r="1980" spans="1:26" hidden="1" x14ac:dyDescent="0.2">
      <c r="A1980" s="97" t="s">
        <v>165</v>
      </c>
      <c r="B1980" s="1031" t="s">
        <v>165</v>
      </c>
      <c r="C1980" s="978"/>
      <c r="D1980" s="595" t="s">
        <v>257</v>
      </c>
      <c r="E1980" s="596"/>
      <c r="F1980" s="671">
        <v>180</v>
      </c>
      <c r="G1980" s="597">
        <v>1.17E-2</v>
      </c>
      <c r="H1980" s="682">
        <f>IF(F1980=0,0,IF(F1980&lt;=30,(0.7*F1980+1.45)*G1980,((0.7*30+1.45)+0.58*(F1980-30))*G1980))</f>
        <v>1.2805650000000002</v>
      </c>
      <c r="I1980" s="592"/>
      <c r="J1980" s="592"/>
      <c r="K1980" s="593">
        <f t="shared" si="1275"/>
        <v>0</v>
      </c>
      <c r="L1980" s="594"/>
      <c r="M1980" s="92"/>
      <c r="N1980" s="92"/>
      <c r="O1980" s="93">
        <f t="shared" si="1144"/>
        <v>0</v>
      </c>
      <c r="P1980" s="93">
        <f t="shared" si="1145"/>
        <v>0</v>
      </c>
      <c r="Q1980" s="94"/>
      <c r="R1980" s="92">
        <f t="shared" si="1146"/>
        <v>0</v>
      </c>
      <c r="S1980" s="92">
        <f t="shared" si="1147"/>
        <v>0</v>
      </c>
      <c r="T1980" s="93">
        <f t="shared" si="1148"/>
        <v>0</v>
      </c>
      <c r="U1980" s="95">
        <f t="shared" si="1149"/>
        <v>0</v>
      </c>
      <c r="V1980" s="94"/>
      <c r="W1980" s="96" t="str">
        <f>IF(U1978&gt;0,"xx",IF(P1978&gt;0,"xy",""))</f>
        <v/>
      </c>
      <c r="X1980" s="580" t="str">
        <f t="shared" si="1279"/>
        <v/>
      </c>
      <c r="Y1980" s="580" t="str">
        <f t="shared" si="1142"/>
        <v/>
      </c>
      <c r="Z1980" s="580" t="str">
        <f t="shared" si="1280"/>
        <v/>
      </c>
    </row>
    <row r="1981" spans="1:26" hidden="1" x14ac:dyDescent="0.2">
      <c r="A1981" s="97" t="s">
        <v>165</v>
      </c>
      <c r="B1981" s="1031" t="s">
        <v>165</v>
      </c>
      <c r="C1981" s="978"/>
      <c r="D1981" s="595" t="s">
        <v>366</v>
      </c>
      <c r="E1981" s="596"/>
      <c r="F1981" s="671">
        <v>20</v>
      </c>
      <c r="G1981" s="597">
        <v>0.25</v>
      </c>
      <c r="H1981" s="682">
        <f>IF(F1981=0,0,IF(F1981&lt;=30,(0.7*F1981+1.45)*G1981,((0.7*30+1.45)+0.58*(F1981-30))*G1981))</f>
        <v>3.8624999999999998</v>
      </c>
      <c r="I1981" s="592"/>
      <c r="J1981" s="592"/>
      <c r="K1981" s="593">
        <f t="shared" si="1275"/>
        <v>0</v>
      </c>
      <c r="L1981" s="594"/>
      <c r="M1981" s="92"/>
      <c r="N1981" s="92"/>
      <c r="O1981" s="93">
        <f t="shared" si="1144"/>
        <v>0</v>
      </c>
      <c r="P1981" s="93">
        <f t="shared" si="1145"/>
        <v>0</v>
      </c>
      <c r="Q1981" s="94"/>
      <c r="R1981" s="92">
        <f t="shared" si="1146"/>
        <v>0</v>
      </c>
      <c r="S1981" s="92">
        <f t="shared" si="1147"/>
        <v>0</v>
      </c>
      <c r="T1981" s="93">
        <f t="shared" si="1148"/>
        <v>0</v>
      </c>
      <c r="U1981" s="95">
        <f t="shared" si="1149"/>
        <v>0</v>
      </c>
      <c r="V1981" s="94"/>
      <c r="W1981" s="96" t="str">
        <f>IF(U1978&gt;0,"xx",IF(P1978&gt;0,"xy",""))</f>
        <v/>
      </c>
      <c r="X1981" s="580" t="str">
        <f t="shared" si="1279"/>
        <v/>
      </c>
      <c r="Y1981" s="580" t="str">
        <f t="shared" si="1142"/>
        <v/>
      </c>
      <c r="Z1981" s="580" t="str">
        <f t="shared" si="1280"/>
        <v/>
      </c>
    </row>
    <row r="1982" spans="1:26" x14ac:dyDescent="0.2">
      <c r="A1982" s="1008">
        <v>610600</v>
      </c>
      <c r="B1982" s="1107" t="s">
        <v>2200</v>
      </c>
      <c r="C1982" s="1108" t="s">
        <v>212</v>
      </c>
      <c r="D1982" s="1109" t="s">
        <v>396</v>
      </c>
      <c r="E1982" s="1110"/>
      <c r="F1982" s="671"/>
      <c r="G1982" s="597"/>
      <c r="H1982" s="682">
        <f>SUM(H1983:H1985)</f>
        <v>7.1437761999999996</v>
      </c>
      <c r="I1982" s="592">
        <v>217.86999999999998</v>
      </c>
      <c r="J1982" s="592">
        <f t="shared" ref="J1982" si="1290">IF(ISBLANK(I1982),"",SUM(H1982:I1982))</f>
        <v>225.01377619999997</v>
      </c>
      <c r="K1982" s="593">
        <f t="shared" si="1275"/>
        <v>273.86</v>
      </c>
      <c r="L1982" s="594" t="s">
        <v>19</v>
      </c>
      <c r="M1982" s="92">
        <v>22</v>
      </c>
      <c r="N1982" s="92">
        <v>197.72</v>
      </c>
      <c r="O1982" s="93">
        <f t="shared" si="1144"/>
        <v>6024.92</v>
      </c>
      <c r="P1982" s="93">
        <f t="shared" si="1145"/>
        <v>4349.84</v>
      </c>
      <c r="Q1982" s="94"/>
      <c r="R1982" s="1111">
        <f t="shared" si="1146"/>
        <v>22</v>
      </c>
      <c r="S1982" s="1111">
        <f t="shared" si="1147"/>
        <v>197.72</v>
      </c>
      <c r="T1982" s="1112">
        <f t="shared" si="1148"/>
        <v>6024.92</v>
      </c>
      <c r="U1982" s="1113">
        <f t="shared" si="1149"/>
        <v>4349.84</v>
      </c>
      <c r="V1982" s="1114"/>
      <c r="X1982" s="580" t="str">
        <f t="shared" si="1279"/>
        <v>x</v>
      </c>
      <c r="Y1982" s="580" t="str">
        <f t="shared" si="1142"/>
        <v>x</v>
      </c>
      <c r="Z1982" s="580" t="str">
        <f t="shared" si="1280"/>
        <v>x</v>
      </c>
    </row>
    <row r="1983" spans="1:26" hidden="1" x14ac:dyDescent="0.2">
      <c r="A1983" s="97" t="s">
        <v>165</v>
      </c>
      <c r="B1983" s="1031" t="s">
        <v>165</v>
      </c>
      <c r="C1983" s="978"/>
      <c r="D1983" s="595" t="s">
        <v>218</v>
      </c>
      <c r="E1983" s="596"/>
      <c r="F1983" s="1089">
        <v>4.7</v>
      </c>
      <c r="G1983" s="597">
        <v>2.5999999999999999E-3</v>
      </c>
      <c r="H1983" s="682">
        <f>IF(F1983&lt;=30,(0.51*F1983+4.28)*G1983,((0.51*30+4.28)+0.42*(F1983-30))*G1983)</f>
        <v>1.7360199999999999E-2</v>
      </c>
      <c r="I1983" s="592"/>
      <c r="J1983" s="592"/>
      <c r="K1983" s="593">
        <f t="shared" si="1275"/>
        <v>0</v>
      </c>
      <c r="L1983" s="594"/>
      <c r="M1983" s="92"/>
      <c r="N1983" s="92"/>
      <c r="O1983" s="93">
        <f t="shared" si="1144"/>
        <v>0</v>
      </c>
      <c r="P1983" s="93">
        <f t="shared" si="1145"/>
        <v>0</v>
      </c>
      <c r="Q1983" s="94"/>
      <c r="R1983" s="92">
        <f t="shared" si="1146"/>
        <v>0</v>
      </c>
      <c r="S1983" s="92">
        <f t="shared" si="1147"/>
        <v>0</v>
      </c>
      <c r="T1983" s="93">
        <f t="shared" si="1148"/>
        <v>0</v>
      </c>
      <c r="U1983" s="95">
        <f t="shared" si="1149"/>
        <v>0</v>
      </c>
      <c r="V1983" s="94"/>
      <c r="W1983" s="96" t="str">
        <f>IF(U1982&gt;0,"xx",IF(P1982&gt;0,"xy",""))</f>
        <v>xx</v>
      </c>
      <c r="X1983" s="580" t="str">
        <f t="shared" si="1279"/>
        <v>x</v>
      </c>
      <c r="Y1983" s="580" t="str">
        <f t="shared" si="1142"/>
        <v>x</v>
      </c>
      <c r="Z1983" s="580" t="str">
        <f t="shared" si="1280"/>
        <v/>
      </c>
    </row>
    <row r="1984" spans="1:26" hidden="1" x14ac:dyDescent="0.2">
      <c r="A1984" s="97" t="s">
        <v>165</v>
      </c>
      <c r="B1984" s="1031" t="s">
        <v>165</v>
      </c>
      <c r="C1984" s="978"/>
      <c r="D1984" s="595" t="s">
        <v>257</v>
      </c>
      <c r="E1984" s="596"/>
      <c r="F1984" s="1089">
        <v>4.7</v>
      </c>
      <c r="G1984" s="597">
        <v>1.34E-2</v>
      </c>
      <c r="H1984" s="682">
        <f>IF(F1984=0,0,IF(F1984&lt;=30,(0.7*F1984+1.45)*G1984,((0.7*30+1.45)+0.58*(F1984-30))*G1984))</f>
        <v>6.3516000000000003E-2</v>
      </c>
      <c r="I1984" s="592"/>
      <c r="J1984" s="592"/>
      <c r="K1984" s="593">
        <f t="shared" si="1275"/>
        <v>0</v>
      </c>
      <c r="L1984" s="594"/>
      <c r="M1984" s="92"/>
      <c r="N1984" s="92"/>
      <c r="O1984" s="93">
        <f t="shared" si="1144"/>
        <v>0</v>
      </c>
      <c r="P1984" s="93">
        <f t="shared" si="1145"/>
        <v>0</v>
      </c>
      <c r="Q1984" s="94"/>
      <c r="R1984" s="92">
        <f t="shared" si="1146"/>
        <v>0</v>
      </c>
      <c r="S1984" s="92">
        <f t="shared" si="1147"/>
        <v>0</v>
      </c>
      <c r="T1984" s="93">
        <f t="shared" si="1148"/>
        <v>0</v>
      </c>
      <c r="U1984" s="95">
        <f t="shared" si="1149"/>
        <v>0</v>
      </c>
      <c r="V1984" s="94"/>
      <c r="W1984" s="96" t="str">
        <f>IF(U1982&gt;0,"xx",IF(P1982&gt;0,"xy",""))</f>
        <v>xx</v>
      </c>
      <c r="X1984" s="580" t="str">
        <f t="shared" si="1279"/>
        <v>x</v>
      </c>
      <c r="Y1984" s="580" t="str">
        <f t="shared" si="1142"/>
        <v>x</v>
      </c>
      <c r="Z1984" s="580" t="str">
        <f t="shared" si="1280"/>
        <v/>
      </c>
    </row>
    <row r="1985" spans="1:26" hidden="1" x14ac:dyDescent="0.2">
      <c r="A1985" s="97" t="s">
        <v>165</v>
      </c>
      <c r="B1985" s="1031" t="s">
        <v>165</v>
      </c>
      <c r="C1985" s="978"/>
      <c r="D1985" s="595" t="s">
        <v>366</v>
      </c>
      <c r="E1985" s="596"/>
      <c r="F1985" s="1089">
        <v>23.8</v>
      </c>
      <c r="G1985" s="597">
        <v>0.39</v>
      </c>
      <c r="H1985" s="682">
        <f>IF(F1985=0,0,IF(F1985&lt;=30,(0.7*F1985+1.45)*G1985,((0.7*30+1.45)+0.58*(F1985-30))*G1985))</f>
        <v>7.0629</v>
      </c>
      <c r="I1985" s="592"/>
      <c r="J1985" s="592"/>
      <c r="K1985" s="593">
        <f t="shared" si="1275"/>
        <v>0</v>
      </c>
      <c r="L1985" s="594"/>
      <c r="M1985" s="92"/>
      <c r="N1985" s="92"/>
      <c r="O1985" s="93">
        <f t="shared" si="1144"/>
        <v>0</v>
      </c>
      <c r="P1985" s="93">
        <f t="shared" si="1145"/>
        <v>0</v>
      </c>
      <c r="Q1985" s="94"/>
      <c r="R1985" s="92">
        <f t="shared" si="1146"/>
        <v>0</v>
      </c>
      <c r="S1985" s="92">
        <f t="shared" si="1147"/>
        <v>0</v>
      </c>
      <c r="T1985" s="93">
        <f t="shared" si="1148"/>
        <v>0</v>
      </c>
      <c r="U1985" s="95">
        <f t="shared" si="1149"/>
        <v>0</v>
      </c>
      <c r="V1985" s="94"/>
      <c r="W1985" s="96" t="str">
        <f>IF(U1982&gt;0,"xx",IF(P1982&gt;0,"xy",""))</f>
        <v>xx</v>
      </c>
      <c r="X1985" s="580" t="str">
        <f t="shared" si="1279"/>
        <v>x</v>
      </c>
      <c r="Y1985" s="580" t="str">
        <f t="shared" si="1142"/>
        <v>x</v>
      </c>
      <c r="Z1985" s="580" t="str">
        <f t="shared" si="1280"/>
        <v/>
      </c>
    </row>
    <row r="1986" spans="1:26" hidden="1" x14ac:dyDescent="0.2">
      <c r="A1986" s="1008">
        <v>610800</v>
      </c>
      <c r="B1986" s="1010" t="s">
        <v>2204</v>
      </c>
      <c r="C1986" s="978" t="s">
        <v>212</v>
      </c>
      <c r="D1986" s="595" t="s">
        <v>745</v>
      </c>
      <c r="E1986" s="596"/>
      <c r="F1986" s="671"/>
      <c r="G1986" s="597"/>
      <c r="H1986" s="682">
        <f>SUM(H1987:H1989)</f>
        <v>10.470437</v>
      </c>
      <c r="I1986" s="592">
        <v>267.065</v>
      </c>
      <c r="J1986" s="592">
        <f t="shared" ref="J1986" si="1291">IF(ISBLANK(I1986),"",SUM(H1986:I1986))</f>
        <v>277.535437</v>
      </c>
      <c r="K1986" s="593">
        <f t="shared" si="1275"/>
        <v>337.79</v>
      </c>
      <c r="L1986" s="594" t="s">
        <v>19</v>
      </c>
      <c r="M1986" s="92"/>
      <c r="N1986" s="92"/>
      <c r="O1986" s="93">
        <f t="shared" si="1144"/>
        <v>0</v>
      </c>
      <c r="P1986" s="93">
        <f t="shared" si="1145"/>
        <v>0</v>
      </c>
      <c r="Q1986" s="94"/>
      <c r="R1986" s="92">
        <f t="shared" si="1146"/>
        <v>0</v>
      </c>
      <c r="S1986" s="92">
        <f t="shared" si="1147"/>
        <v>0</v>
      </c>
      <c r="T1986" s="93">
        <f t="shared" si="1148"/>
        <v>0</v>
      </c>
      <c r="U1986" s="95">
        <f t="shared" si="1149"/>
        <v>0</v>
      </c>
      <c r="V1986" s="94"/>
      <c r="X1986" s="580" t="str">
        <f t="shared" si="1279"/>
        <v/>
      </c>
      <c r="Y1986" s="580" t="str">
        <f t="shared" si="1142"/>
        <v/>
      </c>
      <c r="Z1986" s="580" t="str">
        <f t="shared" si="1280"/>
        <v/>
      </c>
    </row>
    <row r="1987" spans="1:26" hidden="1" x14ac:dyDescent="0.2">
      <c r="A1987" s="97" t="s">
        <v>165</v>
      </c>
      <c r="B1987" s="1031" t="s">
        <v>165</v>
      </c>
      <c r="C1987" s="978"/>
      <c r="D1987" s="595" t="s">
        <v>218</v>
      </c>
      <c r="E1987" s="596"/>
      <c r="F1987" s="671">
        <v>500</v>
      </c>
      <c r="G1987" s="597">
        <v>2.8999999999999998E-3</v>
      </c>
      <c r="H1987" s="682">
        <f>IF(F1987&lt;=30,(0.51*F1987+4.28)*G1987,((0.51*30+4.28)+0.42*(F1987-30))*G1987)</f>
        <v>0.62924199999999997</v>
      </c>
      <c r="I1987" s="592"/>
      <c r="J1987" s="592"/>
      <c r="K1987" s="593">
        <f t="shared" si="1275"/>
        <v>0</v>
      </c>
      <c r="L1987" s="594"/>
      <c r="M1987" s="92"/>
      <c r="N1987" s="92"/>
      <c r="O1987" s="93">
        <f t="shared" si="1144"/>
        <v>0</v>
      </c>
      <c r="P1987" s="93">
        <f t="shared" si="1145"/>
        <v>0</v>
      </c>
      <c r="Q1987" s="94"/>
      <c r="R1987" s="92">
        <f t="shared" si="1146"/>
        <v>0</v>
      </c>
      <c r="S1987" s="92">
        <f t="shared" si="1147"/>
        <v>0</v>
      </c>
      <c r="T1987" s="93">
        <f t="shared" si="1148"/>
        <v>0</v>
      </c>
      <c r="U1987" s="95">
        <f t="shared" si="1149"/>
        <v>0</v>
      </c>
      <c r="V1987" s="94"/>
      <c r="W1987" s="96" t="str">
        <f>IF(U1986&gt;0,"xx",IF(P1986&gt;0,"xy",""))</f>
        <v/>
      </c>
      <c r="X1987" s="580" t="str">
        <f t="shared" si="1279"/>
        <v/>
      </c>
      <c r="Y1987" s="580" t="str">
        <f t="shared" si="1142"/>
        <v/>
      </c>
      <c r="Z1987" s="580" t="str">
        <f t="shared" si="1280"/>
        <v/>
      </c>
    </row>
    <row r="1988" spans="1:26" hidden="1" x14ac:dyDescent="0.2">
      <c r="A1988" s="97" t="s">
        <v>165</v>
      </c>
      <c r="B1988" s="1031" t="s">
        <v>165</v>
      </c>
      <c r="C1988" s="978"/>
      <c r="D1988" s="595" t="s">
        <v>257</v>
      </c>
      <c r="E1988" s="596"/>
      <c r="F1988" s="671">
        <v>180</v>
      </c>
      <c r="G1988" s="597">
        <v>1.5100000000000001E-2</v>
      </c>
      <c r="H1988" s="682">
        <f>IF(F1988=0,0,IF(F1988&lt;=30,(0.7*F1988+1.45)*G1988,((0.7*30+1.45)+0.58*(F1988-30))*G1988))</f>
        <v>1.652695</v>
      </c>
      <c r="I1988" s="592"/>
      <c r="J1988" s="592"/>
      <c r="K1988" s="593">
        <f t="shared" si="1275"/>
        <v>0</v>
      </c>
      <c r="L1988" s="594"/>
      <c r="M1988" s="92"/>
      <c r="N1988" s="92"/>
      <c r="O1988" s="93">
        <f t="shared" si="1144"/>
        <v>0</v>
      </c>
      <c r="P1988" s="93">
        <f t="shared" si="1145"/>
        <v>0</v>
      </c>
      <c r="Q1988" s="94"/>
      <c r="R1988" s="92">
        <f t="shared" si="1146"/>
        <v>0</v>
      </c>
      <c r="S1988" s="92">
        <f t="shared" si="1147"/>
        <v>0</v>
      </c>
      <c r="T1988" s="93">
        <f t="shared" si="1148"/>
        <v>0</v>
      </c>
      <c r="U1988" s="95">
        <f t="shared" si="1149"/>
        <v>0</v>
      </c>
      <c r="V1988" s="94"/>
      <c r="W1988" s="96" t="str">
        <f>IF(U1986&gt;0,"xx",IF(P1986&gt;0,"xy",""))</f>
        <v/>
      </c>
      <c r="X1988" s="580" t="str">
        <f t="shared" si="1279"/>
        <v/>
      </c>
      <c r="Y1988" s="580" t="str">
        <f t="shared" si="1142"/>
        <v/>
      </c>
      <c r="Z1988" s="580" t="str">
        <f t="shared" si="1280"/>
        <v/>
      </c>
    </row>
    <row r="1989" spans="1:26" hidden="1" x14ac:dyDescent="0.2">
      <c r="A1989" s="97" t="s">
        <v>165</v>
      </c>
      <c r="B1989" s="1031" t="s">
        <v>165</v>
      </c>
      <c r="C1989" s="978"/>
      <c r="D1989" s="595" t="s">
        <v>366</v>
      </c>
      <c r="E1989" s="596"/>
      <c r="F1989" s="671">
        <v>20</v>
      </c>
      <c r="G1989" s="597">
        <v>0.53</v>
      </c>
      <c r="H1989" s="682">
        <f>IF(F1989=0,0,IF(F1989&lt;=30,(0.7*F1989+1.45)*G1989,((0.7*30+1.45)+0.58*(F1989-30))*G1989))</f>
        <v>8.1884999999999994</v>
      </c>
      <c r="I1989" s="592"/>
      <c r="J1989" s="592"/>
      <c r="K1989" s="593">
        <f t="shared" si="1275"/>
        <v>0</v>
      </c>
      <c r="L1989" s="594"/>
      <c r="M1989" s="92"/>
      <c r="N1989" s="92"/>
      <c r="O1989" s="93">
        <f t="shared" si="1144"/>
        <v>0</v>
      </c>
      <c r="P1989" s="93">
        <f t="shared" si="1145"/>
        <v>0</v>
      </c>
      <c r="Q1989" s="94"/>
      <c r="R1989" s="92">
        <f t="shared" si="1146"/>
        <v>0</v>
      </c>
      <c r="S1989" s="92">
        <f t="shared" si="1147"/>
        <v>0</v>
      </c>
      <c r="T1989" s="93">
        <f t="shared" si="1148"/>
        <v>0</v>
      </c>
      <c r="U1989" s="95">
        <f t="shared" si="1149"/>
        <v>0</v>
      </c>
      <c r="V1989" s="94"/>
      <c r="W1989" s="96" t="str">
        <f>IF(U1986&gt;0,"xx",IF(P1986&gt;0,"xy",""))</f>
        <v/>
      </c>
      <c r="X1989" s="580" t="str">
        <f t="shared" si="1279"/>
        <v/>
      </c>
      <c r="Y1989" s="580" t="str">
        <f t="shared" si="1142"/>
        <v/>
      </c>
      <c r="Z1989" s="580" t="str">
        <f t="shared" si="1280"/>
        <v/>
      </c>
    </row>
    <row r="1990" spans="1:26" x14ac:dyDescent="0.2">
      <c r="A1990" s="1008">
        <v>610800</v>
      </c>
      <c r="B1990" s="1107" t="s">
        <v>2205</v>
      </c>
      <c r="C1990" s="1108" t="s">
        <v>212</v>
      </c>
      <c r="D1990" s="1109" t="s">
        <v>397</v>
      </c>
      <c r="E1990" s="1110"/>
      <c r="F1990" s="671"/>
      <c r="G1990" s="597"/>
      <c r="H1990" s="682">
        <f>SUM(H1991:H1993)</f>
        <v>12.234698400000001</v>
      </c>
      <c r="I1990" s="592">
        <v>316.26</v>
      </c>
      <c r="J1990" s="592">
        <f t="shared" ref="J1990" si="1292">IF(ISBLANK(I1990),"",SUM(H1990:I1990))</f>
        <v>328.4946984</v>
      </c>
      <c r="K1990" s="593">
        <f t="shared" si="1275"/>
        <v>399.81</v>
      </c>
      <c r="L1990" s="594" t="s">
        <v>19</v>
      </c>
      <c r="M1990" s="92">
        <v>64</v>
      </c>
      <c r="N1990" s="92">
        <v>316.51</v>
      </c>
      <c r="O1990" s="93">
        <f t="shared" si="1144"/>
        <v>25587.84</v>
      </c>
      <c r="P1990" s="93">
        <f t="shared" si="1145"/>
        <v>20256.64</v>
      </c>
      <c r="Q1990" s="94"/>
      <c r="R1990" s="1111">
        <f t="shared" si="1146"/>
        <v>64</v>
      </c>
      <c r="S1990" s="1111">
        <f t="shared" si="1147"/>
        <v>316.51</v>
      </c>
      <c r="T1990" s="1112">
        <f t="shared" si="1148"/>
        <v>25587.84</v>
      </c>
      <c r="U1990" s="1113">
        <f t="shared" si="1149"/>
        <v>20256.64</v>
      </c>
      <c r="V1990" s="1114"/>
      <c r="X1990" s="580" t="str">
        <f t="shared" si="1279"/>
        <v>x</v>
      </c>
      <c r="Y1990" s="580" t="str">
        <f t="shared" si="1142"/>
        <v>x</v>
      </c>
      <c r="Z1990" s="580" t="str">
        <f t="shared" si="1280"/>
        <v>x</v>
      </c>
    </row>
    <row r="1991" spans="1:26" hidden="1" x14ac:dyDescent="0.2">
      <c r="A1991" s="97" t="s">
        <v>165</v>
      </c>
      <c r="B1991" s="1031" t="s">
        <v>165</v>
      </c>
      <c r="C1991" s="978"/>
      <c r="D1991" s="595" t="s">
        <v>218</v>
      </c>
      <c r="E1991" s="596"/>
      <c r="F1991" s="1089">
        <v>4.7</v>
      </c>
      <c r="G1991" s="597">
        <v>3.2000000000000002E-3</v>
      </c>
      <c r="H1991" s="682">
        <f>IF(F1991&lt;=30,(0.51*F1991+4.28)*G1991,((0.51*30+4.28)+0.42*(F1991-30))*G1991)</f>
        <v>2.1366400000000004E-2</v>
      </c>
      <c r="I1991" s="592"/>
      <c r="J1991" s="592"/>
      <c r="K1991" s="593">
        <f t="shared" si="1275"/>
        <v>0</v>
      </c>
      <c r="L1991" s="594"/>
      <c r="M1991" s="92"/>
      <c r="N1991" s="92"/>
      <c r="O1991" s="93">
        <f t="shared" si="1144"/>
        <v>0</v>
      </c>
      <c r="P1991" s="93">
        <f t="shared" si="1145"/>
        <v>0</v>
      </c>
      <c r="Q1991" s="94"/>
      <c r="R1991" s="92">
        <f t="shared" si="1146"/>
        <v>0</v>
      </c>
      <c r="S1991" s="92">
        <f t="shared" si="1147"/>
        <v>0</v>
      </c>
      <c r="T1991" s="93">
        <f t="shared" si="1148"/>
        <v>0</v>
      </c>
      <c r="U1991" s="95">
        <f t="shared" si="1149"/>
        <v>0</v>
      </c>
      <c r="V1991" s="94"/>
      <c r="W1991" s="96" t="str">
        <f>IF(U1990&gt;0,"xx",IF(P1990&gt;0,"xy",""))</f>
        <v>xx</v>
      </c>
      <c r="X1991" s="580" t="str">
        <f t="shared" si="1279"/>
        <v>x</v>
      </c>
      <c r="Y1991" s="580" t="str">
        <f t="shared" si="1142"/>
        <v>x</v>
      </c>
      <c r="Z1991" s="580" t="str">
        <f t="shared" si="1280"/>
        <v/>
      </c>
    </row>
    <row r="1992" spans="1:26" hidden="1" x14ac:dyDescent="0.2">
      <c r="A1992" s="97" t="s">
        <v>165</v>
      </c>
      <c r="B1992" s="1031" t="s">
        <v>165</v>
      </c>
      <c r="C1992" s="978"/>
      <c r="D1992" s="595" t="s">
        <v>257</v>
      </c>
      <c r="E1992" s="596"/>
      <c r="F1992" s="1089">
        <v>4.7</v>
      </c>
      <c r="G1992" s="597">
        <v>1.6799999999999999E-2</v>
      </c>
      <c r="H1992" s="682">
        <f>IF(F1992=0,0,IF(F1992&lt;=30,(0.7*F1992+1.45)*G1992,((0.7*30+1.45)+0.58*(F1992-30))*G1992))</f>
        <v>7.9631999999999994E-2</v>
      </c>
      <c r="I1992" s="592"/>
      <c r="J1992" s="592"/>
      <c r="K1992" s="593">
        <f t="shared" si="1275"/>
        <v>0</v>
      </c>
      <c r="L1992" s="594"/>
      <c r="M1992" s="92"/>
      <c r="N1992" s="92"/>
      <c r="O1992" s="93">
        <f t="shared" si="1144"/>
        <v>0</v>
      </c>
      <c r="P1992" s="93">
        <f t="shared" si="1145"/>
        <v>0</v>
      </c>
      <c r="Q1992" s="94"/>
      <c r="R1992" s="92">
        <f t="shared" si="1146"/>
        <v>0</v>
      </c>
      <c r="S1992" s="92">
        <f t="shared" si="1147"/>
        <v>0</v>
      </c>
      <c r="T1992" s="93">
        <f t="shared" si="1148"/>
        <v>0</v>
      </c>
      <c r="U1992" s="95">
        <f t="shared" si="1149"/>
        <v>0</v>
      </c>
      <c r="V1992" s="94"/>
      <c r="W1992" s="96" t="str">
        <f>IF(U1990&gt;0,"xx",IF(P1990&gt;0,"xy",""))</f>
        <v>xx</v>
      </c>
      <c r="X1992" s="580" t="str">
        <f t="shared" si="1279"/>
        <v>x</v>
      </c>
      <c r="Y1992" s="580" t="str">
        <f t="shared" si="1142"/>
        <v>x</v>
      </c>
      <c r="Z1992" s="580" t="str">
        <f t="shared" si="1280"/>
        <v/>
      </c>
    </row>
    <row r="1993" spans="1:26" hidden="1" x14ac:dyDescent="0.2">
      <c r="A1993" s="97" t="s">
        <v>165</v>
      </c>
      <c r="B1993" s="1031" t="s">
        <v>165</v>
      </c>
      <c r="C1993" s="978"/>
      <c r="D1993" s="595" t="s">
        <v>366</v>
      </c>
      <c r="E1993" s="596"/>
      <c r="F1993" s="1089">
        <v>23.8</v>
      </c>
      <c r="G1993" s="597">
        <v>0.67</v>
      </c>
      <c r="H1993" s="682">
        <f>IF(F1993=0,0,IF(F1993&lt;=30,(0.7*F1993+1.45)*G1993,((0.7*30+1.45)+0.58*(F1993-30))*G1993))</f>
        <v>12.133700000000001</v>
      </c>
      <c r="I1993" s="592"/>
      <c r="J1993" s="592"/>
      <c r="K1993" s="593">
        <f t="shared" si="1275"/>
        <v>0</v>
      </c>
      <c r="L1993" s="594"/>
      <c r="M1993" s="92"/>
      <c r="N1993" s="92"/>
      <c r="O1993" s="93">
        <f t="shared" si="1144"/>
        <v>0</v>
      </c>
      <c r="P1993" s="93">
        <f t="shared" si="1145"/>
        <v>0</v>
      </c>
      <c r="Q1993" s="94"/>
      <c r="R1993" s="92">
        <f t="shared" si="1146"/>
        <v>0</v>
      </c>
      <c r="S1993" s="92">
        <f t="shared" si="1147"/>
        <v>0</v>
      </c>
      <c r="T1993" s="93">
        <f t="shared" si="1148"/>
        <v>0</v>
      </c>
      <c r="U1993" s="95">
        <f t="shared" si="1149"/>
        <v>0</v>
      </c>
      <c r="V1993" s="94"/>
      <c r="W1993" s="96" t="str">
        <f>IF(U1990&gt;0,"xx",IF(P1990&gt;0,"xy",""))</f>
        <v>xx</v>
      </c>
      <c r="X1993" s="580" t="str">
        <f t="shared" si="1279"/>
        <v>x</v>
      </c>
      <c r="Y1993" s="580" t="str">
        <f t="shared" si="1142"/>
        <v>x</v>
      </c>
      <c r="Z1993" s="580" t="str">
        <f t="shared" si="1280"/>
        <v/>
      </c>
    </row>
    <row r="1994" spans="1:26" hidden="1" x14ac:dyDescent="0.2">
      <c r="A1994" s="1008">
        <v>611000</v>
      </c>
      <c r="B1994" s="1010" t="s">
        <v>2212</v>
      </c>
      <c r="C1994" s="978" t="s">
        <v>212</v>
      </c>
      <c r="D1994" s="595" t="s">
        <v>746</v>
      </c>
      <c r="E1994" s="596"/>
      <c r="F1994" s="671"/>
      <c r="G1994" s="597"/>
      <c r="H1994" s="682">
        <f>SUM(H1995:H1997)</f>
        <v>16.067119999999999</v>
      </c>
      <c r="I1994" s="592">
        <v>367.29</v>
      </c>
      <c r="J1994" s="592">
        <f t="shared" ref="J1994" si="1293">IF(ISBLANK(I1994),"",SUM(H1994:I1994))</f>
        <v>383.35712000000001</v>
      </c>
      <c r="K1994" s="593">
        <f t="shared" si="1275"/>
        <v>466.58</v>
      </c>
      <c r="L1994" s="594" t="s">
        <v>19</v>
      </c>
      <c r="M1994" s="92"/>
      <c r="N1994" s="92"/>
      <c r="O1994" s="93">
        <f t="shared" si="1144"/>
        <v>0</v>
      </c>
      <c r="P1994" s="93">
        <f t="shared" si="1145"/>
        <v>0</v>
      </c>
      <c r="Q1994" s="94"/>
      <c r="R1994" s="92">
        <f t="shared" si="1146"/>
        <v>0</v>
      </c>
      <c r="S1994" s="92">
        <f t="shared" si="1147"/>
        <v>0</v>
      </c>
      <c r="T1994" s="93">
        <f t="shared" si="1148"/>
        <v>0</v>
      </c>
      <c r="U1994" s="95">
        <f t="shared" si="1149"/>
        <v>0</v>
      </c>
      <c r="V1994" s="94"/>
      <c r="X1994" s="580" t="str">
        <f t="shared" si="1279"/>
        <v/>
      </c>
      <c r="Y1994" s="580" t="str">
        <f t="shared" si="1142"/>
        <v/>
      </c>
      <c r="Z1994" s="580" t="str">
        <f t="shared" si="1280"/>
        <v/>
      </c>
    </row>
    <row r="1995" spans="1:26" hidden="1" x14ac:dyDescent="0.2">
      <c r="A1995" s="97" t="s">
        <v>165</v>
      </c>
      <c r="B1995" s="1031" t="s">
        <v>165</v>
      </c>
      <c r="C1995" s="978"/>
      <c r="D1995" s="595" t="s">
        <v>218</v>
      </c>
      <c r="E1995" s="596"/>
      <c r="F1995" s="671">
        <v>500</v>
      </c>
      <c r="G1995" s="597">
        <v>4.0000000000000001E-3</v>
      </c>
      <c r="H1995" s="682">
        <f>IF(F1995&lt;=30,(0.51*F1995+4.28)*G1995,((0.51*30+4.28)+0.42*(F1995-30))*G1995)</f>
        <v>0.86792000000000014</v>
      </c>
      <c r="I1995" s="592"/>
      <c r="J1995" s="592"/>
      <c r="K1995" s="593">
        <f t="shared" si="1275"/>
        <v>0</v>
      </c>
      <c r="L1995" s="594"/>
      <c r="M1995" s="92"/>
      <c r="N1995" s="92"/>
      <c r="O1995" s="93">
        <f t="shared" si="1144"/>
        <v>0</v>
      </c>
      <c r="P1995" s="93">
        <f t="shared" si="1145"/>
        <v>0</v>
      </c>
      <c r="Q1995" s="94"/>
      <c r="R1995" s="92">
        <f t="shared" si="1146"/>
        <v>0</v>
      </c>
      <c r="S1995" s="92">
        <f t="shared" si="1147"/>
        <v>0</v>
      </c>
      <c r="T1995" s="93">
        <f t="shared" si="1148"/>
        <v>0</v>
      </c>
      <c r="U1995" s="95">
        <f t="shared" si="1149"/>
        <v>0</v>
      </c>
      <c r="V1995" s="94"/>
      <c r="W1995" s="96" t="str">
        <f>IF(U1994&gt;0,"xx",IF(P1994&gt;0,"xy",""))</f>
        <v/>
      </c>
      <c r="X1995" s="580" t="str">
        <f t="shared" si="1279"/>
        <v/>
      </c>
      <c r="Y1995" s="580" t="str">
        <f t="shared" si="1142"/>
        <v/>
      </c>
      <c r="Z1995" s="580" t="str">
        <f t="shared" si="1280"/>
        <v/>
      </c>
    </row>
    <row r="1996" spans="1:26" hidden="1" x14ac:dyDescent="0.2">
      <c r="A1996" s="97" t="s">
        <v>165</v>
      </c>
      <c r="B1996" s="1031" t="s">
        <v>165</v>
      </c>
      <c r="C1996" s="978"/>
      <c r="D1996" s="595" t="s">
        <v>257</v>
      </c>
      <c r="E1996" s="596"/>
      <c r="F1996" s="671">
        <v>180</v>
      </c>
      <c r="G1996" s="597">
        <v>2.1000000000000001E-2</v>
      </c>
      <c r="H1996" s="682">
        <f>IF(F1996=0,0,IF(F1996&lt;=30,(0.7*F1996+1.45)*G1996,((0.7*30+1.45)+0.58*(F1996-30))*G1996))</f>
        <v>2.2984500000000003</v>
      </c>
      <c r="I1996" s="592"/>
      <c r="J1996" s="592"/>
      <c r="K1996" s="593">
        <f t="shared" si="1275"/>
        <v>0</v>
      </c>
      <c r="L1996" s="594"/>
      <c r="M1996" s="92"/>
      <c r="N1996" s="92"/>
      <c r="O1996" s="93">
        <f t="shared" si="1144"/>
        <v>0</v>
      </c>
      <c r="P1996" s="93">
        <f t="shared" si="1145"/>
        <v>0</v>
      </c>
      <c r="Q1996" s="94"/>
      <c r="R1996" s="92">
        <f t="shared" si="1146"/>
        <v>0</v>
      </c>
      <c r="S1996" s="92">
        <f t="shared" si="1147"/>
        <v>0</v>
      </c>
      <c r="T1996" s="93">
        <f t="shared" si="1148"/>
        <v>0</v>
      </c>
      <c r="U1996" s="95">
        <f t="shared" ref="U1996:U2059" si="1294">IF(ISBLANK(R1996),0,ROUND(R1996*S1996,2))</f>
        <v>0</v>
      </c>
      <c r="V1996" s="94"/>
      <c r="W1996" s="96" t="str">
        <f>IF(U1994&gt;0,"xx",IF(P1994&gt;0,"xy",""))</f>
        <v/>
      </c>
      <c r="X1996" s="580" t="str">
        <f t="shared" si="1279"/>
        <v/>
      </c>
      <c r="Y1996" s="580" t="str">
        <f t="shared" si="1142"/>
        <v/>
      </c>
      <c r="Z1996" s="580" t="str">
        <f t="shared" si="1280"/>
        <v/>
      </c>
    </row>
    <row r="1997" spans="1:26" hidden="1" x14ac:dyDescent="0.2">
      <c r="A1997" s="97" t="s">
        <v>165</v>
      </c>
      <c r="B1997" s="1031" t="s">
        <v>165</v>
      </c>
      <c r="C1997" s="978"/>
      <c r="D1997" s="595" t="s">
        <v>366</v>
      </c>
      <c r="E1997" s="596"/>
      <c r="F1997" s="671">
        <v>20</v>
      </c>
      <c r="G1997" s="597">
        <v>0.83499999999999996</v>
      </c>
      <c r="H1997" s="682">
        <f>IF(F1997=0,0,IF(F1997&lt;=30,(0.7*F1997+1.45)*G1997,((0.7*30+1.45)+0.58*(F1997-30))*G1997))</f>
        <v>12.900749999999999</v>
      </c>
      <c r="I1997" s="592"/>
      <c r="J1997" s="592"/>
      <c r="K1997" s="593">
        <f t="shared" ref="K1997:K2060" si="1295">IF(ISBLANK(I1997),0,ROUND(J1997*(1+$F$10)*(1+$F$11*E1997),2))</f>
        <v>0</v>
      </c>
      <c r="L1997" s="594"/>
      <c r="M1997" s="92"/>
      <c r="N1997" s="92"/>
      <c r="O1997" s="93">
        <f t="shared" ref="O1997:O2060" si="1296">IF(ISBLANK(M1997),0,ROUND(K1997*M1997,2))</f>
        <v>0</v>
      </c>
      <c r="P1997" s="93">
        <f t="shared" ref="P1997:P2060" si="1297">IF(ISBLANK(N1997),0,ROUND(M1997*N1997,2))</f>
        <v>0</v>
      </c>
      <c r="Q1997" s="94"/>
      <c r="R1997" s="92">
        <f t="shared" ref="R1997:S2012" si="1298">M1997</f>
        <v>0</v>
      </c>
      <c r="S1997" s="92">
        <f t="shared" si="1298"/>
        <v>0</v>
      </c>
      <c r="T1997" s="93">
        <f t="shared" ref="T1997:T2060" si="1299">IF(ISBLANK(R1997),0,ROUND(K1997*R1997,2))</f>
        <v>0</v>
      </c>
      <c r="U1997" s="95">
        <f t="shared" si="1294"/>
        <v>0</v>
      </c>
      <c r="V1997" s="94"/>
      <c r="W1997" s="96" t="str">
        <f>IF(U1994&gt;0,"xx",IF(P1994&gt;0,"xy",""))</f>
        <v/>
      </c>
      <c r="X1997" s="580" t="str">
        <f t="shared" si="1279"/>
        <v/>
      </c>
      <c r="Y1997" s="580" t="str">
        <f t="shared" si="1142"/>
        <v/>
      </c>
      <c r="Z1997" s="580" t="str">
        <f t="shared" si="1280"/>
        <v/>
      </c>
    </row>
    <row r="1998" spans="1:26" hidden="1" x14ac:dyDescent="0.2">
      <c r="A1998" s="1008">
        <v>611000</v>
      </c>
      <c r="B1998" s="1010" t="s">
        <v>2213</v>
      </c>
      <c r="C1998" s="978" t="s">
        <v>212</v>
      </c>
      <c r="D1998" s="595" t="s">
        <v>398</v>
      </c>
      <c r="E1998" s="596"/>
      <c r="F1998" s="671"/>
      <c r="G1998" s="597"/>
      <c r="H1998" s="682">
        <f>SUM(H1999:H2001)</f>
        <v>19.249644</v>
      </c>
      <c r="I1998" s="592">
        <v>418.32000000000005</v>
      </c>
      <c r="J1998" s="592">
        <f t="shared" ref="J1998" si="1300">IF(ISBLANK(I1998),"",SUM(H1998:I1998))</f>
        <v>437.56964400000004</v>
      </c>
      <c r="K1998" s="593">
        <f t="shared" si="1295"/>
        <v>532.57000000000005</v>
      </c>
      <c r="L1998" s="594" t="s">
        <v>19</v>
      </c>
      <c r="M1998" s="92"/>
      <c r="N1998" s="92"/>
      <c r="O1998" s="93">
        <f t="shared" si="1296"/>
        <v>0</v>
      </c>
      <c r="P1998" s="93">
        <f t="shared" si="1297"/>
        <v>0</v>
      </c>
      <c r="Q1998" s="94"/>
      <c r="R1998" s="92">
        <f t="shared" si="1298"/>
        <v>0</v>
      </c>
      <c r="S1998" s="92">
        <f t="shared" si="1298"/>
        <v>0</v>
      </c>
      <c r="T1998" s="93">
        <f t="shared" si="1299"/>
        <v>0</v>
      </c>
      <c r="U1998" s="95">
        <f t="shared" si="1294"/>
        <v>0</v>
      </c>
      <c r="V1998" s="94"/>
      <c r="X1998" s="580" t="str">
        <f t="shared" si="1279"/>
        <v/>
      </c>
      <c r="Y1998" s="580" t="str">
        <f t="shared" si="1142"/>
        <v/>
      </c>
      <c r="Z1998" s="580" t="str">
        <f t="shared" si="1280"/>
        <v/>
      </c>
    </row>
    <row r="1999" spans="1:26" hidden="1" x14ac:dyDescent="0.2">
      <c r="A1999" s="97" t="s">
        <v>165</v>
      </c>
      <c r="B1999" s="1031" t="s">
        <v>165</v>
      </c>
      <c r="C1999" s="978"/>
      <c r="D1999" s="595" t="s">
        <v>218</v>
      </c>
      <c r="E1999" s="596"/>
      <c r="F1999" s="671">
        <v>500</v>
      </c>
      <c r="G1999" s="597">
        <v>4.7999999999999996E-3</v>
      </c>
      <c r="H1999" s="682">
        <f>IF(F1999&lt;=30,(0.51*F1999+4.28)*G1999,((0.51*30+4.28)+0.42*(F1999-30))*G1999)</f>
        <v>1.041504</v>
      </c>
      <c r="I1999" s="592"/>
      <c r="J1999" s="592"/>
      <c r="K1999" s="593">
        <f t="shared" si="1295"/>
        <v>0</v>
      </c>
      <c r="L1999" s="594"/>
      <c r="M1999" s="92"/>
      <c r="N1999" s="92"/>
      <c r="O1999" s="93">
        <f t="shared" si="1296"/>
        <v>0</v>
      </c>
      <c r="P1999" s="93">
        <f t="shared" si="1297"/>
        <v>0</v>
      </c>
      <c r="Q1999" s="94"/>
      <c r="R1999" s="92">
        <f t="shared" si="1298"/>
        <v>0</v>
      </c>
      <c r="S1999" s="92">
        <f t="shared" si="1298"/>
        <v>0</v>
      </c>
      <c r="T1999" s="93">
        <f t="shared" si="1299"/>
        <v>0</v>
      </c>
      <c r="U1999" s="95">
        <f t="shared" si="1294"/>
        <v>0</v>
      </c>
      <c r="V1999" s="94"/>
      <c r="W1999" s="96" t="str">
        <f>IF(U1998&gt;0,"xx",IF(P1998&gt;0,"xy",""))</f>
        <v/>
      </c>
      <c r="X1999" s="580" t="str">
        <f t="shared" si="1279"/>
        <v/>
      </c>
      <c r="Y1999" s="580" t="str">
        <f t="shared" si="1142"/>
        <v/>
      </c>
      <c r="Z1999" s="580" t="str">
        <f t="shared" si="1280"/>
        <v/>
      </c>
    </row>
    <row r="2000" spans="1:26" hidden="1" x14ac:dyDescent="0.2">
      <c r="A2000" s="97" t="s">
        <v>165</v>
      </c>
      <c r="B2000" s="1031" t="s">
        <v>165</v>
      </c>
      <c r="C2000" s="978"/>
      <c r="D2000" s="595" t="s">
        <v>257</v>
      </c>
      <c r="E2000" s="596"/>
      <c r="F2000" s="671">
        <v>180</v>
      </c>
      <c r="G2000" s="597">
        <v>2.52E-2</v>
      </c>
      <c r="H2000" s="682">
        <f>IF(F2000=0,0,IF(F2000&lt;=30,(0.7*F2000+1.45)*G2000,((0.7*30+1.45)+0.58*(F2000-30))*G2000))</f>
        <v>2.75814</v>
      </c>
      <c r="I2000" s="592"/>
      <c r="J2000" s="592"/>
      <c r="K2000" s="593">
        <f t="shared" si="1295"/>
        <v>0</v>
      </c>
      <c r="L2000" s="594"/>
      <c r="M2000" s="92"/>
      <c r="N2000" s="92"/>
      <c r="O2000" s="93">
        <f t="shared" si="1296"/>
        <v>0</v>
      </c>
      <c r="P2000" s="93">
        <f t="shared" si="1297"/>
        <v>0</v>
      </c>
      <c r="Q2000" s="94"/>
      <c r="R2000" s="92">
        <f t="shared" si="1298"/>
        <v>0</v>
      </c>
      <c r="S2000" s="92">
        <f t="shared" si="1298"/>
        <v>0</v>
      </c>
      <c r="T2000" s="93">
        <f t="shared" si="1299"/>
        <v>0</v>
      </c>
      <c r="U2000" s="95">
        <f t="shared" si="1294"/>
        <v>0</v>
      </c>
      <c r="V2000" s="94"/>
      <c r="W2000" s="96" t="str">
        <f>IF(U1998&gt;0,"xx",IF(P1998&gt;0,"xy",""))</f>
        <v/>
      </c>
      <c r="X2000" s="580" t="str">
        <f t="shared" si="1279"/>
        <v/>
      </c>
      <c r="Y2000" s="580" t="str">
        <f t="shared" si="1142"/>
        <v/>
      </c>
      <c r="Z2000" s="580" t="str">
        <f t="shared" si="1280"/>
        <v/>
      </c>
    </row>
    <row r="2001" spans="1:26" hidden="1" x14ac:dyDescent="0.2">
      <c r="A2001" s="97" t="s">
        <v>165</v>
      </c>
      <c r="B2001" s="1031" t="s">
        <v>165</v>
      </c>
      <c r="C2001" s="978"/>
      <c r="D2001" s="595" t="s">
        <v>366</v>
      </c>
      <c r="E2001" s="596"/>
      <c r="F2001" s="671">
        <v>20</v>
      </c>
      <c r="G2001" s="597">
        <v>1</v>
      </c>
      <c r="H2001" s="682">
        <f>IF(F2001=0,0,IF(F2001&lt;=30,(0.7*F2001+1.45)*G2001,((0.7*30+1.45)+0.58*(F2001-30))*G2001))</f>
        <v>15.45</v>
      </c>
      <c r="I2001" s="592"/>
      <c r="J2001" s="592"/>
      <c r="K2001" s="593">
        <f t="shared" si="1295"/>
        <v>0</v>
      </c>
      <c r="L2001" s="594"/>
      <c r="M2001" s="92"/>
      <c r="N2001" s="92"/>
      <c r="O2001" s="93">
        <f t="shared" si="1296"/>
        <v>0</v>
      </c>
      <c r="P2001" s="93">
        <f t="shared" si="1297"/>
        <v>0</v>
      </c>
      <c r="Q2001" s="94"/>
      <c r="R2001" s="92">
        <f t="shared" si="1298"/>
        <v>0</v>
      </c>
      <c r="S2001" s="92">
        <f t="shared" si="1298"/>
        <v>0</v>
      </c>
      <c r="T2001" s="93">
        <f t="shared" si="1299"/>
        <v>0</v>
      </c>
      <c r="U2001" s="95">
        <f t="shared" si="1294"/>
        <v>0</v>
      </c>
      <c r="V2001" s="94"/>
      <c r="W2001" s="96" t="str">
        <f>IF(U1998&gt;0,"xx",IF(P1998&gt;0,"xy",""))</f>
        <v/>
      </c>
      <c r="X2001" s="580" t="str">
        <f t="shared" si="1279"/>
        <v/>
      </c>
      <c r="Y2001" s="580" t="str">
        <f t="shared" si="1142"/>
        <v/>
      </c>
      <c r="Z2001" s="580" t="str">
        <f t="shared" si="1280"/>
        <v/>
      </c>
    </row>
    <row r="2002" spans="1:26" hidden="1" x14ac:dyDescent="0.2">
      <c r="A2002" s="1008">
        <v>611200</v>
      </c>
      <c r="B2002" s="1010" t="s">
        <v>2216</v>
      </c>
      <c r="C2002" s="978" t="s">
        <v>212</v>
      </c>
      <c r="D2002" s="595" t="s">
        <v>399</v>
      </c>
      <c r="E2002" s="596"/>
      <c r="F2002" s="671"/>
      <c r="G2002" s="597"/>
      <c r="H2002" s="682">
        <f>SUM(H2003:H2005)</f>
        <v>26.281064499999999</v>
      </c>
      <c r="I2002" s="592">
        <v>644.49</v>
      </c>
      <c r="J2002" s="592">
        <f t="shared" ref="J2002" si="1301">IF(ISBLANK(I2002),"",SUM(H2002:I2002))</f>
        <v>670.77106449999997</v>
      </c>
      <c r="K2002" s="593">
        <f t="shared" si="1295"/>
        <v>816.4</v>
      </c>
      <c r="L2002" s="594" t="s">
        <v>19</v>
      </c>
      <c r="M2002" s="92"/>
      <c r="N2002" s="92">
        <v>613.45000000000005</v>
      </c>
      <c r="O2002" s="93">
        <f t="shared" si="1296"/>
        <v>0</v>
      </c>
      <c r="P2002" s="93">
        <f t="shared" si="1297"/>
        <v>0</v>
      </c>
      <c r="Q2002" s="94"/>
      <c r="R2002" s="92">
        <f t="shared" si="1298"/>
        <v>0</v>
      </c>
      <c r="S2002" s="92">
        <f t="shared" si="1298"/>
        <v>613.45000000000005</v>
      </c>
      <c r="T2002" s="93">
        <f t="shared" si="1299"/>
        <v>0</v>
      </c>
      <c r="U2002" s="95">
        <f t="shared" si="1294"/>
        <v>0</v>
      </c>
      <c r="V2002" s="94"/>
      <c r="X2002" s="580" t="str">
        <f t="shared" si="1279"/>
        <v/>
      </c>
      <c r="Y2002" s="580" t="str">
        <f t="shared" si="1142"/>
        <v/>
      </c>
      <c r="Z2002" s="580" t="str">
        <f t="shared" si="1280"/>
        <v/>
      </c>
    </row>
    <row r="2003" spans="1:26" hidden="1" x14ac:dyDescent="0.2">
      <c r="A2003" s="97" t="s">
        <v>165</v>
      </c>
      <c r="B2003" s="1031" t="s">
        <v>165</v>
      </c>
      <c r="C2003" s="978"/>
      <c r="D2003" s="595" t="s">
        <v>218</v>
      </c>
      <c r="E2003" s="596"/>
      <c r="F2003" s="1089">
        <v>4.7</v>
      </c>
      <c r="G2003" s="597">
        <v>6.4999999999999997E-3</v>
      </c>
      <c r="H2003" s="682">
        <f>IF(F2003&lt;=30,(0.51*F2003+4.28)*G2003,((0.51*30+4.28)+0.42*(F2003-30))*G2003)</f>
        <v>4.3400500000000002E-2</v>
      </c>
      <c r="I2003" s="592"/>
      <c r="J2003" s="592"/>
      <c r="K2003" s="593">
        <f t="shared" si="1295"/>
        <v>0</v>
      </c>
      <c r="L2003" s="594"/>
      <c r="M2003" s="92"/>
      <c r="N2003" s="92"/>
      <c r="O2003" s="93">
        <f t="shared" si="1296"/>
        <v>0</v>
      </c>
      <c r="P2003" s="93">
        <f t="shared" si="1297"/>
        <v>0</v>
      </c>
      <c r="Q2003" s="94"/>
      <c r="R2003" s="92">
        <f t="shared" si="1298"/>
        <v>0</v>
      </c>
      <c r="S2003" s="92">
        <f t="shared" si="1298"/>
        <v>0</v>
      </c>
      <c r="T2003" s="93">
        <f t="shared" si="1299"/>
        <v>0</v>
      </c>
      <c r="U2003" s="95">
        <f t="shared" si="1294"/>
        <v>0</v>
      </c>
      <c r="V2003" s="94"/>
      <c r="W2003" s="96" t="str">
        <f>IF(U2002&gt;0,"xx",IF(P2002&gt;0,"xy",""))</f>
        <v/>
      </c>
      <c r="X2003" s="580" t="str">
        <f t="shared" si="1279"/>
        <v/>
      </c>
      <c r="Y2003" s="580" t="str">
        <f t="shared" si="1142"/>
        <v/>
      </c>
      <c r="Z2003" s="580" t="str">
        <f t="shared" si="1280"/>
        <v/>
      </c>
    </row>
    <row r="2004" spans="1:26" hidden="1" x14ac:dyDescent="0.2">
      <c r="A2004" s="97" t="s">
        <v>165</v>
      </c>
      <c r="B2004" s="1031" t="s">
        <v>165</v>
      </c>
      <c r="C2004" s="978"/>
      <c r="D2004" s="595" t="s">
        <v>257</v>
      </c>
      <c r="E2004" s="596"/>
      <c r="F2004" s="1089">
        <v>4.7</v>
      </c>
      <c r="G2004" s="597">
        <v>3.3599999999999998E-2</v>
      </c>
      <c r="H2004" s="682">
        <f>IF(F2004=0,0,IF(F2004&lt;=30,(0.7*F2004+1.45)*G2004,((0.7*30+1.45)+0.58*(F2004-30))*G2004))</f>
        <v>0.15926399999999999</v>
      </c>
      <c r="I2004" s="592"/>
      <c r="J2004" s="592"/>
      <c r="K2004" s="593">
        <f t="shared" si="1295"/>
        <v>0</v>
      </c>
      <c r="L2004" s="594"/>
      <c r="M2004" s="92"/>
      <c r="N2004" s="92"/>
      <c r="O2004" s="93">
        <f t="shared" si="1296"/>
        <v>0</v>
      </c>
      <c r="P2004" s="93">
        <f t="shared" si="1297"/>
        <v>0</v>
      </c>
      <c r="Q2004" s="94"/>
      <c r="R2004" s="92">
        <f t="shared" si="1298"/>
        <v>0</v>
      </c>
      <c r="S2004" s="92">
        <f t="shared" si="1298"/>
        <v>0</v>
      </c>
      <c r="T2004" s="93">
        <f t="shared" si="1299"/>
        <v>0</v>
      </c>
      <c r="U2004" s="95">
        <f t="shared" si="1294"/>
        <v>0</v>
      </c>
      <c r="V2004" s="94"/>
      <c r="W2004" s="96" t="str">
        <f>IF(U2002&gt;0,"xx",IF(P2002&gt;0,"xy",""))</f>
        <v/>
      </c>
      <c r="X2004" s="580" t="str">
        <f t="shared" si="1279"/>
        <v/>
      </c>
      <c r="Y2004" s="580" t="str">
        <f t="shared" si="1142"/>
        <v/>
      </c>
      <c r="Z2004" s="580" t="str">
        <f t="shared" si="1280"/>
        <v/>
      </c>
    </row>
    <row r="2005" spans="1:26" hidden="1" x14ac:dyDescent="0.2">
      <c r="A2005" s="97" t="s">
        <v>165</v>
      </c>
      <c r="B2005" s="1031" t="s">
        <v>165</v>
      </c>
      <c r="C2005" s="978"/>
      <c r="D2005" s="595" t="s">
        <v>366</v>
      </c>
      <c r="E2005" s="596"/>
      <c r="F2005" s="1089">
        <v>23.8</v>
      </c>
      <c r="G2005" s="597">
        <v>1.44</v>
      </c>
      <c r="H2005" s="682">
        <f>IF(F2005=0,0,IF(F2005&lt;=30,(0.7*F2005+1.45)*G2005,((0.7*30+1.45)+0.58*(F2005-30))*G2005))</f>
        <v>26.078399999999998</v>
      </c>
      <c r="I2005" s="592"/>
      <c r="J2005" s="592"/>
      <c r="K2005" s="593">
        <f t="shared" si="1295"/>
        <v>0</v>
      </c>
      <c r="L2005" s="594"/>
      <c r="M2005" s="92"/>
      <c r="N2005" s="92"/>
      <c r="O2005" s="93">
        <f t="shared" si="1296"/>
        <v>0</v>
      </c>
      <c r="P2005" s="93">
        <f t="shared" si="1297"/>
        <v>0</v>
      </c>
      <c r="Q2005" s="94"/>
      <c r="R2005" s="92">
        <f t="shared" si="1298"/>
        <v>0</v>
      </c>
      <c r="S2005" s="92">
        <f t="shared" si="1298"/>
        <v>0</v>
      </c>
      <c r="T2005" s="93">
        <f t="shared" si="1299"/>
        <v>0</v>
      </c>
      <c r="U2005" s="95">
        <f t="shared" si="1294"/>
        <v>0</v>
      </c>
      <c r="V2005" s="94"/>
      <c r="W2005" s="96" t="str">
        <f>IF(U2002&gt;0,"xx",IF(P2002&gt;0,"xy",""))</f>
        <v/>
      </c>
      <c r="X2005" s="580" t="str">
        <f t="shared" si="1279"/>
        <v/>
      </c>
      <c r="Y2005" s="580" t="str">
        <f t="shared" si="1142"/>
        <v/>
      </c>
      <c r="Z2005" s="580" t="str">
        <f t="shared" si="1280"/>
        <v/>
      </c>
    </row>
    <row r="2006" spans="1:26" hidden="1" x14ac:dyDescent="0.2">
      <c r="A2006" s="1008">
        <v>611400</v>
      </c>
      <c r="B2006" s="1010" t="s">
        <v>2218</v>
      </c>
      <c r="C2006" s="978" t="s">
        <v>212</v>
      </c>
      <c r="D2006" s="595" t="s">
        <v>400</v>
      </c>
      <c r="E2006" s="596"/>
      <c r="F2006" s="671"/>
      <c r="G2006" s="597"/>
      <c r="H2006" s="682">
        <f>SUM(H2007:H2009)</f>
        <v>31.846937999999998</v>
      </c>
      <c r="I2006" s="592">
        <v>1006.1</v>
      </c>
      <c r="J2006" s="592">
        <f t="shared" ref="J2006" si="1302">IF(ISBLANK(I2006),"",SUM(H2006:I2006))</f>
        <v>1037.946938</v>
      </c>
      <c r="K2006" s="593">
        <f t="shared" si="1295"/>
        <v>1263.29</v>
      </c>
      <c r="L2006" s="594" t="s">
        <v>19</v>
      </c>
      <c r="M2006" s="92"/>
      <c r="N2006" s="92"/>
      <c r="O2006" s="93">
        <f t="shared" si="1296"/>
        <v>0</v>
      </c>
      <c r="P2006" s="93">
        <f t="shared" si="1297"/>
        <v>0</v>
      </c>
      <c r="Q2006" s="94"/>
      <c r="R2006" s="92">
        <f t="shared" si="1298"/>
        <v>0</v>
      </c>
      <c r="S2006" s="92">
        <f t="shared" si="1298"/>
        <v>0</v>
      </c>
      <c r="T2006" s="93">
        <f t="shared" si="1299"/>
        <v>0</v>
      </c>
      <c r="U2006" s="95">
        <f t="shared" si="1294"/>
        <v>0</v>
      </c>
      <c r="V2006" s="94"/>
      <c r="X2006" s="580" t="str">
        <f t="shared" si="1279"/>
        <v/>
      </c>
      <c r="Y2006" s="580" t="str">
        <f t="shared" si="1142"/>
        <v/>
      </c>
      <c r="Z2006" s="580" t="str">
        <f t="shared" si="1280"/>
        <v/>
      </c>
    </row>
    <row r="2007" spans="1:26" hidden="1" x14ac:dyDescent="0.2">
      <c r="A2007" s="97" t="s">
        <v>165</v>
      </c>
      <c r="B2007" s="1031" t="s">
        <v>165</v>
      </c>
      <c r="C2007" s="978"/>
      <c r="D2007" s="595" t="s">
        <v>218</v>
      </c>
      <c r="E2007" s="596"/>
      <c r="F2007" s="671">
        <v>500</v>
      </c>
      <c r="G2007" s="597">
        <v>8.0999999999999996E-3</v>
      </c>
      <c r="H2007" s="682">
        <f>IF(F2007&lt;=30,(0.51*F2007+4.28)*G2007,((0.51*30+4.28)+0.42*(F2007-30))*G2007)</f>
        <v>1.757538</v>
      </c>
      <c r="I2007" s="592"/>
      <c r="J2007" s="592"/>
      <c r="K2007" s="593">
        <f t="shared" si="1295"/>
        <v>0</v>
      </c>
      <c r="L2007" s="594"/>
      <c r="M2007" s="92"/>
      <c r="N2007" s="92"/>
      <c r="O2007" s="93">
        <f t="shared" si="1296"/>
        <v>0</v>
      </c>
      <c r="P2007" s="93">
        <f t="shared" si="1297"/>
        <v>0</v>
      </c>
      <c r="Q2007" s="94"/>
      <c r="R2007" s="92">
        <f t="shared" si="1298"/>
        <v>0</v>
      </c>
      <c r="S2007" s="92">
        <f t="shared" si="1298"/>
        <v>0</v>
      </c>
      <c r="T2007" s="93">
        <f t="shared" si="1299"/>
        <v>0</v>
      </c>
      <c r="U2007" s="95">
        <f t="shared" si="1294"/>
        <v>0</v>
      </c>
      <c r="V2007" s="94"/>
      <c r="W2007" s="96" t="str">
        <f>IF(U2006&gt;0,"xx",IF(P2006&gt;0,"xy",""))</f>
        <v/>
      </c>
      <c r="X2007" s="580" t="str">
        <f t="shared" si="1279"/>
        <v/>
      </c>
      <c r="Y2007" s="580" t="str">
        <f t="shared" si="1142"/>
        <v/>
      </c>
      <c r="Z2007" s="580" t="str">
        <f t="shared" ref="Z2007:Z2070" si="1303">IF(W2007="X","x",IF(U2007&gt;0,"x",""))</f>
        <v/>
      </c>
    </row>
    <row r="2008" spans="1:26" hidden="1" x14ac:dyDescent="0.2">
      <c r="A2008" s="97" t="s">
        <v>165</v>
      </c>
      <c r="B2008" s="1031" t="s">
        <v>165</v>
      </c>
      <c r="C2008" s="978"/>
      <c r="D2008" s="595" t="s">
        <v>257</v>
      </c>
      <c r="E2008" s="596"/>
      <c r="F2008" s="671">
        <v>180</v>
      </c>
      <c r="G2008" s="597">
        <v>4.2000000000000003E-2</v>
      </c>
      <c r="H2008" s="682">
        <f>IF(F2008=0,0,IF(F2008&lt;=30,(0.7*F2008+1.45)*G2008,((0.7*30+1.45)+0.58*(F2008-30))*G2008))</f>
        <v>4.5969000000000007</v>
      </c>
      <c r="I2008" s="592"/>
      <c r="J2008" s="592"/>
      <c r="K2008" s="593">
        <f t="shared" si="1295"/>
        <v>0</v>
      </c>
      <c r="L2008" s="594"/>
      <c r="M2008" s="92"/>
      <c r="N2008" s="92"/>
      <c r="O2008" s="93">
        <f t="shared" si="1296"/>
        <v>0</v>
      </c>
      <c r="P2008" s="93">
        <f t="shared" si="1297"/>
        <v>0</v>
      </c>
      <c r="Q2008" s="94"/>
      <c r="R2008" s="92">
        <f t="shared" si="1298"/>
        <v>0</v>
      </c>
      <c r="S2008" s="92">
        <f t="shared" si="1298"/>
        <v>0</v>
      </c>
      <c r="T2008" s="93">
        <f t="shared" si="1299"/>
        <v>0</v>
      </c>
      <c r="U2008" s="95">
        <f t="shared" si="1294"/>
        <v>0</v>
      </c>
      <c r="V2008" s="94"/>
      <c r="W2008" s="96" t="str">
        <f>IF(U2006&gt;0,"xx",IF(P2006&gt;0,"xy",""))</f>
        <v/>
      </c>
      <c r="X2008" s="580" t="str">
        <f t="shared" si="1279"/>
        <v/>
      </c>
      <c r="Y2008" s="580" t="str">
        <f t="shared" si="1142"/>
        <v/>
      </c>
      <c r="Z2008" s="580" t="str">
        <f t="shared" si="1303"/>
        <v/>
      </c>
    </row>
    <row r="2009" spans="1:26" hidden="1" x14ac:dyDescent="0.2">
      <c r="A2009" s="97" t="s">
        <v>165</v>
      </c>
      <c r="B2009" s="1031" t="s">
        <v>165</v>
      </c>
      <c r="C2009" s="978"/>
      <c r="D2009" s="595" t="s">
        <v>366</v>
      </c>
      <c r="E2009" s="596"/>
      <c r="F2009" s="671">
        <v>20</v>
      </c>
      <c r="G2009" s="597">
        <v>1.65</v>
      </c>
      <c r="H2009" s="682">
        <f>IF(F2009=0,0,IF(F2009&lt;=30,(0.7*F2009+1.45)*G2009,((0.7*30+1.45)+0.58*(F2009-30))*G2009))</f>
        <v>25.492499999999996</v>
      </c>
      <c r="I2009" s="592"/>
      <c r="J2009" s="592"/>
      <c r="K2009" s="593">
        <f t="shared" si="1295"/>
        <v>0</v>
      </c>
      <c r="L2009" s="594"/>
      <c r="M2009" s="92"/>
      <c r="N2009" s="92"/>
      <c r="O2009" s="93">
        <f t="shared" si="1296"/>
        <v>0</v>
      </c>
      <c r="P2009" s="93">
        <f t="shared" si="1297"/>
        <v>0</v>
      </c>
      <c r="Q2009" s="94"/>
      <c r="R2009" s="92">
        <f t="shared" si="1298"/>
        <v>0</v>
      </c>
      <c r="S2009" s="92">
        <f t="shared" si="1298"/>
        <v>0</v>
      </c>
      <c r="T2009" s="93">
        <f t="shared" si="1299"/>
        <v>0</v>
      </c>
      <c r="U2009" s="95">
        <f t="shared" si="1294"/>
        <v>0</v>
      </c>
      <c r="V2009" s="94"/>
      <c r="W2009" s="96" t="str">
        <f>IF(U2006&gt;0,"xx",IF(P2006&gt;0,"xy",""))</f>
        <v/>
      </c>
      <c r="X2009" s="580" t="str">
        <f t="shared" si="1279"/>
        <v/>
      </c>
      <c r="Y2009" s="580" t="str">
        <f t="shared" si="1142"/>
        <v/>
      </c>
      <c r="Z2009" s="580" t="str">
        <f t="shared" si="1303"/>
        <v/>
      </c>
    </row>
    <row r="2010" spans="1:26" hidden="1" x14ac:dyDescent="0.2">
      <c r="A2010" s="1008">
        <v>611400</v>
      </c>
      <c r="B2010" s="1010" t="s">
        <v>2219</v>
      </c>
      <c r="C2010" s="978" t="s">
        <v>212</v>
      </c>
      <c r="D2010" s="595" t="s">
        <v>401</v>
      </c>
      <c r="E2010" s="596"/>
      <c r="F2010" s="671"/>
      <c r="G2010" s="597"/>
      <c r="H2010" s="682">
        <f>SUM(H2011:H2013)</f>
        <v>38.427785999999998</v>
      </c>
      <c r="I2010" s="592">
        <v>1443.5463999999999</v>
      </c>
      <c r="J2010" s="592">
        <f t="shared" ref="J2010" si="1304">IF(ISBLANK(I2010),"",SUM(H2010:I2010))</f>
        <v>1481.9741859999999</v>
      </c>
      <c r="K2010" s="593">
        <f t="shared" si="1295"/>
        <v>1803.71</v>
      </c>
      <c r="L2010" s="594" t="s">
        <v>19</v>
      </c>
      <c r="M2010" s="92"/>
      <c r="N2010" s="92"/>
      <c r="O2010" s="93">
        <f t="shared" si="1296"/>
        <v>0</v>
      </c>
      <c r="P2010" s="93">
        <f t="shared" si="1297"/>
        <v>0</v>
      </c>
      <c r="Q2010" s="94"/>
      <c r="R2010" s="92">
        <f t="shared" si="1298"/>
        <v>0</v>
      </c>
      <c r="S2010" s="92">
        <f t="shared" si="1298"/>
        <v>0</v>
      </c>
      <c r="T2010" s="93">
        <f t="shared" si="1299"/>
        <v>0</v>
      </c>
      <c r="U2010" s="95">
        <f t="shared" si="1294"/>
        <v>0</v>
      </c>
      <c r="V2010" s="94"/>
      <c r="X2010" s="580" t="str">
        <f t="shared" si="1279"/>
        <v/>
      </c>
      <c r="Y2010" s="580" t="str">
        <f t="shared" si="1142"/>
        <v/>
      </c>
      <c r="Z2010" s="580" t="str">
        <f t="shared" si="1303"/>
        <v/>
      </c>
    </row>
    <row r="2011" spans="1:26" hidden="1" x14ac:dyDescent="0.2">
      <c r="A2011" s="97" t="s">
        <v>165</v>
      </c>
      <c r="B2011" s="1031" t="s">
        <v>165</v>
      </c>
      <c r="C2011" s="978"/>
      <c r="D2011" s="595" t="s">
        <v>218</v>
      </c>
      <c r="E2011" s="596"/>
      <c r="F2011" s="671">
        <v>500</v>
      </c>
      <c r="G2011" s="597">
        <v>9.1999999999999998E-3</v>
      </c>
      <c r="H2011" s="682">
        <f>IF(F2011&lt;=30,(0.51*F2011+4.28)*G2011,((0.51*30+4.28)+0.42*(F2011-30))*G2011)</f>
        <v>1.9962160000000002</v>
      </c>
      <c r="I2011" s="592"/>
      <c r="J2011" s="592"/>
      <c r="K2011" s="593">
        <f t="shared" si="1295"/>
        <v>0</v>
      </c>
      <c r="L2011" s="594"/>
      <c r="M2011" s="92"/>
      <c r="N2011" s="92"/>
      <c r="O2011" s="93">
        <f t="shared" si="1296"/>
        <v>0</v>
      </c>
      <c r="P2011" s="93">
        <f t="shared" si="1297"/>
        <v>0</v>
      </c>
      <c r="Q2011" s="94"/>
      <c r="R2011" s="92">
        <f t="shared" si="1298"/>
        <v>0</v>
      </c>
      <c r="S2011" s="92">
        <f t="shared" si="1298"/>
        <v>0</v>
      </c>
      <c r="T2011" s="93">
        <f t="shared" si="1299"/>
        <v>0</v>
      </c>
      <c r="U2011" s="95">
        <f t="shared" si="1294"/>
        <v>0</v>
      </c>
      <c r="V2011" s="94"/>
      <c r="W2011" s="96" t="str">
        <f>IF(U2010&gt;0,"xx",IF(P2010&gt;0,"xy",""))</f>
        <v/>
      </c>
      <c r="X2011" s="580" t="str">
        <f t="shared" si="1279"/>
        <v/>
      </c>
      <c r="Y2011" s="580" t="str">
        <f t="shared" si="1142"/>
        <v/>
      </c>
      <c r="Z2011" s="580" t="str">
        <f t="shared" si="1303"/>
        <v/>
      </c>
    </row>
    <row r="2012" spans="1:26" hidden="1" x14ac:dyDescent="0.2">
      <c r="A2012" s="97" t="s">
        <v>165</v>
      </c>
      <c r="B2012" s="1031" t="s">
        <v>165</v>
      </c>
      <c r="C2012" s="978"/>
      <c r="D2012" s="595" t="s">
        <v>257</v>
      </c>
      <c r="E2012" s="596"/>
      <c r="F2012" s="671">
        <v>180</v>
      </c>
      <c r="G2012" s="597">
        <v>4.7899999999999998E-2</v>
      </c>
      <c r="H2012" s="682">
        <f>IF(F2012=0,0,IF(F2012&lt;=30,(0.7*F2012+1.45)*G2012,((0.7*30+1.45)+0.58*(F2012-30))*G2012))</f>
        <v>5.2426550000000001</v>
      </c>
      <c r="I2012" s="592"/>
      <c r="J2012" s="592"/>
      <c r="K2012" s="593">
        <f t="shared" si="1295"/>
        <v>0</v>
      </c>
      <c r="L2012" s="594"/>
      <c r="M2012" s="92"/>
      <c r="N2012" s="92"/>
      <c r="O2012" s="93">
        <f t="shared" si="1296"/>
        <v>0</v>
      </c>
      <c r="P2012" s="93">
        <f t="shared" si="1297"/>
        <v>0</v>
      </c>
      <c r="Q2012" s="94"/>
      <c r="R2012" s="92">
        <f t="shared" si="1298"/>
        <v>0</v>
      </c>
      <c r="S2012" s="92">
        <f t="shared" si="1298"/>
        <v>0</v>
      </c>
      <c r="T2012" s="93">
        <f t="shared" si="1299"/>
        <v>0</v>
      </c>
      <c r="U2012" s="95">
        <f t="shared" si="1294"/>
        <v>0</v>
      </c>
      <c r="V2012" s="94"/>
      <c r="W2012" s="96" t="str">
        <f>IF(U2010&gt;0,"xx",IF(P2010&gt;0,"xy",""))</f>
        <v/>
      </c>
      <c r="X2012" s="580" t="str">
        <f t="shared" si="1279"/>
        <v/>
      </c>
      <c r="Y2012" s="580" t="str">
        <f t="shared" si="1142"/>
        <v/>
      </c>
      <c r="Z2012" s="580" t="str">
        <f t="shared" si="1303"/>
        <v/>
      </c>
    </row>
    <row r="2013" spans="1:26" hidden="1" x14ac:dyDescent="0.2">
      <c r="A2013" s="97" t="s">
        <v>165</v>
      </c>
      <c r="B2013" s="1031" t="s">
        <v>165</v>
      </c>
      <c r="C2013" s="978"/>
      <c r="D2013" s="595" t="s">
        <v>366</v>
      </c>
      <c r="E2013" s="596"/>
      <c r="F2013" s="671">
        <v>20</v>
      </c>
      <c r="G2013" s="597">
        <v>2.0186999999999999</v>
      </c>
      <c r="H2013" s="682">
        <f>IF(F2013=0,0,IF(F2013&lt;=30,(0.7*F2013+1.45)*G2013,((0.7*30+1.45)+0.58*(F2013-30))*G2013))</f>
        <v>31.188914999999998</v>
      </c>
      <c r="I2013" s="592"/>
      <c r="J2013" s="592"/>
      <c r="K2013" s="593">
        <f t="shared" si="1295"/>
        <v>0</v>
      </c>
      <c r="L2013" s="594"/>
      <c r="M2013" s="92"/>
      <c r="N2013" s="92"/>
      <c r="O2013" s="93">
        <f t="shared" si="1296"/>
        <v>0</v>
      </c>
      <c r="P2013" s="93">
        <f t="shared" si="1297"/>
        <v>0</v>
      </c>
      <c r="Q2013" s="94"/>
      <c r="R2013" s="92">
        <f t="shared" ref="R2013:S2098" si="1305">M2013</f>
        <v>0</v>
      </c>
      <c r="S2013" s="92">
        <f t="shared" si="1305"/>
        <v>0</v>
      </c>
      <c r="T2013" s="93">
        <f t="shared" si="1299"/>
        <v>0</v>
      </c>
      <c r="U2013" s="95">
        <f t="shared" si="1294"/>
        <v>0</v>
      </c>
      <c r="V2013" s="94"/>
      <c r="W2013" s="96" t="str">
        <f>IF(U2010&gt;0,"xx",IF(P2010&gt;0,"xy",""))</f>
        <v/>
      </c>
      <c r="X2013" s="580" t="str">
        <f t="shared" si="1279"/>
        <v/>
      </c>
      <c r="Y2013" s="580" t="str">
        <f t="shared" si="1142"/>
        <v/>
      </c>
      <c r="Z2013" s="580" t="str">
        <f t="shared" si="1303"/>
        <v/>
      </c>
    </row>
    <row r="2014" spans="1:26" hidden="1" x14ac:dyDescent="0.2">
      <c r="A2014" s="1008">
        <v>611600</v>
      </c>
      <c r="B2014" s="1010" t="s">
        <v>2222</v>
      </c>
      <c r="C2014" s="978" t="s">
        <v>212</v>
      </c>
      <c r="D2014" s="595" t="s">
        <v>402</v>
      </c>
      <c r="E2014" s="596"/>
      <c r="F2014" s="671"/>
      <c r="G2014" s="597"/>
      <c r="H2014" s="682">
        <f>SUM(H2015:H2017)</f>
        <v>40.838485999999996</v>
      </c>
      <c r="I2014" s="592">
        <v>2373.12</v>
      </c>
      <c r="J2014" s="592">
        <f t="shared" ref="J2014" si="1306">IF(ISBLANK(I2014),"",SUM(H2014:I2014))</f>
        <v>2413.958486</v>
      </c>
      <c r="K2014" s="593">
        <f t="shared" si="1295"/>
        <v>2938.03</v>
      </c>
      <c r="L2014" s="594" t="s">
        <v>19</v>
      </c>
      <c r="M2014" s="92"/>
      <c r="N2014" s="92"/>
      <c r="O2014" s="93">
        <f t="shared" si="1296"/>
        <v>0</v>
      </c>
      <c r="P2014" s="93">
        <f t="shared" si="1297"/>
        <v>0</v>
      </c>
      <c r="Q2014" s="94"/>
      <c r="R2014" s="92">
        <f t="shared" si="1305"/>
        <v>0</v>
      </c>
      <c r="S2014" s="92">
        <f t="shared" si="1305"/>
        <v>0</v>
      </c>
      <c r="T2014" s="93">
        <f t="shared" si="1299"/>
        <v>0</v>
      </c>
      <c r="U2014" s="95">
        <f t="shared" si="1294"/>
        <v>0</v>
      </c>
      <c r="V2014" s="94"/>
      <c r="X2014" s="580" t="str">
        <f t="shared" si="1279"/>
        <v/>
      </c>
      <c r="Y2014" s="580" t="str">
        <f t="shared" ref="Y2014:Y2101" si="1307">IF(W2014="X","x",IF(W2014="y","x",IF(W2014="xx","x",IF(U2014&gt;0,"x",""))))</f>
        <v/>
      </c>
      <c r="Z2014" s="580" t="str">
        <f t="shared" si="1303"/>
        <v/>
      </c>
    </row>
    <row r="2015" spans="1:26" hidden="1" x14ac:dyDescent="0.2">
      <c r="A2015" s="97" t="s">
        <v>165</v>
      </c>
      <c r="B2015" s="1031" t="s">
        <v>165</v>
      </c>
      <c r="C2015" s="978"/>
      <c r="D2015" s="595" t="s">
        <v>218</v>
      </c>
      <c r="E2015" s="596"/>
      <c r="F2015" s="671">
        <v>500</v>
      </c>
      <c r="G2015" s="597">
        <v>9.7000000000000003E-3</v>
      </c>
      <c r="H2015" s="682">
        <f>IF(F2015&lt;=30,(0.51*F2015+4.28)*G2015,((0.51*30+4.28)+0.42*(F2015-30))*G2015)</f>
        <v>2.1047060000000002</v>
      </c>
      <c r="I2015" s="592"/>
      <c r="J2015" s="592"/>
      <c r="K2015" s="593">
        <f t="shared" si="1295"/>
        <v>0</v>
      </c>
      <c r="L2015" s="594"/>
      <c r="M2015" s="92"/>
      <c r="N2015" s="92"/>
      <c r="O2015" s="93">
        <f t="shared" si="1296"/>
        <v>0</v>
      </c>
      <c r="P2015" s="93">
        <f t="shared" si="1297"/>
        <v>0</v>
      </c>
      <c r="Q2015" s="94"/>
      <c r="R2015" s="92">
        <f t="shared" si="1305"/>
        <v>0</v>
      </c>
      <c r="S2015" s="92">
        <f t="shared" si="1305"/>
        <v>0</v>
      </c>
      <c r="T2015" s="93">
        <f t="shared" si="1299"/>
        <v>0</v>
      </c>
      <c r="U2015" s="95">
        <f t="shared" si="1294"/>
        <v>0</v>
      </c>
      <c r="V2015" s="94"/>
      <c r="W2015" s="96" t="str">
        <f>IF(U2014&gt;0,"xx",IF(P2014&gt;0,"xy",""))</f>
        <v/>
      </c>
      <c r="X2015" s="580" t="str">
        <f t="shared" si="1279"/>
        <v/>
      </c>
      <c r="Y2015" s="580" t="str">
        <f t="shared" si="1307"/>
        <v/>
      </c>
      <c r="Z2015" s="580" t="str">
        <f t="shared" si="1303"/>
        <v/>
      </c>
    </row>
    <row r="2016" spans="1:26" hidden="1" x14ac:dyDescent="0.2">
      <c r="A2016" s="97" t="s">
        <v>165</v>
      </c>
      <c r="B2016" s="1031" t="s">
        <v>165</v>
      </c>
      <c r="C2016" s="978"/>
      <c r="D2016" s="595" t="s">
        <v>257</v>
      </c>
      <c r="E2016" s="596"/>
      <c r="F2016" s="671">
        <v>180</v>
      </c>
      <c r="G2016" s="597">
        <v>5.04E-2</v>
      </c>
      <c r="H2016" s="682">
        <f>IF(F2016=0,0,IF(F2016&lt;=30,(0.7*F2016+1.45)*G2016,((0.7*30+1.45)+0.58*(F2016-30))*G2016))</f>
        <v>5.5162800000000001</v>
      </c>
      <c r="I2016" s="592"/>
      <c r="J2016" s="592"/>
      <c r="K2016" s="593">
        <f t="shared" si="1295"/>
        <v>0</v>
      </c>
      <c r="L2016" s="594"/>
      <c r="M2016" s="92"/>
      <c r="N2016" s="92"/>
      <c r="O2016" s="93">
        <f t="shared" si="1296"/>
        <v>0</v>
      </c>
      <c r="P2016" s="93">
        <f t="shared" si="1297"/>
        <v>0</v>
      </c>
      <c r="Q2016" s="94"/>
      <c r="R2016" s="92">
        <f t="shared" si="1305"/>
        <v>0</v>
      </c>
      <c r="S2016" s="92">
        <f t="shared" si="1305"/>
        <v>0</v>
      </c>
      <c r="T2016" s="93">
        <f t="shared" si="1299"/>
        <v>0</v>
      </c>
      <c r="U2016" s="95">
        <f t="shared" si="1294"/>
        <v>0</v>
      </c>
      <c r="V2016" s="94"/>
      <c r="W2016" s="96" t="str">
        <f>IF(U2014&gt;0,"xx",IF(P2014&gt;0,"xy",""))</f>
        <v/>
      </c>
      <c r="X2016" s="580" t="str">
        <f t="shared" si="1279"/>
        <v/>
      </c>
      <c r="Y2016" s="580" t="str">
        <f t="shared" si="1307"/>
        <v/>
      </c>
      <c r="Z2016" s="580" t="str">
        <f t="shared" si="1303"/>
        <v/>
      </c>
    </row>
    <row r="2017" spans="1:26" hidden="1" x14ac:dyDescent="0.2">
      <c r="A2017" s="97" t="s">
        <v>165</v>
      </c>
      <c r="B2017" s="1031" t="s">
        <v>165</v>
      </c>
      <c r="C2017" s="978"/>
      <c r="D2017" s="595" t="s">
        <v>366</v>
      </c>
      <c r="E2017" s="596"/>
      <c r="F2017" s="671">
        <v>20</v>
      </c>
      <c r="G2017" s="597">
        <v>2.15</v>
      </c>
      <c r="H2017" s="682">
        <f>IF(F2017=0,0,IF(F2017&lt;=30,(0.7*F2017+1.45)*G2017,((0.7*30+1.45)+0.58*(F2017-30))*G2017))</f>
        <v>33.217499999999994</v>
      </c>
      <c r="I2017" s="592"/>
      <c r="J2017" s="592"/>
      <c r="K2017" s="593">
        <f t="shared" si="1295"/>
        <v>0</v>
      </c>
      <c r="L2017" s="594"/>
      <c r="M2017" s="92"/>
      <c r="N2017" s="92"/>
      <c r="O2017" s="93">
        <f t="shared" si="1296"/>
        <v>0</v>
      </c>
      <c r="P2017" s="93">
        <f t="shared" si="1297"/>
        <v>0</v>
      </c>
      <c r="Q2017" s="94"/>
      <c r="R2017" s="92">
        <f t="shared" si="1305"/>
        <v>0</v>
      </c>
      <c r="S2017" s="92">
        <f t="shared" si="1305"/>
        <v>0</v>
      </c>
      <c r="T2017" s="93">
        <f t="shared" si="1299"/>
        <v>0</v>
      </c>
      <c r="U2017" s="95">
        <f t="shared" si="1294"/>
        <v>0</v>
      </c>
      <c r="V2017" s="94"/>
      <c r="W2017" s="96" t="str">
        <f>IF(U2014&gt;0,"xx",IF(P2014&gt;0,"xy",""))</f>
        <v/>
      </c>
      <c r="X2017" s="580" t="str">
        <f t="shared" si="1279"/>
        <v/>
      </c>
      <c r="Y2017" s="580" t="str">
        <f t="shared" si="1307"/>
        <v/>
      </c>
      <c r="Z2017" s="580" t="str">
        <f t="shared" si="1303"/>
        <v/>
      </c>
    </row>
    <row r="2018" spans="1:26" hidden="1" x14ac:dyDescent="0.2">
      <c r="A2018" s="1008">
        <v>610400</v>
      </c>
      <c r="B2018" s="1010" t="s">
        <v>2196</v>
      </c>
      <c r="C2018" s="978" t="s">
        <v>212</v>
      </c>
      <c r="D2018" s="595" t="s">
        <v>403</v>
      </c>
      <c r="E2018" s="596"/>
      <c r="F2018" s="671"/>
      <c r="G2018" s="597"/>
      <c r="H2018" s="682">
        <f>SUM(H2019:H2021)</f>
        <v>3.9324120000000002</v>
      </c>
      <c r="I2018" s="592">
        <v>286</v>
      </c>
      <c r="J2018" s="592">
        <f t="shared" ref="J2018" si="1308">IF(ISBLANK(I2018),"",SUM(H2018:I2018))</f>
        <v>289.932412</v>
      </c>
      <c r="K2018" s="593">
        <f t="shared" si="1295"/>
        <v>352.88</v>
      </c>
      <c r="L2018" s="594" t="s">
        <v>19</v>
      </c>
      <c r="M2018" s="92"/>
      <c r="N2018" s="92"/>
      <c r="O2018" s="93">
        <f t="shared" si="1296"/>
        <v>0</v>
      </c>
      <c r="P2018" s="93">
        <f t="shared" si="1297"/>
        <v>0</v>
      </c>
      <c r="Q2018" s="94"/>
      <c r="R2018" s="92">
        <f t="shared" si="1305"/>
        <v>0</v>
      </c>
      <c r="S2018" s="92">
        <f t="shared" si="1305"/>
        <v>0</v>
      </c>
      <c r="T2018" s="93">
        <f t="shared" si="1299"/>
        <v>0</v>
      </c>
      <c r="U2018" s="95">
        <f t="shared" si="1294"/>
        <v>0</v>
      </c>
      <c r="V2018" s="94"/>
      <c r="X2018" s="580" t="str">
        <f t="shared" si="1279"/>
        <v/>
      </c>
      <c r="Y2018" s="580" t="str">
        <f t="shared" si="1307"/>
        <v/>
      </c>
      <c r="Z2018" s="580" t="str">
        <f t="shared" si="1303"/>
        <v/>
      </c>
    </row>
    <row r="2019" spans="1:26" hidden="1" x14ac:dyDescent="0.2">
      <c r="A2019" s="97" t="s">
        <v>165</v>
      </c>
      <c r="B2019" s="1031" t="s">
        <v>165</v>
      </c>
      <c r="C2019" s="978"/>
      <c r="D2019" s="595" t="s">
        <v>218</v>
      </c>
      <c r="E2019" s="596"/>
      <c r="F2019" s="671">
        <v>500</v>
      </c>
      <c r="G2019" s="597">
        <v>1.9E-3</v>
      </c>
      <c r="H2019" s="682">
        <f>IF(F2019&lt;=30,(0.51*F2019+4.28)*G2019,((0.51*30+4.28)+0.42*(F2019-30))*G2019)</f>
        <v>0.41226200000000002</v>
      </c>
      <c r="I2019" s="592"/>
      <c r="J2019" s="592"/>
      <c r="K2019" s="593">
        <f t="shared" si="1295"/>
        <v>0</v>
      </c>
      <c r="L2019" s="594"/>
      <c r="M2019" s="92"/>
      <c r="N2019" s="92"/>
      <c r="O2019" s="93">
        <f t="shared" si="1296"/>
        <v>0</v>
      </c>
      <c r="P2019" s="93">
        <f t="shared" si="1297"/>
        <v>0</v>
      </c>
      <c r="Q2019" s="94"/>
      <c r="R2019" s="92">
        <f t="shared" si="1305"/>
        <v>0</v>
      </c>
      <c r="S2019" s="92">
        <f t="shared" si="1305"/>
        <v>0</v>
      </c>
      <c r="T2019" s="93">
        <f t="shared" si="1299"/>
        <v>0</v>
      </c>
      <c r="U2019" s="95">
        <f t="shared" si="1294"/>
        <v>0</v>
      </c>
      <c r="V2019" s="94"/>
      <c r="W2019" s="96" t="str">
        <f>IF(U2018&gt;0,"xx",IF(P2018&gt;0,"xy",""))</f>
        <v/>
      </c>
      <c r="X2019" s="580" t="str">
        <f t="shared" si="1279"/>
        <v/>
      </c>
      <c r="Y2019" s="580" t="str">
        <f t="shared" si="1307"/>
        <v/>
      </c>
      <c r="Z2019" s="580" t="str">
        <f t="shared" si="1303"/>
        <v/>
      </c>
    </row>
    <row r="2020" spans="1:26" hidden="1" x14ac:dyDescent="0.2">
      <c r="A2020" s="97" t="s">
        <v>165</v>
      </c>
      <c r="B2020" s="1031" t="s">
        <v>165</v>
      </c>
      <c r="C2020" s="978"/>
      <c r="D2020" s="595" t="s">
        <v>257</v>
      </c>
      <c r="E2020" s="596"/>
      <c r="F2020" s="671">
        <v>180</v>
      </c>
      <c r="G2020" s="597">
        <v>0.01</v>
      </c>
      <c r="H2020" s="682">
        <f>IF(F2020=0,0,IF(F2020&lt;=30,(0.7*F2020+1.45)*G2020,((0.7*30+1.45)+0.58*(F2020-30))*G2020))</f>
        <v>1.0945</v>
      </c>
      <c r="I2020" s="592"/>
      <c r="J2020" s="592"/>
      <c r="K2020" s="593">
        <f t="shared" si="1295"/>
        <v>0</v>
      </c>
      <c r="L2020" s="594"/>
      <c r="M2020" s="92"/>
      <c r="N2020" s="92"/>
      <c r="O2020" s="93">
        <f t="shared" si="1296"/>
        <v>0</v>
      </c>
      <c r="P2020" s="93">
        <f t="shared" si="1297"/>
        <v>0</v>
      </c>
      <c r="Q2020" s="94"/>
      <c r="R2020" s="92">
        <f t="shared" si="1305"/>
        <v>0</v>
      </c>
      <c r="S2020" s="92">
        <f t="shared" si="1305"/>
        <v>0</v>
      </c>
      <c r="T2020" s="93">
        <f t="shared" si="1299"/>
        <v>0</v>
      </c>
      <c r="U2020" s="95">
        <f t="shared" si="1294"/>
        <v>0</v>
      </c>
      <c r="V2020" s="94"/>
      <c r="W2020" s="96" t="str">
        <f>IF(U2018&gt;0,"xx",IF(P2018&gt;0,"xy",""))</f>
        <v/>
      </c>
      <c r="X2020" s="580" t="str">
        <f t="shared" si="1279"/>
        <v/>
      </c>
      <c r="Y2020" s="580" t="str">
        <f t="shared" si="1307"/>
        <v/>
      </c>
      <c r="Z2020" s="580" t="str">
        <f t="shared" si="1303"/>
        <v/>
      </c>
    </row>
    <row r="2021" spans="1:26" hidden="1" x14ac:dyDescent="0.2">
      <c r="A2021" s="97" t="s">
        <v>165</v>
      </c>
      <c r="B2021" s="1031" t="s">
        <v>165</v>
      </c>
      <c r="C2021" s="978"/>
      <c r="D2021" s="595" t="s">
        <v>366</v>
      </c>
      <c r="E2021" s="596"/>
      <c r="F2021" s="671">
        <v>20</v>
      </c>
      <c r="G2021" s="597">
        <v>0.157</v>
      </c>
      <c r="H2021" s="682">
        <f>IF(F2021=0,0,IF(F2021&lt;=30,(0.7*F2021+1.45)*G2021,((0.7*30+1.45)+0.58*(F2021-30))*G2021))</f>
        <v>2.4256500000000001</v>
      </c>
      <c r="I2021" s="592"/>
      <c r="J2021" s="592"/>
      <c r="K2021" s="593">
        <f t="shared" si="1295"/>
        <v>0</v>
      </c>
      <c r="L2021" s="594"/>
      <c r="M2021" s="92"/>
      <c r="N2021" s="92"/>
      <c r="O2021" s="93">
        <f t="shared" si="1296"/>
        <v>0</v>
      </c>
      <c r="P2021" s="93">
        <f t="shared" si="1297"/>
        <v>0</v>
      </c>
      <c r="Q2021" s="94"/>
      <c r="R2021" s="92">
        <f t="shared" si="1305"/>
        <v>0</v>
      </c>
      <c r="S2021" s="92">
        <f t="shared" si="1305"/>
        <v>0</v>
      </c>
      <c r="T2021" s="93">
        <f t="shared" si="1299"/>
        <v>0</v>
      </c>
      <c r="U2021" s="95">
        <f t="shared" si="1294"/>
        <v>0</v>
      </c>
      <c r="V2021" s="94"/>
      <c r="W2021" s="96" t="str">
        <f>IF(U2018&gt;0,"xx",IF(P2018&gt;0,"xy",""))</f>
        <v/>
      </c>
      <c r="X2021" s="580" t="str">
        <f t="shared" si="1279"/>
        <v/>
      </c>
      <c r="Y2021" s="580" t="str">
        <f t="shared" si="1307"/>
        <v/>
      </c>
      <c r="Z2021" s="580" t="str">
        <f t="shared" si="1303"/>
        <v/>
      </c>
    </row>
    <row r="2022" spans="1:26" hidden="1" x14ac:dyDescent="0.2">
      <c r="A2022" s="1008">
        <v>610600</v>
      </c>
      <c r="B2022" s="1010" t="s">
        <v>2201</v>
      </c>
      <c r="C2022" s="978" t="s">
        <v>212</v>
      </c>
      <c r="D2022" s="595" t="s">
        <v>748</v>
      </c>
      <c r="E2022" s="596"/>
      <c r="F2022" s="671"/>
      <c r="G2022" s="597"/>
      <c r="H2022" s="682">
        <f>SUM(H2023:H2025)</f>
        <v>5.6421190000000001</v>
      </c>
      <c r="I2022" s="592">
        <v>282.20499999999998</v>
      </c>
      <c r="J2022" s="592">
        <f t="shared" ref="J2022" si="1309">IF(ISBLANK(I2022),"",SUM(H2022:I2022))</f>
        <v>287.84711899999996</v>
      </c>
      <c r="K2022" s="593">
        <f t="shared" si="1295"/>
        <v>350.34</v>
      </c>
      <c r="L2022" s="594" t="s">
        <v>19</v>
      </c>
      <c r="M2022" s="92"/>
      <c r="N2022" s="92"/>
      <c r="O2022" s="93">
        <f t="shared" si="1296"/>
        <v>0</v>
      </c>
      <c r="P2022" s="93">
        <f t="shared" si="1297"/>
        <v>0</v>
      </c>
      <c r="Q2022" s="94"/>
      <c r="R2022" s="92">
        <f t="shared" si="1305"/>
        <v>0</v>
      </c>
      <c r="S2022" s="92">
        <f t="shared" si="1305"/>
        <v>0</v>
      </c>
      <c r="T2022" s="93">
        <f t="shared" si="1299"/>
        <v>0</v>
      </c>
      <c r="U2022" s="95">
        <f t="shared" si="1294"/>
        <v>0</v>
      </c>
      <c r="V2022" s="94"/>
      <c r="X2022" s="580" t="str">
        <f t="shared" si="1279"/>
        <v/>
      </c>
      <c r="Y2022" s="580" t="str">
        <f t="shared" si="1307"/>
        <v/>
      </c>
      <c r="Z2022" s="580" t="str">
        <f t="shared" si="1303"/>
        <v/>
      </c>
    </row>
    <row r="2023" spans="1:26" hidden="1" x14ac:dyDescent="0.2">
      <c r="A2023" s="97" t="s">
        <v>165</v>
      </c>
      <c r="B2023" s="1031" t="s">
        <v>165</v>
      </c>
      <c r="C2023" s="978"/>
      <c r="D2023" s="595" t="s">
        <v>218</v>
      </c>
      <c r="E2023" s="596"/>
      <c r="F2023" s="671">
        <v>500</v>
      </c>
      <c r="G2023" s="597">
        <v>2.3E-3</v>
      </c>
      <c r="H2023" s="682">
        <f>IF(F2023&lt;=30,(0.51*F2023+4.28)*G2023,((0.51*30+4.28)+0.42*(F2023-30))*G2023)</f>
        <v>0.49905400000000005</v>
      </c>
      <c r="I2023" s="592"/>
      <c r="J2023" s="592"/>
      <c r="K2023" s="593">
        <f t="shared" si="1295"/>
        <v>0</v>
      </c>
      <c r="L2023" s="594"/>
      <c r="M2023" s="92"/>
      <c r="N2023" s="92"/>
      <c r="O2023" s="93">
        <f t="shared" si="1296"/>
        <v>0</v>
      </c>
      <c r="P2023" s="93">
        <f t="shared" si="1297"/>
        <v>0</v>
      </c>
      <c r="Q2023" s="94"/>
      <c r="R2023" s="92">
        <f t="shared" si="1305"/>
        <v>0</v>
      </c>
      <c r="S2023" s="92">
        <f t="shared" si="1305"/>
        <v>0</v>
      </c>
      <c r="T2023" s="93">
        <f t="shared" si="1299"/>
        <v>0</v>
      </c>
      <c r="U2023" s="95">
        <f t="shared" si="1294"/>
        <v>0</v>
      </c>
      <c r="V2023" s="94"/>
      <c r="W2023" s="96" t="str">
        <f>IF(U2022&gt;0,"xx",IF(P2022&gt;0,"xy",""))</f>
        <v/>
      </c>
      <c r="X2023" s="580" t="str">
        <f t="shared" si="1279"/>
        <v/>
      </c>
      <c r="Y2023" s="580" t="str">
        <f t="shared" si="1307"/>
        <v/>
      </c>
      <c r="Z2023" s="580" t="str">
        <f t="shared" si="1303"/>
        <v/>
      </c>
    </row>
    <row r="2024" spans="1:26" hidden="1" x14ac:dyDescent="0.2">
      <c r="A2024" s="97" t="s">
        <v>165</v>
      </c>
      <c r="B2024" s="1031" t="s">
        <v>165</v>
      </c>
      <c r="C2024" s="978"/>
      <c r="D2024" s="595" t="s">
        <v>257</v>
      </c>
      <c r="E2024" s="596"/>
      <c r="F2024" s="671">
        <v>180</v>
      </c>
      <c r="G2024" s="597">
        <v>1.17E-2</v>
      </c>
      <c r="H2024" s="682">
        <f>IF(F2024=0,0,IF(F2024&lt;=30,(0.7*F2024+1.45)*G2024,((0.7*30+1.45)+0.58*(F2024-30))*G2024))</f>
        <v>1.2805650000000002</v>
      </c>
      <c r="I2024" s="592"/>
      <c r="J2024" s="592"/>
      <c r="K2024" s="593">
        <f t="shared" si="1295"/>
        <v>0</v>
      </c>
      <c r="L2024" s="594"/>
      <c r="M2024" s="92"/>
      <c r="N2024" s="92"/>
      <c r="O2024" s="93">
        <f t="shared" si="1296"/>
        <v>0</v>
      </c>
      <c r="P2024" s="93">
        <f t="shared" si="1297"/>
        <v>0</v>
      </c>
      <c r="Q2024" s="94"/>
      <c r="R2024" s="92">
        <f t="shared" si="1305"/>
        <v>0</v>
      </c>
      <c r="S2024" s="92">
        <f t="shared" si="1305"/>
        <v>0</v>
      </c>
      <c r="T2024" s="93">
        <f t="shared" si="1299"/>
        <v>0</v>
      </c>
      <c r="U2024" s="95">
        <f t="shared" si="1294"/>
        <v>0</v>
      </c>
      <c r="V2024" s="94"/>
      <c r="W2024" s="96" t="str">
        <f>IF(U2022&gt;0,"xx",IF(P2022&gt;0,"xy",""))</f>
        <v/>
      </c>
      <c r="X2024" s="580" t="str">
        <f t="shared" ref="X2024:X2095" si="1310">IF(W2024="X","x",IF(W2024="xx","x",IF(W2024="xy","x",IF(W2024="y","x",IF(OR(P2024&gt;0,U2024&gt;0),"x","")))))</f>
        <v/>
      </c>
      <c r="Y2024" s="580" t="str">
        <f t="shared" si="1307"/>
        <v/>
      </c>
      <c r="Z2024" s="580" t="str">
        <f t="shared" si="1303"/>
        <v/>
      </c>
    </row>
    <row r="2025" spans="1:26" hidden="1" x14ac:dyDescent="0.2">
      <c r="A2025" s="97" t="s">
        <v>165</v>
      </c>
      <c r="B2025" s="1031" t="s">
        <v>165</v>
      </c>
      <c r="C2025" s="978"/>
      <c r="D2025" s="595" t="s">
        <v>366</v>
      </c>
      <c r="E2025" s="596"/>
      <c r="F2025" s="671">
        <v>20</v>
      </c>
      <c r="G2025" s="597">
        <v>0.25</v>
      </c>
      <c r="H2025" s="682">
        <f>IF(F2025=0,0,IF(F2025&lt;=30,(0.7*F2025+1.45)*G2025,((0.7*30+1.45)+0.58*(F2025-30))*G2025))</f>
        <v>3.8624999999999998</v>
      </c>
      <c r="I2025" s="592"/>
      <c r="J2025" s="592"/>
      <c r="K2025" s="593">
        <f t="shared" si="1295"/>
        <v>0</v>
      </c>
      <c r="L2025" s="594"/>
      <c r="M2025" s="92"/>
      <c r="N2025" s="92"/>
      <c r="O2025" s="93">
        <f t="shared" si="1296"/>
        <v>0</v>
      </c>
      <c r="P2025" s="93">
        <f t="shared" si="1297"/>
        <v>0</v>
      </c>
      <c r="Q2025" s="94"/>
      <c r="R2025" s="92">
        <f t="shared" si="1305"/>
        <v>0</v>
      </c>
      <c r="S2025" s="92">
        <f t="shared" si="1305"/>
        <v>0</v>
      </c>
      <c r="T2025" s="93">
        <f t="shared" si="1299"/>
        <v>0</v>
      </c>
      <c r="U2025" s="95">
        <f t="shared" si="1294"/>
        <v>0</v>
      </c>
      <c r="V2025" s="94"/>
      <c r="W2025" s="96" t="str">
        <f>IF(U2022&gt;0,"xx",IF(P2022&gt;0,"xy",""))</f>
        <v/>
      </c>
      <c r="X2025" s="580" t="str">
        <f t="shared" si="1310"/>
        <v/>
      </c>
      <c r="Y2025" s="580" t="str">
        <f t="shared" si="1307"/>
        <v/>
      </c>
      <c r="Z2025" s="580" t="str">
        <f t="shared" si="1303"/>
        <v/>
      </c>
    </row>
    <row r="2026" spans="1:26" hidden="1" x14ac:dyDescent="0.2">
      <c r="A2026" s="1008">
        <v>610600</v>
      </c>
      <c r="B2026" s="1010" t="s">
        <v>2202</v>
      </c>
      <c r="C2026" s="978" t="s">
        <v>212</v>
      </c>
      <c r="D2026" s="595" t="s">
        <v>404</v>
      </c>
      <c r="E2026" s="596"/>
      <c r="F2026" s="671"/>
      <c r="G2026" s="597"/>
      <c r="H2026" s="682">
        <f>SUM(H2027:H2029)</f>
        <v>8.0562780000000007</v>
      </c>
      <c r="I2026" s="592">
        <v>278.41000000000003</v>
      </c>
      <c r="J2026" s="592">
        <f t="shared" ref="J2026" si="1311">IF(ISBLANK(I2026),"",SUM(H2026:I2026))</f>
        <v>286.46627800000005</v>
      </c>
      <c r="K2026" s="593">
        <f t="shared" si="1295"/>
        <v>348.66</v>
      </c>
      <c r="L2026" s="594" t="s">
        <v>19</v>
      </c>
      <c r="M2026" s="92"/>
      <c r="N2026" s="92"/>
      <c r="O2026" s="93">
        <f t="shared" si="1296"/>
        <v>0</v>
      </c>
      <c r="P2026" s="93">
        <f t="shared" si="1297"/>
        <v>0</v>
      </c>
      <c r="Q2026" s="94"/>
      <c r="R2026" s="92">
        <f t="shared" si="1305"/>
        <v>0</v>
      </c>
      <c r="S2026" s="92">
        <f t="shared" si="1305"/>
        <v>0</v>
      </c>
      <c r="T2026" s="93">
        <f t="shared" si="1299"/>
        <v>0</v>
      </c>
      <c r="U2026" s="95">
        <f t="shared" si="1294"/>
        <v>0</v>
      </c>
      <c r="V2026" s="94"/>
      <c r="X2026" s="580" t="str">
        <f t="shared" si="1310"/>
        <v/>
      </c>
      <c r="Y2026" s="580" t="str">
        <f t="shared" si="1307"/>
        <v/>
      </c>
      <c r="Z2026" s="580" t="str">
        <f t="shared" si="1303"/>
        <v/>
      </c>
    </row>
    <row r="2027" spans="1:26" hidden="1" x14ac:dyDescent="0.2">
      <c r="A2027" s="97" t="s">
        <v>165</v>
      </c>
      <c r="B2027" s="1031" t="s">
        <v>165</v>
      </c>
      <c r="C2027" s="978"/>
      <c r="D2027" s="595" t="s">
        <v>218</v>
      </c>
      <c r="E2027" s="596"/>
      <c r="F2027" s="671">
        <v>500</v>
      </c>
      <c r="G2027" s="597">
        <v>2.5999999999999999E-3</v>
      </c>
      <c r="H2027" s="682">
        <f>IF(F2027&lt;=30,(0.51*F2027+4.28)*G2027,((0.51*30+4.28)+0.42*(F2027-30))*G2027)</f>
        <v>0.56414799999999998</v>
      </c>
      <c r="I2027" s="592"/>
      <c r="J2027" s="592"/>
      <c r="K2027" s="593">
        <f t="shared" si="1295"/>
        <v>0</v>
      </c>
      <c r="L2027" s="594"/>
      <c r="M2027" s="92"/>
      <c r="N2027" s="92"/>
      <c r="O2027" s="93">
        <f t="shared" si="1296"/>
        <v>0</v>
      </c>
      <c r="P2027" s="93">
        <f t="shared" si="1297"/>
        <v>0</v>
      </c>
      <c r="Q2027" s="94"/>
      <c r="R2027" s="92">
        <f t="shared" si="1305"/>
        <v>0</v>
      </c>
      <c r="S2027" s="92">
        <f t="shared" si="1305"/>
        <v>0</v>
      </c>
      <c r="T2027" s="93">
        <f t="shared" si="1299"/>
        <v>0</v>
      </c>
      <c r="U2027" s="95">
        <f t="shared" si="1294"/>
        <v>0</v>
      </c>
      <c r="V2027" s="94"/>
      <c r="W2027" s="96" t="str">
        <f>IF(U2026&gt;0,"xx",IF(P2026&gt;0,"xy",""))</f>
        <v/>
      </c>
      <c r="X2027" s="580" t="str">
        <f t="shared" si="1310"/>
        <v/>
      </c>
      <c r="Y2027" s="580" t="str">
        <f t="shared" si="1307"/>
        <v/>
      </c>
      <c r="Z2027" s="580" t="str">
        <f t="shared" si="1303"/>
        <v/>
      </c>
    </row>
    <row r="2028" spans="1:26" hidden="1" x14ac:dyDescent="0.2">
      <c r="A2028" s="97" t="s">
        <v>165</v>
      </c>
      <c r="B2028" s="1031" t="s">
        <v>165</v>
      </c>
      <c r="C2028" s="978"/>
      <c r="D2028" s="595" t="s">
        <v>257</v>
      </c>
      <c r="E2028" s="596"/>
      <c r="F2028" s="671">
        <v>180</v>
      </c>
      <c r="G2028" s="597">
        <v>1.34E-2</v>
      </c>
      <c r="H2028" s="682">
        <f>IF(F2028=0,0,IF(F2028&lt;=30,(0.7*F2028+1.45)*G2028,((0.7*30+1.45)+0.58*(F2028-30))*G2028))</f>
        <v>1.4666300000000001</v>
      </c>
      <c r="I2028" s="592"/>
      <c r="J2028" s="592"/>
      <c r="K2028" s="593">
        <f t="shared" si="1295"/>
        <v>0</v>
      </c>
      <c r="L2028" s="594"/>
      <c r="M2028" s="92"/>
      <c r="N2028" s="92"/>
      <c r="O2028" s="93">
        <f t="shared" si="1296"/>
        <v>0</v>
      </c>
      <c r="P2028" s="93">
        <f t="shared" si="1297"/>
        <v>0</v>
      </c>
      <c r="Q2028" s="94"/>
      <c r="R2028" s="92">
        <f t="shared" si="1305"/>
        <v>0</v>
      </c>
      <c r="S2028" s="92">
        <f t="shared" si="1305"/>
        <v>0</v>
      </c>
      <c r="T2028" s="93">
        <f t="shared" si="1299"/>
        <v>0</v>
      </c>
      <c r="U2028" s="95">
        <f t="shared" si="1294"/>
        <v>0</v>
      </c>
      <c r="V2028" s="94"/>
      <c r="W2028" s="96" t="str">
        <f>IF(U2026&gt;0,"xx",IF(P2026&gt;0,"xy",""))</f>
        <v/>
      </c>
      <c r="X2028" s="580" t="str">
        <f t="shared" si="1310"/>
        <v/>
      </c>
      <c r="Y2028" s="580" t="str">
        <f t="shared" si="1307"/>
        <v/>
      </c>
      <c r="Z2028" s="580" t="str">
        <f t="shared" si="1303"/>
        <v/>
      </c>
    </row>
    <row r="2029" spans="1:26" hidden="1" x14ac:dyDescent="0.2">
      <c r="A2029" s="97" t="s">
        <v>165</v>
      </c>
      <c r="B2029" s="1031" t="s">
        <v>165</v>
      </c>
      <c r="C2029" s="978"/>
      <c r="D2029" s="595" t="s">
        <v>366</v>
      </c>
      <c r="E2029" s="596"/>
      <c r="F2029" s="671">
        <v>20</v>
      </c>
      <c r="G2029" s="597">
        <v>0.39</v>
      </c>
      <c r="H2029" s="682">
        <f>IF(F2029=0,0,IF(F2029&lt;=30,(0.7*F2029+1.45)*G2029,((0.7*30+1.45)+0.58*(F2029-30))*G2029))</f>
        <v>6.0255000000000001</v>
      </c>
      <c r="I2029" s="592"/>
      <c r="J2029" s="592"/>
      <c r="K2029" s="593">
        <f t="shared" si="1295"/>
        <v>0</v>
      </c>
      <c r="L2029" s="594"/>
      <c r="M2029" s="92"/>
      <c r="N2029" s="92"/>
      <c r="O2029" s="93">
        <f t="shared" si="1296"/>
        <v>0</v>
      </c>
      <c r="P2029" s="93">
        <f t="shared" si="1297"/>
        <v>0</v>
      </c>
      <c r="Q2029" s="94"/>
      <c r="R2029" s="92">
        <f t="shared" si="1305"/>
        <v>0</v>
      </c>
      <c r="S2029" s="92">
        <f t="shared" si="1305"/>
        <v>0</v>
      </c>
      <c r="T2029" s="93">
        <f t="shared" si="1299"/>
        <v>0</v>
      </c>
      <c r="U2029" s="95">
        <f t="shared" si="1294"/>
        <v>0</v>
      </c>
      <c r="V2029" s="94"/>
      <c r="W2029" s="96" t="str">
        <f>IF(U2026&gt;0,"xx",IF(P2026&gt;0,"xy",""))</f>
        <v/>
      </c>
      <c r="X2029" s="580" t="str">
        <f t="shared" si="1310"/>
        <v/>
      </c>
      <c r="Y2029" s="580" t="str">
        <f t="shared" si="1307"/>
        <v/>
      </c>
      <c r="Z2029" s="580" t="str">
        <f t="shared" si="1303"/>
        <v/>
      </c>
    </row>
    <row r="2030" spans="1:26" hidden="1" x14ac:dyDescent="0.2">
      <c r="A2030" s="1008">
        <v>610800</v>
      </c>
      <c r="B2030" s="1010" t="s">
        <v>2206</v>
      </c>
      <c r="C2030" s="978" t="s">
        <v>212</v>
      </c>
      <c r="D2030" s="595" t="s">
        <v>749</v>
      </c>
      <c r="E2030" s="596"/>
      <c r="F2030" s="671"/>
      <c r="G2030" s="597"/>
      <c r="H2030" s="682">
        <f>SUM(H2031:H2033)</f>
        <v>10.470437</v>
      </c>
      <c r="I2030" s="592">
        <v>345.85</v>
      </c>
      <c r="J2030" s="592">
        <f t="shared" ref="J2030" si="1312">IF(ISBLANK(I2030),"",SUM(H2030:I2030))</f>
        <v>356.32043700000003</v>
      </c>
      <c r="K2030" s="593">
        <f t="shared" si="1295"/>
        <v>433.68</v>
      </c>
      <c r="L2030" s="594" t="s">
        <v>19</v>
      </c>
      <c r="M2030" s="92"/>
      <c r="N2030" s="92"/>
      <c r="O2030" s="93">
        <f t="shared" si="1296"/>
        <v>0</v>
      </c>
      <c r="P2030" s="93">
        <f t="shared" si="1297"/>
        <v>0</v>
      </c>
      <c r="Q2030" s="94"/>
      <c r="R2030" s="92">
        <f t="shared" si="1305"/>
        <v>0</v>
      </c>
      <c r="S2030" s="92">
        <f t="shared" si="1305"/>
        <v>0</v>
      </c>
      <c r="T2030" s="93">
        <f t="shared" si="1299"/>
        <v>0</v>
      </c>
      <c r="U2030" s="95">
        <f t="shared" si="1294"/>
        <v>0</v>
      </c>
      <c r="V2030" s="94"/>
      <c r="X2030" s="580" t="str">
        <f t="shared" si="1310"/>
        <v/>
      </c>
      <c r="Y2030" s="580" t="str">
        <f t="shared" si="1307"/>
        <v/>
      </c>
      <c r="Z2030" s="580" t="str">
        <f t="shared" si="1303"/>
        <v/>
      </c>
    </row>
    <row r="2031" spans="1:26" hidden="1" x14ac:dyDescent="0.2">
      <c r="A2031" s="97" t="s">
        <v>165</v>
      </c>
      <c r="B2031" s="1031" t="s">
        <v>165</v>
      </c>
      <c r="C2031" s="978"/>
      <c r="D2031" s="595" t="s">
        <v>218</v>
      </c>
      <c r="E2031" s="596"/>
      <c r="F2031" s="671">
        <v>500</v>
      </c>
      <c r="G2031" s="597">
        <v>2.8999999999999998E-3</v>
      </c>
      <c r="H2031" s="682">
        <f>IF(F2031&lt;=30,(0.51*F2031+4.28)*G2031,((0.51*30+4.28)+0.42*(F2031-30))*G2031)</f>
        <v>0.62924199999999997</v>
      </c>
      <c r="I2031" s="592"/>
      <c r="J2031" s="592"/>
      <c r="K2031" s="593">
        <f t="shared" si="1295"/>
        <v>0</v>
      </c>
      <c r="L2031" s="594"/>
      <c r="M2031" s="92"/>
      <c r="N2031" s="92"/>
      <c r="O2031" s="93">
        <f t="shared" si="1296"/>
        <v>0</v>
      </c>
      <c r="P2031" s="93">
        <f t="shared" si="1297"/>
        <v>0</v>
      </c>
      <c r="Q2031" s="94"/>
      <c r="R2031" s="92">
        <f t="shared" si="1305"/>
        <v>0</v>
      </c>
      <c r="S2031" s="92">
        <f t="shared" si="1305"/>
        <v>0</v>
      </c>
      <c r="T2031" s="93">
        <f t="shared" si="1299"/>
        <v>0</v>
      </c>
      <c r="U2031" s="95">
        <f t="shared" si="1294"/>
        <v>0</v>
      </c>
      <c r="V2031" s="94"/>
      <c r="W2031" s="96" t="str">
        <f>IF(U2030&gt;0,"xx",IF(P2030&gt;0,"xy",""))</f>
        <v/>
      </c>
      <c r="X2031" s="580" t="str">
        <f t="shared" si="1310"/>
        <v/>
      </c>
      <c r="Y2031" s="580" t="str">
        <f t="shared" si="1307"/>
        <v/>
      </c>
      <c r="Z2031" s="580" t="str">
        <f t="shared" si="1303"/>
        <v/>
      </c>
    </row>
    <row r="2032" spans="1:26" hidden="1" x14ac:dyDescent="0.2">
      <c r="A2032" s="97" t="s">
        <v>165</v>
      </c>
      <c r="B2032" s="1031" t="s">
        <v>165</v>
      </c>
      <c r="C2032" s="978"/>
      <c r="D2032" s="595" t="s">
        <v>257</v>
      </c>
      <c r="E2032" s="596"/>
      <c r="F2032" s="671">
        <v>180</v>
      </c>
      <c r="G2032" s="597">
        <v>1.5100000000000001E-2</v>
      </c>
      <c r="H2032" s="682">
        <f>IF(F2032=0,0,IF(F2032&lt;=30,(0.7*F2032+1.45)*G2032,((0.7*30+1.45)+0.58*(F2032-30))*G2032))</f>
        <v>1.652695</v>
      </c>
      <c r="I2032" s="592"/>
      <c r="J2032" s="592"/>
      <c r="K2032" s="593">
        <f t="shared" si="1295"/>
        <v>0</v>
      </c>
      <c r="L2032" s="594"/>
      <c r="M2032" s="92"/>
      <c r="N2032" s="92"/>
      <c r="O2032" s="93">
        <f t="shared" si="1296"/>
        <v>0</v>
      </c>
      <c r="P2032" s="93">
        <f t="shared" si="1297"/>
        <v>0</v>
      </c>
      <c r="Q2032" s="94"/>
      <c r="R2032" s="92">
        <f t="shared" si="1305"/>
        <v>0</v>
      </c>
      <c r="S2032" s="92">
        <f t="shared" si="1305"/>
        <v>0</v>
      </c>
      <c r="T2032" s="93">
        <f t="shared" si="1299"/>
        <v>0</v>
      </c>
      <c r="U2032" s="95">
        <f t="shared" si="1294"/>
        <v>0</v>
      </c>
      <c r="V2032" s="94"/>
      <c r="W2032" s="96" t="str">
        <f>IF(U2030&gt;0,"xx",IF(P2030&gt;0,"xy",""))</f>
        <v/>
      </c>
      <c r="X2032" s="580" t="str">
        <f t="shared" si="1310"/>
        <v/>
      </c>
      <c r="Y2032" s="580" t="str">
        <f t="shared" si="1307"/>
        <v/>
      </c>
      <c r="Z2032" s="580" t="str">
        <f t="shared" si="1303"/>
        <v/>
      </c>
    </row>
    <row r="2033" spans="1:26" hidden="1" x14ac:dyDescent="0.2">
      <c r="A2033" s="97" t="s">
        <v>165</v>
      </c>
      <c r="B2033" s="1031" t="s">
        <v>165</v>
      </c>
      <c r="C2033" s="978"/>
      <c r="D2033" s="595" t="s">
        <v>366</v>
      </c>
      <c r="E2033" s="596"/>
      <c r="F2033" s="671">
        <v>20</v>
      </c>
      <c r="G2033" s="597">
        <v>0.53</v>
      </c>
      <c r="H2033" s="682">
        <f>IF(F2033=0,0,IF(F2033&lt;=30,(0.7*F2033+1.45)*G2033,((0.7*30+1.45)+0.58*(F2033-30))*G2033))</f>
        <v>8.1884999999999994</v>
      </c>
      <c r="I2033" s="592"/>
      <c r="J2033" s="592"/>
      <c r="K2033" s="593">
        <f t="shared" si="1295"/>
        <v>0</v>
      </c>
      <c r="L2033" s="594"/>
      <c r="M2033" s="92"/>
      <c r="N2033" s="92"/>
      <c r="O2033" s="93">
        <f t="shared" si="1296"/>
        <v>0</v>
      </c>
      <c r="P2033" s="93">
        <f t="shared" si="1297"/>
        <v>0</v>
      </c>
      <c r="Q2033" s="94"/>
      <c r="R2033" s="92">
        <f t="shared" si="1305"/>
        <v>0</v>
      </c>
      <c r="S2033" s="92">
        <f t="shared" si="1305"/>
        <v>0</v>
      </c>
      <c r="T2033" s="93">
        <f t="shared" si="1299"/>
        <v>0</v>
      </c>
      <c r="U2033" s="95">
        <f t="shared" si="1294"/>
        <v>0</v>
      </c>
      <c r="V2033" s="94"/>
      <c r="W2033" s="96" t="str">
        <f>IF(U2030&gt;0,"xx",IF(P2030&gt;0,"xy",""))</f>
        <v/>
      </c>
      <c r="X2033" s="580" t="str">
        <f t="shared" si="1310"/>
        <v/>
      </c>
      <c r="Y2033" s="580" t="str">
        <f t="shared" si="1307"/>
        <v/>
      </c>
      <c r="Z2033" s="580" t="str">
        <f t="shared" si="1303"/>
        <v/>
      </c>
    </row>
    <row r="2034" spans="1:26" x14ac:dyDescent="0.2">
      <c r="A2034" s="1008">
        <v>610800</v>
      </c>
      <c r="B2034" s="1107" t="s">
        <v>2207</v>
      </c>
      <c r="C2034" s="1108" t="s">
        <v>212</v>
      </c>
      <c r="D2034" s="1109" t="s">
        <v>405</v>
      </c>
      <c r="E2034" s="1110"/>
      <c r="F2034" s="671"/>
      <c r="G2034" s="597"/>
      <c r="H2034" s="682">
        <f>SUM(H2035:H2037)</f>
        <v>12.234698400000001</v>
      </c>
      <c r="I2034" s="592">
        <v>413.29</v>
      </c>
      <c r="J2034" s="592">
        <f t="shared" ref="J2034" si="1313">IF(ISBLANK(I2034),"",SUM(H2034:I2034))</f>
        <v>425.52469840000003</v>
      </c>
      <c r="K2034" s="593">
        <f t="shared" si="1295"/>
        <v>517.91</v>
      </c>
      <c r="L2034" s="594" t="s">
        <v>19</v>
      </c>
      <c r="M2034" s="92">
        <v>20</v>
      </c>
      <c r="N2034" s="92">
        <v>526.92999999999995</v>
      </c>
      <c r="O2034" s="93">
        <f t="shared" si="1296"/>
        <v>10358.200000000001</v>
      </c>
      <c r="P2034" s="93">
        <f t="shared" si="1297"/>
        <v>10538.6</v>
      </c>
      <c r="Q2034" s="94"/>
      <c r="R2034" s="1111">
        <f t="shared" si="1305"/>
        <v>20</v>
      </c>
      <c r="S2034" s="1111">
        <f>K2034</f>
        <v>517.91</v>
      </c>
      <c r="T2034" s="1112">
        <f t="shared" si="1299"/>
        <v>10358.200000000001</v>
      </c>
      <c r="U2034" s="1113">
        <f t="shared" si="1294"/>
        <v>10358.200000000001</v>
      </c>
      <c r="V2034" s="1114"/>
      <c r="X2034" s="580" t="str">
        <f t="shared" si="1310"/>
        <v>x</v>
      </c>
      <c r="Y2034" s="580" t="str">
        <f t="shared" si="1307"/>
        <v>x</v>
      </c>
      <c r="Z2034" s="580" t="str">
        <f t="shared" si="1303"/>
        <v>x</v>
      </c>
    </row>
    <row r="2035" spans="1:26" hidden="1" x14ac:dyDescent="0.2">
      <c r="A2035" s="97" t="s">
        <v>165</v>
      </c>
      <c r="B2035" s="1031" t="s">
        <v>165</v>
      </c>
      <c r="C2035" s="978"/>
      <c r="D2035" s="595" t="s">
        <v>218</v>
      </c>
      <c r="E2035" s="596"/>
      <c r="F2035" s="1089">
        <v>4.7</v>
      </c>
      <c r="G2035" s="597">
        <v>3.2000000000000002E-3</v>
      </c>
      <c r="H2035" s="682">
        <f>IF(F2035&lt;=30,(0.51*F2035+4.28)*G2035,((0.51*30+4.28)+0.42*(F2035-30))*G2035)</f>
        <v>2.1366400000000004E-2</v>
      </c>
      <c r="I2035" s="592"/>
      <c r="J2035" s="592"/>
      <c r="K2035" s="593">
        <f t="shared" si="1295"/>
        <v>0</v>
      </c>
      <c r="L2035" s="594"/>
      <c r="M2035" s="92"/>
      <c r="N2035" s="92"/>
      <c r="O2035" s="93">
        <f t="shared" si="1296"/>
        <v>0</v>
      </c>
      <c r="P2035" s="93">
        <f t="shared" si="1297"/>
        <v>0</v>
      </c>
      <c r="Q2035" s="94"/>
      <c r="R2035" s="92">
        <f t="shared" si="1305"/>
        <v>0</v>
      </c>
      <c r="S2035" s="92">
        <f t="shared" si="1305"/>
        <v>0</v>
      </c>
      <c r="T2035" s="93">
        <f t="shared" si="1299"/>
        <v>0</v>
      </c>
      <c r="U2035" s="95">
        <f t="shared" si="1294"/>
        <v>0</v>
      </c>
      <c r="V2035" s="94"/>
      <c r="W2035" s="96" t="str">
        <f>IF(U2034&gt;0,"xx",IF(P2034&gt;0,"xy",""))</f>
        <v>xx</v>
      </c>
      <c r="X2035" s="580" t="str">
        <f t="shared" si="1310"/>
        <v>x</v>
      </c>
      <c r="Y2035" s="580" t="str">
        <f t="shared" si="1307"/>
        <v>x</v>
      </c>
      <c r="Z2035" s="580" t="str">
        <f t="shared" si="1303"/>
        <v/>
      </c>
    </row>
    <row r="2036" spans="1:26" hidden="1" x14ac:dyDescent="0.2">
      <c r="A2036" s="97" t="s">
        <v>165</v>
      </c>
      <c r="B2036" s="1031" t="s">
        <v>165</v>
      </c>
      <c r="C2036" s="978"/>
      <c r="D2036" s="595" t="s">
        <v>257</v>
      </c>
      <c r="E2036" s="596"/>
      <c r="F2036" s="1089">
        <v>4.7</v>
      </c>
      <c r="G2036" s="597">
        <v>1.6799999999999999E-2</v>
      </c>
      <c r="H2036" s="682">
        <f>IF(F2036=0,0,IF(F2036&lt;=30,(0.7*F2036+1.45)*G2036,((0.7*30+1.45)+0.58*(F2036-30))*G2036))</f>
        <v>7.9631999999999994E-2</v>
      </c>
      <c r="I2036" s="592"/>
      <c r="J2036" s="592"/>
      <c r="K2036" s="593">
        <f t="shared" si="1295"/>
        <v>0</v>
      </c>
      <c r="L2036" s="594"/>
      <c r="M2036" s="92"/>
      <c r="N2036" s="92"/>
      <c r="O2036" s="93">
        <f t="shared" si="1296"/>
        <v>0</v>
      </c>
      <c r="P2036" s="93">
        <f t="shared" si="1297"/>
        <v>0</v>
      </c>
      <c r="Q2036" s="94"/>
      <c r="R2036" s="92">
        <f t="shared" si="1305"/>
        <v>0</v>
      </c>
      <c r="S2036" s="92">
        <f t="shared" si="1305"/>
        <v>0</v>
      </c>
      <c r="T2036" s="93">
        <f t="shared" si="1299"/>
        <v>0</v>
      </c>
      <c r="U2036" s="95">
        <f t="shared" si="1294"/>
        <v>0</v>
      </c>
      <c r="V2036" s="94"/>
      <c r="W2036" s="96" t="str">
        <f>IF(U2034&gt;0,"xx",IF(P2034&gt;0,"xy",""))</f>
        <v>xx</v>
      </c>
      <c r="X2036" s="580" t="str">
        <f t="shared" si="1310"/>
        <v>x</v>
      </c>
      <c r="Y2036" s="580" t="str">
        <f t="shared" si="1307"/>
        <v>x</v>
      </c>
      <c r="Z2036" s="580" t="str">
        <f t="shared" si="1303"/>
        <v/>
      </c>
    </row>
    <row r="2037" spans="1:26" hidden="1" x14ac:dyDescent="0.2">
      <c r="A2037" s="97" t="s">
        <v>165</v>
      </c>
      <c r="B2037" s="1031" t="s">
        <v>165</v>
      </c>
      <c r="C2037" s="978"/>
      <c r="D2037" s="595" t="s">
        <v>366</v>
      </c>
      <c r="E2037" s="596"/>
      <c r="F2037" s="1089">
        <v>23.8</v>
      </c>
      <c r="G2037" s="597">
        <v>0.67</v>
      </c>
      <c r="H2037" s="682">
        <f>IF(F2037=0,0,IF(F2037&lt;=30,(0.7*F2037+1.45)*G2037,((0.7*30+1.45)+0.58*(F2037-30))*G2037))</f>
        <v>12.133700000000001</v>
      </c>
      <c r="I2037" s="592"/>
      <c r="J2037" s="592"/>
      <c r="K2037" s="593">
        <f t="shared" si="1295"/>
        <v>0</v>
      </c>
      <c r="L2037" s="594"/>
      <c r="M2037" s="92"/>
      <c r="N2037" s="92"/>
      <c r="O2037" s="93">
        <f t="shared" si="1296"/>
        <v>0</v>
      </c>
      <c r="P2037" s="93">
        <f t="shared" si="1297"/>
        <v>0</v>
      </c>
      <c r="Q2037" s="94"/>
      <c r="R2037" s="92">
        <f t="shared" si="1305"/>
        <v>0</v>
      </c>
      <c r="S2037" s="92">
        <f t="shared" si="1305"/>
        <v>0</v>
      </c>
      <c r="T2037" s="93">
        <f t="shared" si="1299"/>
        <v>0</v>
      </c>
      <c r="U2037" s="95">
        <f t="shared" si="1294"/>
        <v>0</v>
      </c>
      <c r="V2037" s="94"/>
      <c r="W2037" s="96" t="str">
        <f>IF(U2034&gt;0,"xx",IF(P2034&gt;0,"xy",""))</f>
        <v>xx</v>
      </c>
      <c r="X2037" s="580" t="str">
        <f t="shared" si="1310"/>
        <v>x</v>
      </c>
      <c r="Y2037" s="580" t="str">
        <f t="shared" si="1307"/>
        <v>x</v>
      </c>
      <c r="Z2037" s="580" t="str">
        <f t="shared" si="1303"/>
        <v/>
      </c>
    </row>
    <row r="2038" spans="1:26" hidden="1" x14ac:dyDescent="0.2">
      <c r="A2038" s="1008">
        <v>611000</v>
      </c>
      <c r="B2038" s="1010" t="s">
        <v>2214</v>
      </c>
      <c r="C2038" s="978" t="s">
        <v>212</v>
      </c>
      <c r="D2038" s="595" t="s">
        <v>750</v>
      </c>
      <c r="E2038" s="596"/>
      <c r="F2038" s="671"/>
      <c r="G2038" s="597"/>
      <c r="H2038" s="682">
        <f>SUM(H2039:H2041)</f>
        <v>16.067119999999999</v>
      </c>
      <c r="I2038" s="592">
        <v>493.89000000000004</v>
      </c>
      <c r="J2038" s="592">
        <f t="shared" ref="J2038" si="1314">IF(ISBLANK(I2038),"",SUM(H2038:I2038))</f>
        <v>509.95712000000003</v>
      </c>
      <c r="K2038" s="593">
        <f t="shared" si="1295"/>
        <v>620.66999999999996</v>
      </c>
      <c r="L2038" s="594" t="s">
        <v>19</v>
      </c>
      <c r="M2038" s="92"/>
      <c r="N2038" s="92"/>
      <c r="O2038" s="93">
        <f t="shared" si="1296"/>
        <v>0</v>
      </c>
      <c r="P2038" s="93">
        <f t="shared" si="1297"/>
        <v>0</v>
      </c>
      <c r="Q2038" s="94"/>
      <c r="R2038" s="92">
        <f t="shared" si="1305"/>
        <v>0</v>
      </c>
      <c r="S2038" s="92">
        <f t="shared" si="1305"/>
        <v>0</v>
      </c>
      <c r="T2038" s="93">
        <f t="shared" si="1299"/>
        <v>0</v>
      </c>
      <c r="U2038" s="95">
        <f t="shared" si="1294"/>
        <v>0</v>
      </c>
      <c r="V2038" s="94"/>
      <c r="X2038" s="580" t="str">
        <f t="shared" si="1310"/>
        <v/>
      </c>
      <c r="Y2038" s="580" t="str">
        <f t="shared" si="1307"/>
        <v/>
      </c>
      <c r="Z2038" s="580" t="str">
        <f t="shared" si="1303"/>
        <v/>
      </c>
    </row>
    <row r="2039" spans="1:26" hidden="1" x14ac:dyDescent="0.2">
      <c r="A2039" s="97" t="s">
        <v>165</v>
      </c>
      <c r="B2039" s="1031" t="s">
        <v>165</v>
      </c>
      <c r="C2039" s="978"/>
      <c r="D2039" s="595" t="s">
        <v>218</v>
      </c>
      <c r="E2039" s="596"/>
      <c r="F2039" s="671">
        <v>500</v>
      </c>
      <c r="G2039" s="597">
        <v>4.0000000000000001E-3</v>
      </c>
      <c r="H2039" s="682">
        <f>IF(F2039&lt;=30,(0.51*F2039+4.28)*G2039,((0.51*30+4.28)+0.42*(F2039-30))*G2039)</f>
        <v>0.86792000000000014</v>
      </c>
      <c r="I2039" s="592"/>
      <c r="J2039" s="592"/>
      <c r="K2039" s="593">
        <f t="shared" si="1295"/>
        <v>0</v>
      </c>
      <c r="L2039" s="594"/>
      <c r="M2039" s="92"/>
      <c r="N2039" s="92"/>
      <c r="O2039" s="93">
        <f t="shared" si="1296"/>
        <v>0</v>
      </c>
      <c r="P2039" s="93">
        <f t="shared" si="1297"/>
        <v>0</v>
      </c>
      <c r="Q2039" s="94"/>
      <c r="R2039" s="92">
        <f t="shared" si="1305"/>
        <v>0</v>
      </c>
      <c r="S2039" s="92">
        <f t="shared" si="1305"/>
        <v>0</v>
      </c>
      <c r="T2039" s="93">
        <f t="shared" si="1299"/>
        <v>0</v>
      </c>
      <c r="U2039" s="95">
        <f t="shared" si="1294"/>
        <v>0</v>
      </c>
      <c r="V2039" s="94"/>
      <c r="W2039" s="96" t="str">
        <f>IF(U2038&gt;0,"xx",IF(P2038&gt;0,"xy",""))</f>
        <v/>
      </c>
      <c r="X2039" s="580" t="str">
        <f t="shared" si="1310"/>
        <v/>
      </c>
      <c r="Y2039" s="580" t="str">
        <f t="shared" si="1307"/>
        <v/>
      </c>
      <c r="Z2039" s="580" t="str">
        <f t="shared" si="1303"/>
        <v/>
      </c>
    </row>
    <row r="2040" spans="1:26" hidden="1" x14ac:dyDescent="0.2">
      <c r="A2040" s="97" t="s">
        <v>165</v>
      </c>
      <c r="B2040" s="1031" t="s">
        <v>165</v>
      </c>
      <c r="C2040" s="978"/>
      <c r="D2040" s="595" t="s">
        <v>257</v>
      </c>
      <c r="E2040" s="596"/>
      <c r="F2040" s="671">
        <v>180</v>
      </c>
      <c r="G2040" s="597">
        <v>2.1000000000000001E-2</v>
      </c>
      <c r="H2040" s="682">
        <f>IF(F2040=0,0,IF(F2040&lt;=30,(0.7*F2040+1.45)*G2040,((0.7*30+1.45)+0.58*(F2040-30))*G2040))</f>
        <v>2.2984500000000003</v>
      </c>
      <c r="I2040" s="592"/>
      <c r="J2040" s="592"/>
      <c r="K2040" s="593">
        <f t="shared" si="1295"/>
        <v>0</v>
      </c>
      <c r="L2040" s="594"/>
      <c r="M2040" s="92"/>
      <c r="N2040" s="92"/>
      <c r="O2040" s="93">
        <f t="shared" si="1296"/>
        <v>0</v>
      </c>
      <c r="P2040" s="93">
        <f t="shared" si="1297"/>
        <v>0</v>
      </c>
      <c r="Q2040" s="94"/>
      <c r="R2040" s="92">
        <f t="shared" si="1305"/>
        <v>0</v>
      </c>
      <c r="S2040" s="92">
        <f t="shared" si="1305"/>
        <v>0</v>
      </c>
      <c r="T2040" s="93">
        <f t="shared" si="1299"/>
        <v>0</v>
      </c>
      <c r="U2040" s="95">
        <f t="shared" si="1294"/>
        <v>0</v>
      </c>
      <c r="V2040" s="94"/>
      <c r="W2040" s="96" t="str">
        <f>IF(U2038&gt;0,"xx",IF(P2038&gt;0,"xy",""))</f>
        <v/>
      </c>
      <c r="X2040" s="580" t="str">
        <f t="shared" si="1310"/>
        <v/>
      </c>
      <c r="Y2040" s="580" t="str">
        <f t="shared" si="1307"/>
        <v/>
      </c>
      <c r="Z2040" s="580" t="str">
        <f t="shared" si="1303"/>
        <v/>
      </c>
    </row>
    <row r="2041" spans="1:26" hidden="1" x14ac:dyDescent="0.2">
      <c r="A2041" s="97" t="s">
        <v>165</v>
      </c>
      <c r="B2041" s="1031" t="s">
        <v>165</v>
      </c>
      <c r="C2041" s="978"/>
      <c r="D2041" s="595" t="s">
        <v>366</v>
      </c>
      <c r="E2041" s="596"/>
      <c r="F2041" s="671">
        <v>20</v>
      </c>
      <c r="G2041" s="597">
        <v>0.83499999999999996</v>
      </c>
      <c r="H2041" s="682">
        <f>IF(F2041=0,0,IF(F2041&lt;=30,(0.7*F2041+1.45)*G2041,((0.7*30+1.45)+0.58*(F2041-30))*G2041))</f>
        <v>12.900749999999999</v>
      </c>
      <c r="I2041" s="592"/>
      <c r="J2041" s="592"/>
      <c r="K2041" s="593">
        <f t="shared" si="1295"/>
        <v>0</v>
      </c>
      <c r="L2041" s="594"/>
      <c r="M2041" s="92"/>
      <c r="N2041" s="92"/>
      <c r="O2041" s="93">
        <f t="shared" si="1296"/>
        <v>0</v>
      </c>
      <c r="P2041" s="93">
        <f t="shared" si="1297"/>
        <v>0</v>
      </c>
      <c r="Q2041" s="94"/>
      <c r="R2041" s="92">
        <f t="shared" si="1305"/>
        <v>0</v>
      </c>
      <c r="S2041" s="92">
        <f t="shared" si="1305"/>
        <v>0</v>
      </c>
      <c r="T2041" s="93">
        <f t="shared" si="1299"/>
        <v>0</v>
      </c>
      <c r="U2041" s="95">
        <f t="shared" si="1294"/>
        <v>0</v>
      </c>
      <c r="V2041" s="94"/>
      <c r="W2041" s="96" t="str">
        <f>IF(U2038&gt;0,"xx",IF(P2038&gt;0,"xy",""))</f>
        <v/>
      </c>
      <c r="X2041" s="580" t="str">
        <f t="shared" si="1310"/>
        <v/>
      </c>
      <c r="Y2041" s="580" t="str">
        <f t="shared" si="1307"/>
        <v/>
      </c>
      <c r="Z2041" s="580" t="str">
        <f t="shared" si="1303"/>
        <v/>
      </c>
    </row>
    <row r="2042" spans="1:26" hidden="1" x14ac:dyDescent="0.2">
      <c r="A2042" s="1008">
        <v>611000</v>
      </c>
      <c r="B2042" s="1010" t="s">
        <v>2215</v>
      </c>
      <c r="C2042" s="978" t="s">
        <v>212</v>
      </c>
      <c r="D2042" s="595" t="s">
        <v>406</v>
      </c>
      <c r="E2042" s="596"/>
      <c r="F2042" s="671"/>
      <c r="G2042" s="597"/>
      <c r="H2042" s="682">
        <f>SUM(H2043:H2045)</f>
        <v>19.249644</v>
      </c>
      <c r="I2042" s="592">
        <v>574.49</v>
      </c>
      <c r="J2042" s="592">
        <f t="shared" ref="J2042" si="1315">IF(ISBLANK(I2042),"",SUM(H2042:I2042))</f>
        <v>593.739644</v>
      </c>
      <c r="K2042" s="593">
        <f t="shared" si="1295"/>
        <v>722.64</v>
      </c>
      <c r="L2042" s="594" t="s">
        <v>19</v>
      </c>
      <c r="M2042" s="92"/>
      <c r="N2042" s="92"/>
      <c r="O2042" s="93">
        <f t="shared" si="1296"/>
        <v>0</v>
      </c>
      <c r="P2042" s="93">
        <f t="shared" si="1297"/>
        <v>0</v>
      </c>
      <c r="Q2042" s="94"/>
      <c r="R2042" s="92">
        <f t="shared" si="1305"/>
        <v>0</v>
      </c>
      <c r="S2042" s="92">
        <f t="shared" si="1305"/>
        <v>0</v>
      </c>
      <c r="T2042" s="93">
        <f t="shared" si="1299"/>
        <v>0</v>
      </c>
      <c r="U2042" s="95">
        <f t="shared" si="1294"/>
        <v>0</v>
      </c>
      <c r="V2042" s="94"/>
      <c r="X2042" s="580" t="str">
        <f t="shared" si="1310"/>
        <v/>
      </c>
      <c r="Y2042" s="580" t="str">
        <f t="shared" si="1307"/>
        <v/>
      </c>
      <c r="Z2042" s="580" t="str">
        <f t="shared" si="1303"/>
        <v/>
      </c>
    </row>
    <row r="2043" spans="1:26" hidden="1" x14ac:dyDescent="0.2">
      <c r="A2043" s="97" t="s">
        <v>165</v>
      </c>
      <c r="B2043" s="1031" t="s">
        <v>165</v>
      </c>
      <c r="C2043" s="978"/>
      <c r="D2043" s="595" t="s">
        <v>218</v>
      </c>
      <c r="E2043" s="596"/>
      <c r="F2043" s="671">
        <v>500</v>
      </c>
      <c r="G2043" s="597">
        <v>4.7999999999999996E-3</v>
      </c>
      <c r="H2043" s="682">
        <f>IF(F2043&lt;=30,(0.51*F2043+4.28)*G2043,((0.51*30+4.28)+0.42*(F2043-30))*G2043)</f>
        <v>1.041504</v>
      </c>
      <c r="I2043" s="592"/>
      <c r="J2043" s="592"/>
      <c r="K2043" s="593">
        <f t="shared" si="1295"/>
        <v>0</v>
      </c>
      <c r="L2043" s="594"/>
      <c r="M2043" s="92"/>
      <c r="N2043" s="92"/>
      <c r="O2043" s="93">
        <f t="shared" si="1296"/>
        <v>0</v>
      </c>
      <c r="P2043" s="93">
        <f t="shared" si="1297"/>
        <v>0</v>
      </c>
      <c r="Q2043" s="94"/>
      <c r="R2043" s="92">
        <f t="shared" si="1305"/>
        <v>0</v>
      </c>
      <c r="S2043" s="92">
        <f t="shared" si="1305"/>
        <v>0</v>
      </c>
      <c r="T2043" s="93">
        <f t="shared" si="1299"/>
        <v>0</v>
      </c>
      <c r="U2043" s="95">
        <f t="shared" si="1294"/>
        <v>0</v>
      </c>
      <c r="V2043" s="94"/>
      <c r="W2043" s="96" t="str">
        <f>IF(U2042&gt;0,"xx",IF(P2042&gt;0,"xy",""))</f>
        <v/>
      </c>
      <c r="X2043" s="580" t="str">
        <f t="shared" si="1310"/>
        <v/>
      </c>
      <c r="Y2043" s="580" t="str">
        <f t="shared" si="1307"/>
        <v/>
      </c>
      <c r="Z2043" s="580" t="str">
        <f t="shared" si="1303"/>
        <v/>
      </c>
    </row>
    <row r="2044" spans="1:26" hidden="1" x14ac:dyDescent="0.2">
      <c r="A2044" s="97" t="s">
        <v>165</v>
      </c>
      <c r="B2044" s="1031" t="s">
        <v>165</v>
      </c>
      <c r="C2044" s="978"/>
      <c r="D2044" s="595" t="s">
        <v>257</v>
      </c>
      <c r="E2044" s="596"/>
      <c r="F2044" s="671">
        <v>180</v>
      </c>
      <c r="G2044" s="597">
        <v>2.52E-2</v>
      </c>
      <c r="H2044" s="682">
        <f>IF(F2044=0,0,IF(F2044&lt;=30,(0.7*F2044+1.45)*G2044,((0.7*30+1.45)+0.58*(F2044-30))*G2044))</f>
        <v>2.75814</v>
      </c>
      <c r="I2044" s="592"/>
      <c r="J2044" s="592"/>
      <c r="K2044" s="593">
        <f t="shared" si="1295"/>
        <v>0</v>
      </c>
      <c r="L2044" s="594"/>
      <c r="M2044" s="92"/>
      <c r="N2044" s="92"/>
      <c r="O2044" s="93">
        <f t="shared" si="1296"/>
        <v>0</v>
      </c>
      <c r="P2044" s="93">
        <f t="shared" si="1297"/>
        <v>0</v>
      </c>
      <c r="Q2044" s="94"/>
      <c r="R2044" s="92">
        <f t="shared" si="1305"/>
        <v>0</v>
      </c>
      <c r="S2044" s="92">
        <f t="shared" si="1305"/>
        <v>0</v>
      </c>
      <c r="T2044" s="93">
        <f t="shared" si="1299"/>
        <v>0</v>
      </c>
      <c r="U2044" s="95">
        <f t="shared" si="1294"/>
        <v>0</v>
      </c>
      <c r="V2044" s="94"/>
      <c r="W2044" s="96" t="str">
        <f>IF(U2042&gt;0,"xx",IF(P2042&gt;0,"xy",""))</f>
        <v/>
      </c>
      <c r="X2044" s="580" t="str">
        <f t="shared" si="1310"/>
        <v/>
      </c>
      <c r="Y2044" s="580" t="str">
        <f t="shared" si="1307"/>
        <v/>
      </c>
      <c r="Z2044" s="580" t="str">
        <f t="shared" si="1303"/>
        <v/>
      </c>
    </row>
    <row r="2045" spans="1:26" hidden="1" x14ac:dyDescent="0.2">
      <c r="A2045" s="97" t="s">
        <v>165</v>
      </c>
      <c r="B2045" s="1031" t="s">
        <v>165</v>
      </c>
      <c r="C2045" s="978"/>
      <c r="D2045" s="595" t="s">
        <v>366</v>
      </c>
      <c r="E2045" s="596"/>
      <c r="F2045" s="671">
        <v>20</v>
      </c>
      <c r="G2045" s="597">
        <v>1</v>
      </c>
      <c r="H2045" s="682">
        <f>IF(F2045=0,0,IF(F2045&lt;=30,(0.7*F2045+1.45)*G2045,((0.7*30+1.45)+0.58*(F2045-30))*G2045))</f>
        <v>15.45</v>
      </c>
      <c r="I2045" s="592"/>
      <c r="J2045" s="592"/>
      <c r="K2045" s="593">
        <f t="shared" si="1295"/>
        <v>0</v>
      </c>
      <c r="L2045" s="594"/>
      <c r="M2045" s="92"/>
      <c r="N2045" s="92"/>
      <c r="O2045" s="93">
        <f t="shared" si="1296"/>
        <v>0</v>
      </c>
      <c r="P2045" s="93">
        <f t="shared" si="1297"/>
        <v>0</v>
      </c>
      <c r="Q2045" s="94"/>
      <c r="R2045" s="92">
        <f t="shared" si="1305"/>
        <v>0</v>
      </c>
      <c r="S2045" s="92">
        <f t="shared" si="1305"/>
        <v>0</v>
      </c>
      <c r="T2045" s="93">
        <f t="shared" si="1299"/>
        <v>0</v>
      </c>
      <c r="U2045" s="95">
        <f t="shared" si="1294"/>
        <v>0</v>
      </c>
      <c r="V2045" s="94"/>
      <c r="W2045" s="96" t="str">
        <f>IF(U2042&gt;0,"xx",IF(P2042&gt;0,"xy",""))</f>
        <v/>
      </c>
      <c r="X2045" s="580" t="str">
        <f t="shared" si="1310"/>
        <v/>
      </c>
      <c r="Y2045" s="580" t="str">
        <f t="shared" si="1307"/>
        <v/>
      </c>
      <c r="Z2045" s="580" t="str">
        <f t="shared" si="1303"/>
        <v/>
      </c>
    </row>
    <row r="2046" spans="1:26" hidden="1" x14ac:dyDescent="0.2">
      <c r="A2046" s="1008">
        <v>611200</v>
      </c>
      <c r="B2046" s="1010" t="s">
        <v>2217</v>
      </c>
      <c r="C2046" s="978" t="s">
        <v>212</v>
      </c>
      <c r="D2046" s="595" t="s">
        <v>407</v>
      </c>
      <c r="E2046" s="596"/>
      <c r="F2046" s="671"/>
      <c r="G2046" s="597"/>
      <c r="H2046" s="682">
        <f>SUM(H2047:H2049)</f>
        <v>27.335889999999999</v>
      </c>
      <c r="I2046" s="592">
        <v>752.53</v>
      </c>
      <c r="J2046" s="592">
        <f t="shared" ref="J2046" si="1316">IF(ISBLANK(I2046),"",SUM(H2046:I2046))</f>
        <v>779.86588999999992</v>
      </c>
      <c r="K2046" s="593">
        <f t="shared" si="1295"/>
        <v>949.17</v>
      </c>
      <c r="L2046" s="594" t="s">
        <v>19</v>
      </c>
      <c r="M2046" s="92"/>
      <c r="N2046" s="92"/>
      <c r="O2046" s="93">
        <f t="shared" si="1296"/>
        <v>0</v>
      </c>
      <c r="P2046" s="93">
        <f t="shared" si="1297"/>
        <v>0</v>
      </c>
      <c r="Q2046" s="94"/>
      <c r="R2046" s="92">
        <f t="shared" si="1305"/>
        <v>0</v>
      </c>
      <c r="S2046" s="92">
        <f t="shared" si="1305"/>
        <v>0</v>
      </c>
      <c r="T2046" s="93">
        <f t="shared" si="1299"/>
        <v>0</v>
      </c>
      <c r="U2046" s="95">
        <f t="shared" si="1294"/>
        <v>0</v>
      </c>
      <c r="V2046" s="94"/>
      <c r="X2046" s="580" t="str">
        <f t="shared" si="1310"/>
        <v/>
      </c>
      <c r="Y2046" s="580" t="str">
        <f t="shared" si="1307"/>
        <v/>
      </c>
      <c r="Z2046" s="580" t="str">
        <f t="shared" si="1303"/>
        <v/>
      </c>
    </row>
    <row r="2047" spans="1:26" hidden="1" x14ac:dyDescent="0.2">
      <c r="A2047" s="97" t="s">
        <v>165</v>
      </c>
      <c r="B2047" s="1031" t="s">
        <v>165</v>
      </c>
      <c r="C2047" s="978"/>
      <c r="D2047" s="595" t="s">
        <v>218</v>
      </c>
      <c r="E2047" s="596"/>
      <c r="F2047" s="671">
        <v>500</v>
      </c>
      <c r="G2047" s="597">
        <v>6.4999999999999997E-3</v>
      </c>
      <c r="H2047" s="682">
        <f>IF(F2047&lt;=30,(0.51*F2047+4.28)*G2047,((0.51*30+4.28)+0.42*(F2047-30))*G2047)</f>
        <v>1.4103700000000001</v>
      </c>
      <c r="I2047" s="592"/>
      <c r="J2047" s="592"/>
      <c r="K2047" s="593">
        <f t="shared" si="1295"/>
        <v>0</v>
      </c>
      <c r="L2047" s="594"/>
      <c r="M2047" s="92"/>
      <c r="N2047" s="92"/>
      <c r="O2047" s="93">
        <f t="shared" si="1296"/>
        <v>0</v>
      </c>
      <c r="P2047" s="93">
        <f t="shared" si="1297"/>
        <v>0</v>
      </c>
      <c r="Q2047" s="94"/>
      <c r="R2047" s="92">
        <f t="shared" si="1305"/>
        <v>0</v>
      </c>
      <c r="S2047" s="92">
        <f t="shared" si="1305"/>
        <v>0</v>
      </c>
      <c r="T2047" s="93">
        <f t="shared" si="1299"/>
        <v>0</v>
      </c>
      <c r="U2047" s="95">
        <f t="shared" si="1294"/>
        <v>0</v>
      </c>
      <c r="V2047" s="94"/>
      <c r="W2047" s="96" t="str">
        <f>IF(U2046&gt;0,"xx",IF(P2046&gt;0,"xy",""))</f>
        <v/>
      </c>
      <c r="X2047" s="580" t="str">
        <f t="shared" si="1310"/>
        <v/>
      </c>
      <c r="Y2047" s="580" t="str">
        <f t="shared" si="1307"/>
        <v/>
      </c>
      <c r="Z2047" s="580" t="str">
        <f t="shared" si="1303"/>
        <v/>
      </c>
    </row>
    <row r="2048" spans="1:26" hidden="1" x14ac:dyDescent="0.2">
      <c r="A2048" s="97" t="s">
        <v>165</v>
      </c>
      <c r="B2048" s="1031" t="s">
        <v>165</v>
      </c>
      <c r="C2048" s="978"/>
      <c r="D2048" s="595" t="s">
        <v>257</v>
      </c>
      <c r="E2048" s="596"/>
      <c r="F2048" s="671">
        <v>180</v>
      </c>
      <c r="G2048" s="597">
        <v>3.3599999999999998E-2</v>
      </c>
      <c r="H2048" s="682">
        <f>IF(F2048=0,0,IF(F2048&lt;=30,(0.7*F2048+1.45)*G2048,((0.7*30+1.45)+0.58*(F2048-30))*G2048))</f>
        <v>3.6775199999999999</v>
      </c>
      <c r="I2048" s="592"/>
      <c r="J2048" s="592"/>
      <c r="K2048" s="593">
        <f t="shared" si="1295"/>
        <v>0</v>
      </c>
      <c r="L2048" s="594"/>
      <c r="M2048" s="92"/>
      <c r="N2048" s="92"/>
      <c r="O2048" s="93">
        <f t="shared" si="1296"/>
        <v>0</v>
      </c>
      <c r="P2048" s="93">
        <f t="shared" si="1297"/>
        <v>0</v>
      </c>
      <c r="Q2048" s="94"/>
      <c r="R2048" s="92">
        <f t="shared" si="1305"/>
        <v>0</v>
      </c>
      <c r="S2048" s="92">
        <f t="shared" si="1305"/>
        <v>0</v>
      </c>
      <c r="T2048" s="93">
        <f t="shared" si="1299"/>
        <v>0</v>
      </c>
      <c r="U2048" s="95">
        <f t="shared" si="1294"/>
        <v>0</v>
      </c>
      <c r="V2048" s="94"/>
      <c r="W2048" s="96" t="str">
        <f>IF(U2046&gt;0,"xx",IF(P2046&gt;0,"xy",""))</f>
        <v/>
      </c>
      <c r="X2048" s="580" t="str">
        <f t="shared" si="1310"/>
        <v/>
      </c>
      <c r="Y2048" s="580" t="str">
        <f t="shared" si="1307"/>
        <v/>
      </c>
      <c r="Z2048" s="580" t="str">
        <f t="shared" si="1303"/>
        <v/>
      </c>
    </row>
    <row r="2049" spans="1:26" hidden="1" x14ac:dyDescent="0.2">
      <c r="A2049" s="97" t="s">
        <v>165</v>
      </c>
      <c r="B2049" s="1031" t="s">
        <v>165</v>
      </c>
      <c r="C2049" s="978"/>
      <c r="D2049" s="595" t="s">
        <v>366</v>
      </c>
      <c r="E2049" s="596"/>
      <c r="F2049" s="671">
        <v>20</v>
      </c>
      <c r="G2049" s="597">
        <v>1.44</v>
      </c>
      <c r="H2049" s="682">
        <f>IF(F2049=0,0,IF(F2049&lt;=30,(0.7*F2049+1.45)*G2049,((0.7*30+1.45)+0.58*(F2049-30))*G2049))</f>
        <v>22.247999999999998</v>
      </c>
      <c r="I2049" s="592"/>
      <c r="J2049" s="592"/>
      <c r="K2049" s="593">
        <f t="shared" si="1295"/>
        <v>0</v>
      </c>
      <c r="L2049" s="594"/>
      <c r="M2049" s="92"/>
      <c r="N2049" s="92"/>
      <c r="O2049" s="93">
        <f t="shared" si="1296"/>
        <v>0</v>
      </c>
      <c r="P2049" s="93">
        <f t="shared" si="1297"/>
        <v>0</v>
      </c>
      <c r="Q2049" s="94"/>
      <c r="R2049" s="92">
        <f t="shared" si="1305"/>
        <v>0</v>
      </c>
      <c r="S2049" s="92">
        <f t="shared" si="1305"/>
        <v>0</v>
      </c>
      <c r="T2049" s="93">
        <f t="shared" si="1299"/>
        <v>0</v>
      </c>
      <c r="U2049" s="95">
        <f t="shared" si="1294"/>
        <v>0</v>
      </c>
      <c r="V2049" s="94"/>
      <c r="W2049" s="96" t="str">
        <f>IF(U2046&gt;0,"xx",IF(P2046&gt;0,"xy",""))</f>
        <v/>
      </c>
      <c r="X2049" s="580" t="str">
        <f t="shared" si="1310"/>
        <v/>
      </c>
      <c r="Y2049" s="580" t="str">
        <f t="shared" si="1307"/>
        <v/>
      </c>
      <c r="Z2049" s="580" t="str">
        <f t="shared" si="1303"/>
        <v/>
      </c>
    </row>
    <row r="2050" spans="1:26" hidden="1" x14ac:dyDescent="0.2">
      <c r="A2050" s="1008">
        <v>611400</v>
      </c>
      <c r="B2050" s="1010" t="s">
        <v>2220</v>
      </c>
      <c r="C2050" s="978" t="s">
        <v>212</v>
      </c>
      <c r="D2050" s="595" t="s">
        <v>408</v>
      </c>
      <c r="E2050" s="596"/>
      <c r="F2050" s="671"/>
      <c r="G2050" s="597"/>
      <c r="H2050" s="682">
        <f>SUM(H2051:H2053)</f>
        <v>31.846937999999998</v>
      </c>
      <c r="I2050" s="592">
        <v>1246.07</v>
      </c>
      <c r="J2050" s="592">
        <f t="shared" ref="J2050" si="1317">IF(ISBLANK(I2050),"",SUM(H2050:I2050))</f>
        <v>1277.9169379999998</v>
      </c>
      <c r="K2050" s="593">
        <f t="shared" si="1295"/>
        <v>1555.35</v>
      </c>
      <c r="L2050" s="594" t="s">
        <v>19</v>
      </c>
      <c r="M2050" s="92"/>
      <c r="N2050" s="92"/>
      <c r="O2050" s="93">
        <f t="shared" si="1296"/>
        <v>0</v>
      </c>
      <c r="P2050" s="93">
        <f t="shared" si="1297"/>
        <v>0</v>
      </c>
      <c r="Q2050" s="94"/>
      <c r="R2050" s="92">
        <f t="shared" si="1305"/>
        <v>0</v>
      </c>
      <c r="S2050" s="92">
        <f t="shared" si="1305"/>
        <v>0</v>
      </c>
      <c r="T2050" s="93">
        <f t="shared" si="1299"/>
        <v>0</v>
      </c>
      <c r="U2050" s="95">
        <f t="shared" si="1294"/>
        <v>0</v>
      </c>
      <c r="V2050" s="94"/>
      <c r="X2050" s="580" t="str">
        <f t="shared" si="1310"/>
        <v/>
      </c>
      <c r="Y2050" s="580" t="str">
        <f t="shared" si="1307"/>
        <v/>
      </c>
      <c r="Z2050" s="580" t="str">
        <f t="shared" si="1303"/>
        <v/>
      </c>
    </row>
    <row r="2051" spans="1:26" hidden="1" x14ac:dyDescent="0.2">
      <c r="A2051" s="97" t="s">
        <v>165</v>
      </c>
      <c r="B2051" s="1031" t="s">
        <v>165</v>
      </c>
      <c r="C2051" s="978"/>
      <c r="D2051" s="595" t="s">
        <v>218</v>
      </c>
      <c r="E2051" s="596"/>
      <c r="F2051" s="671">
        <v>500</v>
      </c>
      <c r="G2051" s="597">
        <v>8.0999999999999996E-3</v>
      </c>
      <c r="H2051" s="682">
        <f>IF(F2051&lt;=30,(0.51*F2051+4.28)*G2051,((0.51*30+4.28)+0.42*(F2051-30))*G2051)</f>
        <v>1.757538</v>
      </c>
      <c r="I2051" s="592"/>
      <c r="J2051" s="592" t="str">
        <f t="shared" ref="J2051:J2053" si="1318">IF(ISBLANK(I2051),"",SUM(H2051:I2051))</f>
        <v/>
      </c>
      <c r="K2051" s="593">
        <f t="shared" si="1295"/>
        <v>0</v>
      </c>
      <c r="L2051" s="594"/>
      <c r="M2051" s="92"/>
      <c r="N2051" s="92"/>
      <c r="O2051" s="93">
        <f t="shared" si="1296"/>
        <v>0</v>
      </c>
      <c r="P2051" s="93">
        <f t="shared" si="1297"/>
        <v>0</v>
      </c>
      <c r="Q2051" s="94"/>
      <c r="R2051" s="92">
        <f t="shared" si="1305"/>
        <v>0</v>
      </c>
      <c r="S2051" s="92">
        <f t="shared" si="1305"/>
        <v>0</v>
      </c>
      <c r="T2051" s="93">
        <f t="shared" si="1299"/>
        <v>0</v>
      </c>
      <c r="U2051" s="95">
        <f t="shared" si="1294"/>
        <v>0</v>
      </c>
      <c r="V2051" s="94"/>
      <c r="W2051" s="96" t="str">
        <f>IF(U2050&gt;0,"xx",IF(P2050&gt;0,"xy",""))</f>
        <v/>
      </c>
      <c r="X2051" s="580" t="str">
        <f t="shared" si="1310"/>
        <v/>
      </c>
      <c r="Y2051" s="580" t="str">
        <f t="shared" si="1307"/>
        <v/>
      </c>
      <c r="Z2051" s="580" t="str">
        <f t="shared" si="1303"/>
        <v/>
      </c>
    </row>
    <row r="2052" spans="1:26" hidden="1" x14ac:dyDescent="0.2">
      <c r="A2052" s="97" t="s">
        <v>165</v>
      </c>
      <c r="B2052" s="1031" t="s">
        <v>165</v>
      </c>
      <c r="C2052" s="978"/>
      <c r="D2052" s="595" t="s">
        <v>257</v>
      </c>
      <c r="E2052" s="596"/>
      <c r="F2052" s="671">
        <v>180</v>
      </c>
      <c r="G2052" s="597">
        <v>4.2000000000000003E-2</v>
      </c>
      <c r="H2052" s="682">
        <f>IF(F2052=0,0,IF(F2052&lt;=30,(0.7*F2052+1.45)*G2052,((0.7*30+1.45)+0.58*(F2052-30))*G2052))</f>
        <v>4.5969000000000007</v>
      </c>
      <c r="I2052" s="592"/>
      <c r="J2052" s="592" t="str">
        <f t="shared" si="1318"/>
        <v/>
      </c>
      <c r="K2052" s="593">
        <f t="shared" si="1295"/>
        <v>0</v>
      </c>
      <c r="L2052" s="594"/>
      <c r="M2052" s="92"/>
      <c r="N2052" s="92"/>
      <c r="O2052" s="93">
        <f t="shared" si="1296"/>
        <v>0</v>
      </c>
      <c r="P2052" s="93">
        <f t="shared" si="1297"/>
        <v>0</v>
      </c>
      <c r="Q2052" s="94"/>
      <c r="R2052" s="92">
        <f t="shared" si="1305"/>
        <v>0</v>
      </c>
      <c r="S2052" s="92">
        <f t="shared" si="1305"/>
        <v>0</v>
      </c>
      <c r="T2052" s="93">
        <f t="shared" si="1299"/>
        <v>0</v>
      </c>
      <c r="U2052" s="95">
        <f t="shared" si="1294"/>
        <v>0</v>
      </c>
      <c r="V2052" s="94"/>
      <c r="W2052" s="96" t="str">
        <f>IF(U2050&gt;0,"xx",IF(P2050&gt;0,"xy",""))</f>
        <v/>
      </c>
      <c r="X2052" s="580" t="str">
        <f t="shared" si="1310"/>
        <v/>
      </c>
      <c r="Y2052" s="580" t="str">
        <f t="shared" si="1307"/>
        <v/>
      </c>
      <c r="Z2052" s="580" t="str">
        <f t="shared" si="1303"/>
        <v/>
      </c>
    </row>
    <row r="2053" spans="1:26" hidden="1" x14ac:dyDescent="0.2">
      <c r="A2053" s="97" t="s">
        <v>165</v>
      </c>
      <c r="B2053" s="1031" t="s">
        <v>165</v>
      </c>
      <c r="C2053" s="978"/>
      <c r="D2053" s="595" t="s">
        <v>366</v>
      </c>
      <c r="E2053" s="596"/>
      <c r="F2053" s="671">
        <v>20</v>
      </c>
      <c r="G2053" s="597">
        <v>1.65</v>
      </c>
      <c r="H2053" s="682">
        <f>IF(F2053=0,0,IF(F2053&lt;=30,(0.7*F2053+1.45)*G2053,((0.7*30+1.45)+0.58*(F2053-30))*G2053))</f>
        <v>25.492499999999996</v>
      </c>
      <c r="I2053" s="592"/>
      <c r="J2053" s="592" t="str">
        <f t="shared" si="1318"/>
        <v/>
      </c>
      <c r="K2053" s="593">
        <f t="shared" si="1295"/>
        <v>0</v>
      </c>
      <c r="L2053" s="594"/>
      <c r="M2053" s="92"/>
      <c r="N2053" s="92"/>
      <c r="O2053" s="93">
        <f t="shared" si="1296"/>
        <v>0</v>
      </c>
      <c r="P2053" s="93">
        <f t="shared" si="1297"/>
        <v>0</v>
      </c>
      <c r="Q2053" s="94"/>
      <c r="R2053" s="92">
        <f t="shared" si="1305"/>
        <v>0</v>
      </c>
      <c r="S2053" s="92">
        <f t="shared" si="1305"/>
        <v>0</v>
      </c>
      <c r="T2053" s="93">
        <f t="shared" si="1299"/>
        <v>0</v>
      </c>
      <c r="U2053" s="95">
        <f t="shared" si="1294"/>
        <v>0</v>
      </c>
      <c r="V2053" s="94"/>
      <c r="W2053" s="96" t="str">
        <f>IF(U2050&gt;0,"xx",IF(P2050&gt;0,"xy",""))</f>
        <v/>
      </c>
      <c r="X2053" s="580" t="str">
        <f t="shared" si="1310"/>
        <v/>
      </c>
      <c r="Y2053" s="580" t="str">
        <f t="shared" si="1307"/>
        <v/>
      </c>
      <c r="Z2053" s="580" t="str">
        <f t="shared" si="1303"/>
        <v/>
      </c>
    </row>
    <row r="2054" spans="1:26" hidden="1" x14ac:dyDescent="0.2">
      <c r="A2054" s="1008">
        <v>611400</v>
      </c>
      <c r="B2054" s="1010" t="s">
        <v>2221</v>
      </c>
      <c r="C2054" s="978" t="s">
        <v>212</v>
      </c>
      <c r="D2054" s="595" t="s">
        <v>409</v>
      </c>
      <c r="E2054" s="596"/>
      <c r="F2054" s="671"/>
      <c r="G2054" s="597"/>
      <c r="H2054" s="682">
        <f>SUM(H2055:H2057)</f>
        <v>38.427785999999998</v>
      </c>
      <c r="I2054" s="592">
        <v>1679.046</v>
      </c>
      <c r="J2054" s="592">
        <f t="shared" ref="J2054" si="1319">IF(ISBLANK(I2054),"",SUM(H2054:I2054))</f>
        <v>1717.473786</v>
      </c>
      <c r="K2054" s="593">
        <f t="shared" si="1295"/>
        <v>2090.34</v>
      </c>
      <c r="L2054" s="594" t="s">
        <v>19</v>
      </c>
      <c r="M2054" s="92"/>
      <c r="N2054" s="92"/>
      <c r="O2054" s="93">
        <f t="shared" si="1296"/>
        <v>0</v>
      </c>
      <c r="P2054" s="93">
        <f t="shared" si="1297"/>
        <v>0</v>
      </c>
      <c r="Q2054" s="94"/>
      <c r="R2054" s="92">
        <f t="shared" si="1305"/>
        <v>0</v>
      </c>
      <c r="S2054" s="92">
        <f t="shared" si="1305"/>
        <v>0</v>
      </c>
      <c r="T2054" s="93">
        <f t="shared" si="1299"/>
        <v>0</v>
      </c>
      <c r="U2054" s="95">
        <f t="shared" si="1294"/>
        <v>0</v>
      </c>
      <c r="V2054" s="94"/>
      <c r="X2054" s="580" t="str">
        <f t="shared" si="1310"/>
        <v/>
      </c>
      <c r="Y2054" s="580" t="str">
        <f t="shared" si="1307"/>
        <v/>
      </c>
      <c r="Z2054" s="580" t="str">
        <f t="shared" si="1303"/>
        <v/>
      </c>
    </row>
    <row r="2055" spans="1:26" hidden="1" x14ac:dyDescent="0.2">
      <c r="A2055" s="97" t="s">
        <v>165</v>
      </c>
      <c r="B2055" s="1031" t="s">
        <v>165</v>
      </c>
      <c r="C2055" s="978"/>
      <c r="D2055" s="595" t="s">
        <v>218</v>
      </c>
      <c r="E2055" s="596"/>
      <c r="F2055" s="671">
        <v>500</v>
      </c>
      <c r="G2055" s="597">
        <v>9.1999999999999998E-3</v>
      </c>
      <c r="H2055" s="682">
        <f>IF(F2055&lt;=30,(0.51*F2055+4.28)*G2055,((0.51*30+4.28)+0.42*(F2055-30))*G2055)</f>
        <v>1.9962160000000002</v>
      </c>
      <c r="I2055" s="592"/>
      <c r="J2055" s="592"/>
      <c r="K2055" s="593">
        <f t="shared" si="1295"/>
        <v>0</v>
      </c>
      <c r="L2055" s="594"/>
      <c r="M2055" s="92"/>
      <c r="N2055" s="92"/>
      <c r="O2055" s="93">
        <f t="shared" si="1296"/>
        <v>0</v>
      </c>
      <c r="P2055" s="93">
        <f t="shared" si="1297"/>
        <v>0</v>
      </c>
      <c r="Q2055" s="94"/>
      <c r="R2055" s="92">
        <f t="shared" si="1305"/>
        <v>0</v>
      </c>
      <c r="S2055" s="92">
        <f t="shared" si="1305"/>
        <v>0</v>
      </c>
      <c r="T2055" s="93">
        <f t="shared" si="1299"/>
        <v>0</v>
      </c>
      <c r="U2055" s="95">
        <f t="shared" si="1294"/>
        <v>0</v>
      </c>
      <c r="V2055" s="94"/>
      <c r="W2055" s="96" t="str">
        <f>IF(U2054&gt;0,"xx",IF(P2054&gt;0,"xy",""))</f>
        <v/>
      </c>
      <c r="X2055" s="580" t="str">
        <f t="shared" si="1310"/>
        <v/>
      </c>
      <c r="Y2055" s="580" t="str">
        <f t="shared" si="1307"/>
        <v/>
      </c>
      <c r="Z2055" s="580" t="str">
        <f t="shared" si="1303"/>
        <v/>
      </c>
    </row>
    <row r="2056" spans="1:26" hidden="1" x14ac:dyDescent="0.2">
      <c r="A2056" s="97" t="s">
        <v>165</v>
      </c>
      <c r="B2056" s="1031" t="s">
        <v>165</v>
      </c>
      <c r="C2056" s="978"/>
      <c r="D2056" s="595" t="s">
        <v>257</v>
      </c>
      <c r="E2056" s="596"/>
      <c r="F2056" s="671">
        <v>180</v>
      </c>
      <c r="G2056" s="597">
        <v>4.7899999999999998E-2</v>
      </c>
      <c r="H2056" s="682">
        <f>IF(F2056=0,0,IF(F2056&lt;=30,(0.7*F2056+1.45)*G2056,((0.7*30+1.45)+0.58*(F2056-30))*G2056))</f>
        <v>5.2426550000000001</v>
      </c>
      <c r="I2056" s="592"/>
      <c r="J2056" s="592"/>
      <c r="K2056" s="593">
        <f t="shared" si="1295"/>
        <v>0</v>
      </c>
      <c r="L2056" s="594"/>
      <c r="M2056" s="92"/>
      <c r="N2056" s="92"/>
      <c r="O2056" s="93">
        <f t="shared" si="1296"/>
        <v>0</v>
      </c>
      <c r="P2056" s="93">
        <f t="shared" si="1297"/>
        <v>0</v>
      </c>
      <c r="Q2056" s="94"/>
      <c r="R2056" s="92">
        <f t="shared" si="1305"/>
        <v>0</v>
      </c>
      <c r="S2056" s="92">
        <f t="shared" si="1305"/>
        <v>0</v>
      </c>
      <c r="T2056" s="93">
        <f t="shared" si="1299"/>
        <v>0</v>
      </c>
      <c r="U2056" s="95">
        <f t="shared" si="1294"/>
        <v>0</v>
      </c>
      <c r="V2056" s="94"/>
      <c r="W2056" s="96" t="str">
        <f>IF(U2054&gt;0,"xx",IF(P2054&gt;0,"xy",""))</f>
        <v/>
      </c>
      <c r="X2056" s="580" t="str">
        <f t="shared" si="1310"/>
        <v/>
      </c>
      <c r="Y2056" s="580" t="str">
        <f t="shared" si="1307"/>
        <v/>
      </c>
      <c r="Z2056" s="580" t="str">
        <f t="shared" si="1303"/>
        <v/>
      </c>
    </row>
    <row r="2057" spans="1:26" hidden="1" x14ac:dyDescent="0.2">
      <c r="A2057" s="97" t="s">
        <v>165</v>
      </c>
      <c r="B2057" s="1031" t="s">
        <v>165</v>
      </c>
      <c r="C2057" s="978"/>
      <c r="D2057" s="595" t="s">
        <v>366</v>
      </c>
      <c r="E2057" s="596"/>
      <c r="F2057" s="671">
        <v>20</v>
      </c>
      <c r="G2057" s="597">
        <v>2.0186999999999999</v>
      </c>
      <c r="H2057" s="682">
        <f>IF(F2057=0,0,IF(F2057&lt;=30,(0.7*F2057+1.45)*G2057,((0.7*30+1.45)+0.58*(F2057-30))*G2057))</f>
        <v>31.188914999999998</v>
      </c>
      <c r="I2057" s="592"/>
      <c r="J2057" s="592"/>
      <c r="K2057" s="593">
        <f t="shared" si="1295"/>
        <v>0</v>
      </c>
      <c r="L2057" s="594"/>
      <c r="M2057" s="92"/>
      <c r="N2057" s="92"/>
      <c r="O2057" s="93">
        <f t="shared" si="1296"/>
        <v>0</v>
      </c>
      <c r="P2057" s="93">
        <f t="shared" si="1297"/>
        <v>0</v>
      </c>
      <c r="Q2057" s="94"/>
      <c r="R2057" s="92">
        <f t="shared" si="1305"/>
        <v>0</v>
      </c>
      <c r="S2057" s="92">
        <f t="shared" si="1305"/>
        <v>0</v>
      </c>
      <c r="T2057" s="93">
        <f t="shared" si="1299"/>
        <v>0</v>
      </c>
      <c r="U2057" s="95">
        <f t="shared" si="1294"/>
        <v>0</v>
      </c>
      <c r="V2057" s="94"/>
      <c r="W2057" s="96" t="str">
        <f>IF(U2054&gt;0,"xx",IF(P2054&gt;0,"xy",""))</f>
        <v/>
      </c>
      <c r="X2057" s="580" t="str">
        <f t="shared" si="1310"/>
        <v/>
      </c>
      <c r="Y2057" s="580" t="str">
        <f t="shared" si="1307"/>
        <v/>
      </c>
      <c r="Z2057" s="580" t="str">
        <f t="shared" si="1303"/>
        <v/>
      </c>
    </row>
    <row r="2058" spans="1:26" hidden="1" x14ac:dyDescent="0.2">
      <c r="A2058" s="1008">
        <v>611600</v>
      </c>
      <c r="B2058" s="1010" t="s">
        <v>2223</v>
      </c>
      <c r="C2058" s="978" t="s">
        <v>212</v>
      </c>
      <c r="D2058" s="595" t="s">
        <v>410</v>
      </c>
      <c r="E2058" s="596"/>
      <c r="F2058" s="671"/>
      <c r="G2058" s="597"/>
      <c r="H2058" s="682">
        <f>SUM(H2059:H2061)</f>
        <v>40.838485999999996</v>
      </c>
      <c r="I2058" s="592">
        <v>2599.12</v>
      </c>
      <c r="J2058" s="592">
        <f t="shared" ref="J2058" si="1320">IF(ISBLANK(I2058),"",SUM(H2058:I2058))</f>
        <v>2639.958486</v>
      </c>
      <c r="K2058" s="593">
        <f t="shared" si="1295"/>
        <v>3213.09</v>
      </c>
      <c r="L2058" s="594" t="s">
        <v>19</v>
      </c>
      <c r="M2058" s="92"/>
      <c r="N2058" s="92"/>
      <c r="O2058" s="93">
        <f t="shared" si="1296"/>
        <v>0</v>
      </c>
      <c r="P2058" s="93">
        <f t="shared" si="1297"/>
        <v>0</v>
      </c>
      <c r="Q2058" s="94"/>
      <c r="R2058" s="92">
        <f t="shared" si="1305"/>
        <v>0</v>
      </c>
      <c r="S2058" s="92">
        <f t="shared" si="1305"/>
        <v>0</v>
      </c>
      <c r="T2058" s="93">
        <f t="shared" si="1299"/>
        <v>0</v>
      </c>
      <c r="U2058" s="95">
        <f t="shared" si="1294"/>
        <v>0</v>
      </c>
      <c r="V2058" s="94"/>
      <c r="X2058" s="580" t="str">
        <f t="shared" si="1310"/>
        <v/>
      </c>
      <c r="Y2058" s="580" t="str">
        <f t="shared" si="1307"/>
        <v/>
      </c>
      <c r="Z2058" s="580" t="str">
        <f t="shared" si="1303"/>
        <v/>
      </c>
    </row>
    <row r="2059" spans="1:26" hidden="1" x14ac:dyDescent="0.2">
      <c r="A2059" s="97" t="s">
        <v>165</v>
      </c>
      <c r="B2059" s="1031" t="s">
        <v>165</v>
      </c>
      <c r="C2059" s="978"/>
      <c r="D2059" s="595" t="s">
        <v>218</v>
      </c>
      <c r="E2059" s="596"/>
      <c r="F2059" s="671">
        <v>500</v>
      </c>
      <c r="G2059" s="597">
        <v>9.7000000000000003E-3</v>
      </c>
      <c r="H2059" s="682">
        <f>IF(F2059&lt;=30,(0.51*F2059+4.28)*G2059,((0.51*30+4.28)+0.42*(F2059-30))*G2059)</f>
        <v>2.1047060000000002</v>
      </c>
      <c r="I2059" s="592"/>
      <c r="J2059" s="592"/>
      <c r="K2059" s="593">
        <f t="shared" si="1295"/>
        <v>0</v>
      </c>
      <c r="L2059" s="594"/>
      <c r="M2059" s="92"/>
      <c r="N2059" s="92"/>
      <c r="O2059" s="93">
        <f t="shared" si="1296"/>
        <v>0</v>
      </c>
      <c r="P2059" s="93">
        <f t="shared" si="1297"/>
        <v>0</v>
      </c>
      <c r="Q2059" s="94"/>
      <c r="R2059" s="92">
        <f t="shared" si="1305"/>
        <v>0</v>
      </c>
      <c r="S2059" s="92">
        <f t="shared" si="1305"/>
        <v>0</v>
      </c>
      <c r="T2059" s="93">
        <f t="shared" si="1299"/>
        <v>0</v>
      </c>
      <c r="U2059" s="95">
        <f t="shared" si="1294"/>
        <v>0</v>
      </c>
      <c r="V2059" s="94"/>
      <c r="W2059" s="96" t="str">
        <f>IF(U2058&gt;0,"xx",IF(P2058&gt;0,"xy",""))</f>
        <v/>
      </c>
      <c r="X2059" s="580" t="str">
        <f t="shared" si="1310"/>
        <v/>
      </c>
      <c r="Y2059" s="580" t="str">
        <f t="shared" si="1307"/>
        <v/>
      </c>
      <c r="Z2059" s="580" t="str">
        <f t="shared" si="1303"/>
        <v/>
      </c>
    </row>
    <row r="2060" spans="1:26" hidden="1" x14ac:dyDescent="0.2">
      <c r="A2060" s="97" t="s">
        <v>165</v>
      </c>
      <c r="B2060" s="1031" t="s">
        <v>165</v>
      </c>
      <c r="C2060" s="978"/>
      <c r="D2060" s="595" t="s">
        <v>257</v>
      </c>
      <c r="E2060" s="596"/>
      <c r="F2060" s="671">
        <v>180</v>
      </c>
      <c r="G2060" s="597">
        <v>5.04E-2</v>
      </c>
      <c r="H2060" s="682">
        <f>IF(F2060=0,0,IF(F2060&lt;=30,(0.7*F2060+1.45)*G2060,((0.7*30+1.45)+0.58*(F2060-30))*G2060))</f>
        <v>5.5162800000000001</v>
      </c>
      <c r="I2060" s="592"/>
      <c r="J2060" s="592"/>
      <c r="K2060" s="593">
        <f t="shared" si="1295"/>
        <v>0</v>
      </c>
      <c r="L2060" s="594"/>
      <c r="M2060" s="92"/>
      <c r="N2060" s="92"/>
      <c r="O2060" s="93">
        <f t="shared" si="1296"/>
        <v>0</v>
      </c>
      <c r="P2060" s="93">
        <f t="shared" si="1297"/>
        <v>0</v>
      </c>
      <c r="Q2060" s="94"/>
      <c r="R2060" s="92">
        <f t="shared" si="1305"/>
        <v>0</v>
      </c>
      <c r="S2060" s="92">
        <f t="shared" si="1305"/>
        <v>0</v>
      </c>
      <c r="T2060" s="93">
        <f t="shared" si="1299"/>
        <v>0</v>
      </c>
      <c r="U2060" s="95">
        <f t="shared" ref="U2060:U2142" si="1321">IF(ISBLANK(R2060),0,ROUND(R2060*S2060,2))</f>
        <v>0</v>
      </c>
      <c r="V2060" s="94"/>
      <c r="W2060" s="96" t="str">
        <f>IF(U2058&gt;0,"xx",IF(P2058&gt;0,"xy",""))</f>
        <v/>
      </c>
      <c r="X2060" s="580" t="str">
        <f t="shared" si="1310"/>
        <v/>
      </c>
      <c r="Y2060" s="580" t="str">
        <f t="shared" si="1307"/>
        <v/>
      </c>
      <c r="Z2060" s="580" t="str">
        <f t="shared" si="1303"/>
        <v/>
      </c>
    </row>
    <row r="2061" spans="1:26" hidden="1" x14ac:dyDescent="0.2">
      <c r="A2061" s="97" t="s">
        <v>165</v>
      </c>
      <c r="B2061" s="1031" t="s">
        <v>165</v>
      </c>
      <c r="C2061" s="978"/>
      <c r="D2061" s="595" t="s">
        <v>366</v>
      </c>
      <c r="E2061" s="596"/>
      <c r="F2061" s="671">
        <v>20</v>
      </c>
      <c r="G2061" s="597">
        <v>2.15</v>
      </c>
      <c r="H2061" s="682">
        <f>IF(F2061=0,0,IF(F2061&lt;=30,(0.7*F2061+1.45)*G2061,((0.7*30+1.45)+0.58*(F2061-30))*G2061))</f>
        <v>33.217499999999994</v>
      </c>
      <c r="I2061" s="592"/>
      <c r="J2061" s="592"/>
      <c r="K2061" s="593">
        <f t="shared" ref="K2061:K2124" si="1322">IF(ISBLANK(I2061),0,ROUND(J2061*(1+$F$10)*(1+$F$11*E2061),2))</f>
        <v>0</v>
      </c>
      <c r="L2061" s="594"/>
      <c r="M2061" s="92"/>
      <c r="N2061" s="92"/>
      <c r="O2061" s="93">
        <f t="shared" ref="O2061:O2146" si="1323">IF(ISBLANK(M2061),0,ROUND(K2061*M2061,2))</f>
        <v>0</v>
      </c>
      <c r="P2061" s="93">
        <f t="shared" ref="P2061:P2146" si="1324">IF(ISBLANK(N2061),0,ROUND(M2061*N2061,2))</f>
        <v>0</v>
      </c>
      <c r="Q2061" s="94"/>
      <c r="R2061" s="92">
        <f t="shared" si="1305"/>
        <v>0</v>
      </c>
      <c r="S2061" s="92">
        <f t="shared" si="1305"/>
        <v>0</v>
      </c>
      <c r="T2061" s="93">
        <f t="shared" ref="T2061:T2146" si="1325">IF(ISBLANK(R2061),0,ROUND(K2061*R2061,2))</f>
        <v>0</v>
      </c>
      <c r="U2061" s="95">
        <f t="shared" si="1321"/>
        <v>0</v>
      </c>
      <c r="V2061" s="94"/>
      <c r="W2061" s="96" t="str">
        <f>IF(U2058&gt;0,"xx",IF(P2058&gt;0,"xy",""))</f>
        <v/>
      </c>
      <c r="X2061" s="580" t="str">
        <f t="shared" si="1310"/>
        <v/>
      </c>
      <c r="Y2061" s="580" t="str">
        <f t="shared" si="1307"/>
        <v/>
      </c>
      <c r="Z2061" s="580" t="str">
        <f t="shared" si="1303"/>
        <v/>
      </c>
    </row>
    <row r="2062" spans="1:26" hidden="1" x14ac:dyDescent="0.2">
      <c r="A2062" s="1008">
        <v>610500</v>
      </c>
      <c r="B2062" s="1010">
        <v>610500</v>
      </c>
      <c r="C2062" s="978" t="s">
        <v>212</v>
      </c>
      <c r="D2062" s="595" t="s">
        <v>411</v>
      </c>
      <c r="E2062" s="596"/>
      <c r="F2062" s="671"/>
      <c r="G2062" s="597"/>
      <c r="H2062" s="682">
        <f>SUM(H2063:H2066)</f>
        <v>18.596458000000002</v>
      </c>
      <c r="I2062" s="592">
        <v>362.06</v>
      </c>
      <c r="J2062" s="592">
        <f t="shared" ref="J2062" si="1326">IF(ISBLANK(I2062),"",SUM(H2062:I2062))</f>
        <v>380.65645799999999</v>
      </c>
      <c r="K2062" s="593">
        <f t="shared" si="1322"/>
        <v>463.3</v>
      </c>
      <c r="L2062" s="594" t="s">
        <v>19</v>
      </c>
      <c r="M2062" s="92"/>
      <c r="N2062" s="92"/>
      <c r="O2062" s="93">
        <f t="shared" si="1323"/>
        <v>0</v>
      </c>
      <c r="P2062" s="93">
        <f t="shared" si="1324"/>
        <v>0</v>
      </c>
      <c r="Q2062" s="94"/>
      <c r="R2062" s="92">
        <f t="shared" si="1305"/>
        <v>0</v>
      </c>
      <c r="S2062" s="92">
        <f t="shared" si="1305"/>
        <v>0</v>
      </c>
      <c r="T2062" s="93">
        <f t="shared" si="1325"/>
        <v>0</v>
      </c>
      <c r="U2062" s="95">
        <f t="shared" si="1321"/>
        <v>0</v>
      </c>
      <c r="V2062" s="94"/>
      <c r="X2062" s="580" t="str">
        <f t="shared" si="1310"/>
        <v/>
      </c>
      <c r="Y2062" s="580" t="str">
        <f t="shared" si="1307"/>
        <v/>
      </c>
      <c r="Z2062" s="580" t="str">
        <f t="shared" si="1303"/>
        <v/>
      </c>
    </row>
    <row r="2063" spans="1:26" hidden="1" x14ac:dyDescent="0.2">
      <c r="A2063" s="97" t="s">
        <v>165</v>
      </c>
      <c r="B2063" s="1031" t="s">
        <v>165</v>
      </c>
      <c r="C2063" s="978"/>
      <c r="D2063" s="595" t="s">
        <v>218</v>
      </c>
      <c r="E2063" s="596"/>
      <c r="F2063" s="671">
        <v>500</v>
      </c>
      <c r="G2063" s="597">
        <v>2.2599999999999999E-2</v>
      </c>
      <c r="H2063" s="682">
        <f>IF(F2063&lt;=30,(0.51*F2063+4.28)*G2063,((0.51*30+4.28)+0.42*(F2063-30))*G2063)</f>
        <v>4.9037480000000002</v>
      </c>
      <c r="I2063" s="592"/>
      <c r="J2063" s="592"/>
      <c r="K2063" s="593">
        <f t="shared" si="1322"/>
        <v>0</v>
      </c>
      <c r="L2063" s="594"/>
      <c r="M2063" s="92"/>
      <c r="N2063" s="92"/>
      <c r="O2063" s="93">
        <f t="shared" si="1323"/>
        <v>0</v>
      </c>
      <c r="P2063" s="93">
        <f t="shared" si="1324"/>
        <v>0</v>
      </c>
      <c r="Q2063" s="94"/>
      <c r="R2063" s="92">
        <f t="shared" si="1305"/>
        <v>0</v>
      </c>
      <c r="S2063" s="92">
        <f t="shared" si="1305"/>
        <v>0</v>
      </c>
      <c r="T2063" s="93">
        <f t="shared" si="1325"/>
        <v>0</v>
      </c>
      <c r="U2063" s="95">
        <f t="shared" si="1321"/>
        <v>0</v>
      </c>
      <c r="V2063" s="94"/>
      <c r="W2063" s="96" t="str">
        <f>IF(U2062&gt;0,"xx",IF(P2062&gt;0,"xy",""))</f>
        <v/>
      </c>
      <c r="X2063" s="580" t="str">
        <f t="shared" si="1310"/>
        <v/>
      </c>
      <c r="Y2063" s="580" t="str">
        <f t="shared" si="1307"/>
        <v/>
      </c>
      <c r="Z2063" s="580" t="str">
        <f t="shared" si="1303"/>
        <v/>
      </c>
    </row>
    <row r="2064" spans="1:26" hidden="1" x14ac:dyDescent="0.2">
      <c r="A2064" s="97" t="s">
        <v>165</v>
      </c>
      <c r="B2064" s="1031" t="s">
        <v>165</v>
      </c>
      <c r="C2064" s="978"/>
      <c r="D2064" s="595" t="s">
        <v>257</v>
      </c>
      <c r="E2064" s="596"/>
      <c r="F2064" s="671">
        <v>180</v>
      </c>
      <c r="G2064" s="597">
        <v>8.3900000000000002E-2</v>
      </c>
      <c r="H2064" s="682">
        <f>IF(F2064=0,0,IF(F2064&lt;=30,(0.7*F2064+1.45)*G2064,((0.7*30+1.45)+0.58*(F2064-30))*G2064))</f>
        <v>9.182855</v>
      </c>
      <c r="I2064" s="592"/>
      <c r="J2064" s="592"/>
      <c r="K2064" s="593">
        <f t="shared" si="1322"/>
        <v>0</v>
      </c>
      <c r="L2064" s="594"/>
      <c r="M2064" s="92"/>
      <c r="N2064" s="92"/>
      <c r="O2064" s="93">
        <f t="shared" si="1323"/>
        <v>0</v>
      </c>
      <c r="P2064" s="93">
        <f t="shared" si="1324"/>
        <v>0</v>
      </c>
      <c r="Q2064" s="94"/>
      <c r="R2064" s="92">
        <f t="shared" si="1305"/>
        <v>0</v>
      </c>
      <c r="S2064" s="92">
        <f t="shared" si="1305"/>
        <v>0</v>
      </c>
      <c r="T2064" s="93">
        <f t="shared" si="1325"/>
        <v>0</v>
      </c>
      <c r="U2064" s="95">
        <f t="shared" si="1321"/>
        <v>0</v>
      </c>
      <c r="V2064" s="94"/>
      <c r="W2064" s="96" t="str">
        <f>IF(U2062&gt;0,"xx",IF(P2062&gt;0,"xy",""))</f>
        <v/>
      </c>
      <c r="X2064" s="580" t="str">
        <f t="shared" si="1310"/>
        <v/>
      </c>
      <c r="Y2064" s="580" t="str">
        <f t="shared" si="1307"/>
        <v/>
      </c>
      <c r="Z2064" s="580" t="str">
        <f t="shared" si="1303"/>
        <v/>
      </c>
    </row>
    <row r="2065" spans="1:26" hidden="1" x14ac:dyDescent="0.2">
      <c r="A2065" s="97" t="s">
        <v>165</v>
      </c>
      <c r="B2065" s="1031" t="s">
        <v>165</v>
      </c>
      <c r="C2065" s="978"/>
      <c r="D2065" s="595" t="s">
        <v>261</v>
      </c>
      <c r="E2065" s="596"/>
      <c r="F2065" s="671">
        <v>20</v>
      </c>
      <c r="G2065" s="597">
        <v>0.13490000000000002</v>
      </c>
      <c r="H2065" s="682">
        <f>IF(F2065=0,0,IF(F2065&lt;=30,(0.7*F2065+1.45)*G2065,((0.7*30+1.45)+0.58*(F2065-30))*G2065))</f>
        <v>2.0842050000000003</v>
      </c>
      <c r="I2065" s="592"/>
      <c r="J2065" s="592"/>
      <c r="K2065" s="593">
        <f t="shared" si="1322"/>
        <v>0</v>
      </c>
      <c r="L2065" s="594"/>
      <c r="M2065" s="92"/>
      <c r="N2065" s="92"/>
      <c r="O2065" s="93">
        <f t="shared" si="1323"/>
        <v>0</v>
      </c>
      <c r="P2065" s="93">
        <f t="shared" si="1324"/>
        <v>0</v>
      </c>
      <c r="Q2065" s="94"/>
      <c r="R2065" s="92">
        <f t="shared" si="1305"/>
        <v>0</v>
      </c>
      <c r="S2065" s="92">
        <f t="shared" si="1305"/>
        <v>0</v>
      </c>
      <c r="T2065" s="93">
        <f t="shared" si="1325"/>
        <v>0</v>
      </c>
      <c r="U2065" s="95">
        <f t="shared" si="1321"/>
        <v>0</v>
      </c>
      <c r="V2065" s="94"/>
      <c r="W2065" s="96" t="str">
        <f>IF(U2062&gt;0,"xx",IF(P2062&gt;0,"xy",""))</f>
        <v/>
      </c>
      <c r="X2065" s="580" t="str">
        <f t="shared" si="1310"/>
        <v/>
      </c>
      <c r="Y2065" s="580" t="str">
        <f t="shared" si="1307"/>
        <v/>
      </c>
      <c r="Z2065" s="580" t="str">
        <f t="shared" si="1303"/>
        <v/>
      </c>
    </row>
    <row r="2066" spans="1:26" hidden="1" x14ac:dyDescent="0.2">
      <c r="A2066" s="97" t="s">
        <v>165</v>
      </c>
      <c r="B2066" s="1031" t="s">
        <v>165</v>
      </c>
      <c r="C2066" s="978"/>
      <c r="D2066" s="595" t="s">
        <v>366</v>
      </c>
      <c r="E2066" s="596"/>
      <c r="F2066" s="671">
        <v>20</v>
      </c>
      <c r="G2066" s="597">
        <v>0.157</v>
      </c>
      <c r="H2066" s="682">
        <f>IF(F2066=0,0,IF(F2066&lt;=30,(0.7*F2066+1.45)*G2066,((0.7*30+1.45)+0.58*(F2066-30))*G2066))</f>
        <v>2.4256500000000001</v>
      </c>
      <c r="I2066" s="592"/>
      <c r="J2066" s="592"/>
      <c r="K2066" s="593">
        <f t="shared" si="1322"/>
        <v>0</v>
      </c>
      <c r="L2066" s="594"/>
      <c r="M2066" s="92"/>
      <c r="N2066" s="92"/>
      <c r="O2066" s="93">
        <f t="shared" si="1323"/>
        <v>0</v>
      </c>
      <c r="P2066" s="93">
        <f t="shared" si="1324"/>
        <v>0</v>
      </c>
      <c r="Q2066" s="94"/>
      <c r="R2066" s="92">
        <f t="shared" si="1305"/>
        <v>0</v>
      </c>
      <c r="S2066" s="92">
        <f t="shared" si="1305"/>
        <v>0</v>
      </c>
      <c r="T2066" s="93">
        <f t="shared" si="1325"/>
        <v>0</v>
      </c>
      <c r="U2066" s="95">
        <f t="shared" si="1321"/>
        <v>0</v>
      </c>
      <c r="V2066" s="94"/>
      <c r="W2066" s="96" t="str">
        <f>IF(U2062&gt;0,"xx",IF(P2062&gt;0,"xy",""))</f>
        <v/>
      </c>
      <c r="X2066" s="580" t="str">
        <f t="shared" si="1310"/>
        <v/>
      </c>
      <c r="Y2066" s="580" t="str">
        <f t="shared" si="1307"/>
        <v/>
      </c>
      <c r="Z2066" s="580" t="str">
        <f t="shared" si="1303"/>
        <v/>
      </c>
    </row>
    <row r="2067" spans="1:26" hidden="1" x14ac:dyDescent="0.2">
      <c r="A2067" s="1008">
        <v>610700</v>
      </c>
      <c r="B2067" s="1010" t="s">
        <v>2208</v>
      </c>
      <c r="C2067" s="978" t="s">
        <v>212</v>
      </c>
      <c r="D2067" s="595" t="s">
        <v>751</v>
      </c>
      <c r="E2067" s="596"/>
      <c r="F2067" s="671"/>
      <c r="G2067" s="597"/>
      <c r="H2067" s="682">
        <f>SUM(H2068:H2071)</f>
        <v>24.247653000000003</v>
      </c>
      <c r="I2067" s="592">
        <v>372.98499999999996</v>
      </c>
      <c r="J2067" s="592">
        <f t="shared" ref="J2067" si="1327">IF(ISBLANK(I2067),"",SUM(H2067:I2067))</f>
        <v>397.23265299999997</v>
      </c>
      <c r="K2067" s="593">
        <f t="shared" si="1322"/>
        <v>483.47</v>
      </c>
      <c r="L2067" s="594" t="s">
        <v>19</v>
      </c>
      <c r="M2067" s="92"/>
      <c r="N2067" s="92"/>
      <c r="O2067" s="93">
        <f t="shared" si="1323"/>
        <v>0</v>
      </c>
      <c r="P2067" s="93">
        <f t="shared" si="1324"/>
        <v>0</v>
      </c>
      <c r="Q2067" s="94"/>
      <c r="R2067" s="92">
        <f t="shared" si="1305"/>
        <v>0</v>
      </c>
      <c r="S2067" s="92">
        <f t="shared" si="1305"/>
        <v>0</v>
      </c>
      <c r="T2067" s="93">
        <f t="shared" si="1325"/>
        <v>0</v>
      </c>
      <c r="U2067" s="95">
        <f t="shared" si="1321"/>
        <v>0</v>
      </c>
      <c r="V2067" s="94"/>
      <c r="X2067" s="580" t="str">
        <f t="shared" si="1310"/>
        <v/>
      </c>
      <c r="Y2067" s="580" t="str">
        <f t="shared" si="1307"/>
        <v/>
      </c>
      <c r="Z2067" s="580" t="str">
        <f t="shared" si="1303"/>
        <v/>
      </c>
    </row>
    <row r="2068" spans="1:26" hidden="1" x14ac:dyDescent="0.2">
      <c r="A2068" s="97" t="s">
        <v>165</v>
      </c>
      <c r="B2068" s="1031" t="s">
        <v>165</v>
      </c>
      <c r="C2068" s="978"/>
      <c r="D2068" s="595" t="s">
        <v>218</v>
      </c>
      <c r="E2068" s="596"/>
      <c r="F2068" s="671">
        <v>500</v>
      </c>
      <c r="G2068" s="597">
        <v>2.86E-2</v>
      </c>
      <c r="H2068" s="682">
        <f>IF(F2068&lt;=30,(0.51*F2068+4.28)*G2068,((0.51*30+4.28)+0.42*(F2068-30))*G2068)</f>
        <v>6.2056280000000008</v>
      </c>
      <c r="I2068" s="592"/>
      <c r="J2068" s="592"/>
      <c r="K2068" s="593">
        <f t="shared" si="1322"/>
        <v>0</v>
      </c>
      <c r="L2068" s="594"/>
      <c r="M2068" s="92"/>
      <c r="N2068" s="92"/>
      <c r="O2068" s="93">
        <f t="shared" si="1323"/>
        <v>0</v>
      </c>
      <c r="P2068" s="93">
        <f t="shared" si="1324"/>
        <v>0</v>
      </c>
      <c r="Q2068" s="94"/>
      <c r="R2068" s="92">
        <f t="shared" si="1305"/>
        <v>0</v>
      </c>
      <c r="S2068" s="92">
        <f t="shared" si="1305"/>
        <v>0</v>
      </c>
      <c r="T2068" s="93">
        <f t="shared" si="1325"/>
        <v>0</v>
      </c>
      <c r="U2068" s="95">
        <f t="shared" si="1321"/>
        <v>0</v>
      </c>
      <c r="V2068" s="94"/>
      <c r="W2068" s="96" t="str">
        <f>IF(U2067&gt;0,"xx",IF(P2067&gt;0,"xy",""))</f>
        <v/>
      </c>
      <c r="X2068" s="580" t="str">
        <f t="shared" si="1310"/>
        <v/>
      </c>
      <c r="Y2068" s="580" t="str">
        <f t="shared" si="1307"/>
        <v/>
      </c>
      <c r="Z2068" s="580" t="str">
        <f t="shared" si="1303"/>
        <v/>
      </c>
    </row>
    <row r="2069" spans="1:26" hidden="1" x14ac:dyDescent="0.2">
      <c r="A2069" s="97" t="s">
        <v>165</v>
      </c>
      <c r="B2069" s="1031" t="s">
        <v>165</v>
      </c>
      <c r="C2069" s="978"/>
      <c r="D2069" s="595" t="s">
        <v>257</v>
      </c>
      <c r="E2069" s="596"/>
      <c r="F2069" s="671">
        <v>180</v>
      </c>
      <c r="G2069" s="597">
        <v>0.10539999999999999</v>
      </c>
      <c r="H2069" s="682">
        <f>IF(F2069=0,0,IF(F2069&lt;=30,(0.7*F2069+1.45)*G2069,((0.7*30+1.45)+0.58*(F2069-30))*G2069))</f>
        <v>11.53603</v>
      </c>
      <c r="I2069" s="592"/>
      <c r="J2069" s="592"/>
      <c r="K2069" s="593">
        <f t="shared" si="1322"/>
        <v>0</v>
      </c>
      <c r="L2069" s="594"/>
      <c r="M2069" s="92"/>
      <c r="N2069" s="92"/>
      <c r="O2069" s="93">
        <f t="shared" si="1323"/>
        <v>0</v>
      </c>
      <c r="P2069" s="93">
        <f t="shared" si="1324"/>
        <v>0</v>
      </c>
      <c r="Q2069" s="94"/>
      <c r="R2069" s="92">
        <f t="shared" si="1305"/>
        <v>0</v>
      </c>
      <c r="S2069" s="92">
        <f t="shared" si="1305"/>
        <v>0</v>
      </c>
      <c r="T2069" s="93">
        <f t="shared" si="1325"/>
        <v>0</v>
      </c>
      <c r="U2069" s="95">
        <f t="shared" si="1321"/>
        <v>0</v>
      </c>
      <c r="V2069" s="94"/>
      <c r="W2069" s="96" t="str">
        <f>IF(U2067&gt;0,"xx",IF(P2067&gt;0,"xy",""))</f>
        <v/>
      </c>
      <c r="X2069" s="580" t="str">
        <f t="shared" si="1310"/>
        <v/>
      </c>
      <c r="Y2069" s="580" t="str">
        <f t="shared" si="1307"/>
        <v/>
      </c>
      <c r="Z2069" s="580" t="str">
        <f t="shared" si="1303"/>
        <v/>
      </c>
    </row>
    <row r="2070" spans="1:26" hidden="1" x14ac:dyDescent="0.2">
      <c r="A2070" s="97" t="s">
        <v>165</v>
      </c>
      <c r="B2070" s="1031" t="s">
        <v>165</v>
      </c>
      <c r="C2070" s="978"/>
      <c r="D2070" s="595" t="s">
        <v>261</v>
      </c>
      <c r="E2070" s="596"/>
      <c r="F2070" s="671">
        <v>20</v>
      </c>
      <c r="G2070" s="597">
        <v>0.1711</v>
      </c>
      <c r="H2070" s="682">
        <f>IF(F2070=0,0,IF(F2070&lt;=30,(0.7*F2070+1.45)*G2070,((0.7*30+1.45)+0.58*(F2070-30))*G2070))</f>
        <v>2.6434949999999997</v>
      </c>
      <c r="I2070" s="592"/>
      <c r="J2070" s="592"/>
      <c r="K2070" s="593">
        <f t="shared" si="1322"/>
        <v>0</v>
      </c>
      <c r="L2070" s="594"/>
      <c r="M2070" s="92"/>
      <c r="N2070" s="92"/>
      <c r="O2070" s="93">
        <f t="shared" si="1323"/>
        <v>0</v>
      </c>
      <c r="P2070" s="93">
        <f t="shared" si="1324"/>
        <v>0</v>
      </c>
      <c r="Q2070" s="94"/>
      <c r="R2070" s="92">
        <f t="shared" si="1305"/>
        <v>0</v>
      </c>
      <c r="S2070" s="92">
        <f t="shared" si="1305"/>
        <v>0</v>
      </c>
      <c r="T2070" s="93">
        <f t="shared" si="1325"/>
        <v>0</v>
      </c>
      <c r="U2070" s="95">
        <f t="shared" si="1321"/>
        <v>0</v>
      </c>
      <c r="V2070" s="94"/>
      <c r="W2070" s="96" t="str">
        <f>IF(U2067&gt;0,"xx",IF(P2067&gt;0,"xy",""))</f>
        <v/>
      </c>
      <c r="X2070" s="580" t="str">
        <f t="shared" si="1310"/>
        <v/>
      </c>
      <c r="Y2070" s="580" t="str">
        <f t="shared" si="1307"/>
        <v/>
      </c>
      <c r="Z2070" s="580" t="str">
        <f t="shared" si="1303"/>
        <v/>
      </c>
    </row>
    <row r="2071" spans="1:26" hidden="1" x14ac:dyDescent="0.2">
      <c r="A2071" s="97" t="s">
        <v>165</v>
      </c>
      <c r="B2071" s="1031" t="s">
        <v>165</v>
      </c>
      <c r="C2071" s="978"/>
      <c r="D2071" s="595" t="s">
        <v>366</v>
      </c>
      <c r="E2071" s="596"/>
      <c r="F2071" s="671">
        <v>20</v>
      </c>
      <c r="G2071" s="597">
        <v>0.25</v>
      </c>
      <c r="H2071" s="682">
        <f>IF(F2071=0,0,IF(F2071&lt;=30,(0.7*F2071+1.45)*G2071,((0.7*30+1.45)+0.58*(F2071-30))*G2071))</f>
        <v>3.8624999999999998</v>
      </c>
      <c r="I2071" s="592"/>
      <c r="J2071" s="592"/>
      <c r="K2071" s="593">
        <f t="shared" si="1322"/>
        <v>0</v>
      </c>
      <c r="L2071" s="594"/>
      <c r="M2071" s="92"/>
      <c r="N2071" s="92"/>
      <c r="O2071" s="93">
        <f t="shared" si="1323"/>
        <v>0</v>
      </c>
      <c r="P2071" s="93">
        <f t="shared" si="1324"/>
        <v>0</v>
      </c>
      <c r="Q2071" s="94"/>
      <c r="R2071" s="92">
        <f t="shared" si="1305"/>
        <v>0</v>
      </c>
      <c r="S2071" s="92">
        <f t="shared" si="1305"/>
        <v>0</v>
      </c>
      <c r="T2071" s="93">
        <f t="shared" si="1325"/>
        <v>0</v>
      </c>
      <c r="U2071" s="95">
        <f t="shared" si="1321"/>
        <v>0</v>
      </c>
      <c r="V2071" s="94"/>
      <c r="W2071" s="96" t="str">
        <f>IF(U2067&gt;0,"xx",IF(P2067&gt;0,"xy",""))</f>
        <v/>
      </c>
      <c r="X2071" s="580" t="str">
        <f t="shared" si="1310"/>
        <v/>
      </c>
      <c r="Y2071" s="580" t="str">
        <f t="shared" si="1307"/>
        <v/>
      </c>
      <c r="Z2071" s="580" t="str">
        <f t="shared" ref="Z2071:Z2134" si="1328">IF(W2071="X","x",IF(U2071&gt;0,"x",""))</f>
        <v/>
      </c>
    </row>
    <row r="2072" spans="1:26" hidden="1" x14ac:dyDescent="0.2">
      <c r="A2072" s="1008">
        <v>610700</v>
      </c>
      <c r="B2072" s="1010" t="s">
        <v>2209</v>
      </c>
      <c r="C2072" s="978" t="s">
        <v>212</v>
      </c>
      <c r="D2072" s="595" t="s">
        <v>412</v>
      </c>
      <c r="E2072" s="596"/>
      <c r="F2072" s="671"/>
      <c r="G2072" s="597"/>
      <c r="H2072" s="682">
        <f>SUM(H2073:H2076)</f>
        <v>28.934700000000003</v>
      </c>
      <c r="I2072" s="592">
        <v>383.90999999999997</v>
      </c>
      <c r="J2072" s="592">
        <f t="shared" ref="J2072" si="1329">IF(ISBLANK(I2072),"",SUM(H2072:I2072))</f>
        <v>412.84469999999999</v>
      </c>
      <c r="K2072" s="593">
        <f t="shared" si="1322"/>
        <v>502.47</v>
      </c>
      <c r="L2072" s="594" t="s">
        <v>19</v>
      </c>
      <c r="M2072" s="92"/>
      <c r="N2072" s="92"/>
      <c r="O2072" s="93">
        <f t="shared" si="1323"/>
        <v>0</v>
      </c>
      <c r="P2072" s="93">
        <f t="shared" si="1324"/>
        <v>0</v>
      </c>
      <c r="Q2072" s="94"/>
      <c r="R2072" s="92">
        <f t="shared" si="1305"/>
        <v>0</v>
      </c>
      <c r="S2072" s="92">
        <f t="shared" si="1305"/>
        <v>0</v>
      </c>
      <c r="T2072" s="93">
        <f t="shared" si="1325"/>
        <v>0</v>
      </c>
      <c r="U2072" s="95">
        <f t="shared" si="1321"/>
        <v>0</v>
      </c>
      <c r="V2072" s="94"/>
      <c r="X2072" s="580" t="str">
        <f t="shared" si="1310"/>
        <v/>
      </c>
      <c r="Y2072" s="580" t="str">
        <f t="shared" si="1307"/>
        <v/>
      </c>
      <c r="Z2072" s="580" t="str">
        <f t="shared" si="1328"/>
        <v/>
      </c>
    </row>
    <row r="2073" spans="1:26" hidden="1" x14ac:dyDescent="0.2">
      <c r="A2073" s="97" t="s">
        <v>165</v>
      </c>
      <c r="B2073" s="1031" t="s">
        <v>165</v>
      </c>
      <c r="C2073" s="978"/>
      <c r="D2073" s="595" t="s">
        <v>218</v>
      </c>
      <c r="E2073" s="596"/>
      <c r="F2073" s="671">
        <v>500</v>
      </c>
      <c r="G2073" s="597">
        <v>3.4500000000000003E-2</v>
      </c>
      <c r="H2073" s="682">
        <f>IF(F2073&lt;=30,(0.51*F2073+4.28)*G2073,((0.51*30+4.28)+0.42*(F2073-30))*G2073)</f>
        <v>7.4858100000000016</v>
      </c>
      <c r="I2073" s="592"/>
      <c r="J2073" s="592"/>
      <c r="K2073" s="593">
        <f t="shared" si="1322"/>
        <v>0</v>
      </c>
      <c r="L2073" s="594"/>
      <c r="M2073" s="92"/>
      <c r="N2073" s="92"/>
      <c r="O2073" s="93">
        <f t="shared" si="1323"/>
        <v>0</v>
      </c>
      <c r="P2073" s="93">
        <f t="shared" si="1324"/>
        <v>0</v>
      </c>
      <c r="Q2073" s="94"/>
      <c r="R2073" s="92">
        <f t="shared" si="1305"/>
        <v>0</v>
      </c>
      <c r="S2073" s="92">
        <f t="shared" si="1305"/>
        <v>0</v>
      </c>
      <c r="T2073" s="93">
        <f t="shared" si="1325"/>
        <v>0</v>
      </c>
      <c r="U2073" s="95">
        <f t="shared" si="1321"/>
        <v>0</v>
      </c>
      <c r="V2073" s="94"/>
      <c r="W2073" s="96" t="str">
        <f>IF(U2072&gt;0,"xx",IF(P2072&gt;0,"xy",""))</f>
        <v/>
      </c>
      <c r="X2073" s="580" t="str">
        <f t="shared" si="1310"/>
        <v/>
      </c>
      <c r="Y2073" s="580" t="str">
        <f t="shared" si="1307"/>
        <v/>
      </c>
      <c r="Z2073" s="580" t="str">
        <f t="shared" si="1328"/>
        <v/>
      </c>
    </row>
    <row r="2074" spans="1:26" hidden="1" x14ac:dyDescent="0.2">
      <c r="A2074" s="97" t="s">
        <v>165</v>
      </c>
      <c r="B2074" s="1031" t="s">
        <v>165</v>
      </c>
      <c r="C2074" s="978"/>
      <c r="D2074" s="595" t="s">
        <v>257</v>
      </c>
      <c r="E2074" s="596"/>
      <c r="F2074" s="671">
        <v>180</v>
      </c>
      <c r="G2074" s="597">
        <v>0.12690000000000001</v>
      </c>
      <c r="H2074" s="682">
        <f>IF(F2074=0,0,IF(F2074&lt;=30,(0.7*F2074+1.45)*G2074,((0.7*30+1.45)+0.58*(F2074-30))*G2074))</f>
        <v>13.889205000000002</v>
      </c>
      <c r="I2074" s="592"/>
      <c r="J2074" s="592"/>
      <c r="K2074" s="593">
        <f t="shared" si="1322"/>
        <v>0</v>
      </c>
      <c r="L2074" s="594"/>
      <c r="M2074" s="92"/>
      <c r="N2074" s="92"/>
      <c r="O2074" s="93">
        <f t="shared" si="1323"/>
        <v>0</v>
      </c>
      <c r="P2074" s="93">
        <f t="shared" si="1324"/>
        <v>0</v>
      </c>
      <c r="Q2074" s="94"/>
      <c r="R2074" s="92">
        <f t="shared" si="1305"/>
        <v>0</v>
      </c>
      <c r="S2074" s="92">
        <f t="shared" si="1305"/>
        <v>0</v>
      </c>
      <c r="T2074" s="93">
        <f t="shared" si="1325"/>
        <v>0</v>
      </c>
      <c r="U2074" s="95">
        <f t="shared" si="1321"/>
        <v>0</v>
      </c>
      <c r="V2074" s="94"/>
      <c r="W2074" s="96" t="str">
        <f>IF(U2072&gt;0,"xx",IF(P2072&gt;0,"xy",""))</f>
        <v/>
      </c>
      <c r="X2074" s="580" t="str">
        <f t="shared" si="1310"/>
        <v/>
      </c>
      <c r="Y2074" s="580" t="str">
        <f t="shared" si="1307"/>
        <v/>
      </c>
      <c r="Z2074" s="580" t="str">
        <f t="shared" si="1328"/>
        <v/>
      </c>
    </row>
    <row r="2075" spans="1:26" hidden="1" x14ac:dyDescent="0.2">
      <c r="A2075" s="97" t="s">
        <v>165</v>
      </c>
      <c r="B2075" s="1031" t="s">
        <v>165</v>
      </c>
      <c r="C2075" s="978"/>
      <c r="D2075" s="595" t="s">
        <v>261</v>
      </c>
      <c r="E2075" s="596"/>
      <c r="F2075" s="671">
        <v>20</v>
      </c>
      <c r="G2075" s="597">
        <v>0.20729999999999998</v>
      </c>
      <c r="H2075" s="682">
        <f>IF(F2075=0,0,IF(F2075&lt;=30,(0.7*F2075+1.45)*G2075,((0.7*30+1.45)+0.58*(F2075-30))*G2075))</f>
        <v>3.2027849999999995</v>
      </c>
      <c r="I2075" s="592"/>
      <c r="J2075" s="592"/>
      <c r="K2075" s="593">
        <f t="shared" si="1322"/>
        <v>0</v>
      </c>
      <c r="L2075" s="594"/>
      <c r="M2075" s="92"/>
      <c r="N2075" s="92"/>
      <c r="O2075" s="93">
        <f t="shared" si="1323"/>
        <v>0</v>
      </c>
      <c r="P2075" s="93">
        <f t="shared" si="1324"/>
        <v>0</v>
      </c>
      <c r="Q2075" s="94"/>
      <c r="R2075" s="92">
        <f t="shared" si="1305"/>
        <v>0</v>
      </c>
      <c r="S2075" s="92">
        <f t="shared" si="1305"/>
        <v>0</v>
      </c>
      <c r="T2075" s="93">
        <f t="shared" si="1325"/>
        <v>0</v>
      </c>
      <c r="U2075" s="95">
        <f t="shared" si="1321"/>
        <v>0</v>
      </c>
      <c r="V2075" s="94"/>
      <c r="W2075" s="96" t="str">
        <f>IF(U2072&gt;0,"xx",IF(P2072&gt;0,"xy",""))</f>
        <v/>
      </c>
      <c r="X2075" s="580" t="str">
        <f t="shared" si="1310"/>
        <v/>
      </c>
      <c r="Y2075" s="580" t="str">
        <f t="shared" si="1307"/>
        <v/>
      </c>
      <c r="Z2075" s="580" t="str">
        <f t="shared" si="1328"/>
        <v/>
      </c>
    </row>
    <row r="2076" spans="1:26" hidden="1" x14ac:dyDescent="0.2">
      <c r="A2076" s="97" t="s">
        <v>165</v>
      </c>
      <c r="B2076" s="1031" t="s">
        <v>165</v>
      </c>
      <c r="C2076" s="978"/>
      <c r="D2076" s="595" t="s">
        <v>366</v>
      </c>
      <c r="E2076" s="596"/>
      <c r="F2076" s="671">
        <v>20</v>
      </c>
      <c r="G2076" s="597">
        <v>0.28199999999999997</v>
      </c>
      <c r="H2076" s="682">
        <f>IF(F2076=0,0,IF(F2076&lt;=30,(0.7*F2076+1.45)*G2076,((0.7*30+1.45)+0.58*(F2076-30))*G2076))</f>
        <v>4.3568999999999996</v>
      </c>
      <c r="I2076" s="592"/>
      <c r="J2076" s="592"/>
      <c r="K2076" s="593">
        <f t="shared" si="1322"/>
        <v>0</v>
      </c>
      <c r="L2076" s="594"/>
      <c r="M2076" s="92"/>
      <c r="N2076" s="92"/>
      <c r="O2076" s="93">
        <f t="shared" si="1323"/>
        <v>0</v>
      </c>
      <c r="P2076" s="93">
        <f t="shared" si="1324"/>
        <v>0</v>
      </c>
      <c r="Q2076" s="94"/>
      <c r="R2076" s="92">
        <f t="shared" si="1305"/>
        <v>0</v>
      </c>
      <c r="S2076" s="92">
        <f t="shared" si="1305"/>
        <v>0</v>
      </c>
      <c r="T2076" s="93">
        <f t="shared" si="1325"/>
        <v>0</v>
      </c>
      <c r="U2076" s="95">
        <f t="shared" si="1321"/>
        <v>0</v>
      </c>
      <c r="V2076" s="94"/>
      <c r="W2076" s="96" t="str">
        <f>IF(U2072&gt;0,"xx",IF(P2072&gt;0,"xy",""))</f>
        <v/>
      </c>
      <c r="X2076" s="580" t="str">
        <f t="shared" si="1310"/>
        <v/>
      </c>
      <c r="Y2076" s="580" t="str">
        <f t="shared" si="1307"/>
        <v/>
      </c>
      <c r="Z2076" s="580" t="str">
        <f t="shared" si="1328"/>
        <v/>
      </c>
    </row>
    <row r="2077" spans="1:26" hidden="1" x14ac:dyDescent="0.2">
      <c r="A2077" s="1008">
        <v>610900</v>
      </c>
      <c r="B2077" s="1010" t="s">
        <v>2210</v>
      </c>
      <c r="C2077" s="978" t="s">
        <v>212</v>
      </c>
      <c r="D2077" s="595" t="s">
        <v>752</v>
      </c>
      <c r="E2077" s="596"/>
      <c r="F2077" s="671"/>
      <c r="G2077" s="597"/>
      <c r="H2077" s="682">
        <f>SUM(H2078:H2081)</f>
        <v>41.776935999999999</v>
      </c>
      <c r="I2077" s="592">
        <v>482.315</v>
      </c>
      <c r="J2077" s="592">
        <f t="shared" ref="J2077" si="1330">IF(ISBLANK(I2077),"",SUM(H2077:I2077))</f>
        <v>524.09193600000003</v>
      </c>
      <c r="K2077" s="593">
        <f t="shared" si="1322"/>
        <v>637.87</v>
      </c>
      <c r="L2077" s="594" t="s">
        <v>19</v>
      </c>
      <c r="M2077" s="92"/>
      <c r="N2077" s="92"/>
      <c r="O2077" s="93">
        <f t="shared" si="1323"/>
        <v>0</v>
      </c>
      <c r="P2077" s="93">
        <f t="shared" si="1324"/>
        <v>0</v>
      </c>
      <c r="Q2077" s="94"/>
      <c r="R2077" s="92">
        <f t="shared" si="1305"/>
        <v>0</v>
      </c>
      <c r="S2077" s="92">
        <f t="shared" si="1305"/>
        <v>0</v>
      </c>
      <c r="T2077" s="93">
        <f t="shared" si="1325"/>
        <v>0</v>
      </c>
      <c r="U2077" s="95">
        <f t="shared" si="1321"/>
        <v>0</v>
      </c>
      <c r="V2077" s="94"/>
      <c r="X2077" s="580" t="str">
        <f t="shared" si="1310"/>
        <v/>
      </c>
      <c r="Y2077" s="580" t="str">
        <f t="shared" si="1307"/>
        <v/>
      </c>
      <c r="Z2077" s="580" t="str">
        <f t="shared" si="1328"/>
        <v/>
      </c>
    </row>
    <row r="2078" spans="1:26" hidden="1" x14ac:dyDescent="0.2">
      <c r="A2078" s="97" t="s">
        <v>165</v>
      </c>
      <c r="B2078" s="1031" t="s">
        <v>165</v>
      </c>
      <c r="C2078" s="978"/>
      <c r="D2078" s="595" t="s">
        <v>218</v>
      </c>
      <c r="E2078" s="596"/>
      <c r="F2078" s="671">
        <v>500</v>
      </c>
      <c r="G2078" s="597">
        <v>4.7199999999999999E-2</v>
      </c>
      <c r="H2078" s="682">
        <f>IF(F2078&lt;=30,(0.51*F2078+4.28)*G2078,((0.51*30+4.28)+0.42*(F2078-30))*G2078)</f>
        <v>10.241456000000001</v>
      </c>
      <c r="I2078" s="592"/>
      <c r="J2078" s="592"/>
      <c r="K2078" s="593">
        <f t="shared" si="1322"/>
        <v>0</v>
      </c>
      <c r="L2078" s="594"/>
      <c r="M2078" s="92"/>
      <c r="N2078" s="92"/>
      <c r="O2078" s="93">
        <f t="shared" si="1323"/>
        <v>0</v>
      </c>
      <c r="P2078" s="93">
        <f t="shared" si="1324"/>
        <v>0</v>
      </c>
      <c r="Q2078" s="94"/>
      <c r="R2078" s="92">
        <f t="shared" si="1305"/>
        <v>0</v>
      </c>
      <c r="S2078" s="92">
        <f t="shared" si="1305"/>
        <v>0</v>
      </c>
      <c r="T2078" s="93">
        <f t="shared" si="1325"/>
        <v>0</v>
      </c>
      <c r="U2078" s="95">
        <f t="shared" si="1321"/>
        <v>0</v>
      </c>
      <c r="V2078" s="94"/>
      <c r="W2078" s="96" t="str">
        <f>IF(U2077&gt;0,"xx",IF(P2077&gt;0,"xy",""))</f>
        <v/>
      </c>
      <c r="X2078" s="580" t="str">
        <f t="shared" si="1310"/>
        <v/>
      </c>
      <c r="Y2078" s="580" t="str">
        <f t="shared" si="1307"/>
        <v/>
      </c>
      <c r="Z2078" s="580" t="str">
        <f t="shared" si="1328"/>
        <v/>
      </c>
    </row>
    <row r="2079" spans="1:26" hidden="1" x14ac:dyDescent="0.2">
      <c r="A2079" s="97" t="s">
        <v>165</v>
      </c>
      <c r="B2079" s="1031" t="s">
        <v>165</v>
      </c>
      <c r="C2079" s="978"/>
      <c r="D2079" s="595" t="s">
        <v>257</v>
      </c>
      <c r="E2079" s="596"/>
      <c r="F2079" s="671">
        <v>180</v>
      </c>
      <c r="G2079" s="597">
        <v>0.17269999999999999</v>
      </c>
      <c r="H2079" s="682">
        <f>IF(F2079=0,0,IF(F2079&lt;=30,(0.7*F2079+1.45)*G2079,((0.7*30+1.45)+0.58*(F2079-30))*G2079))</f>
        <v>18.902014999999999</v>
      </c>
      <c r="I2079" s="592"/>
      <c r="J2079" s="592"/>
      <c r="K2079" s="593">
        <f t="shared" si="1322"/>
        <v>0</v>
      </c>
      <c r="L2079" s="594"/>
      <c r="M2079" s="92"/>
      <c r="N2079" s="92"/>
      <c r="O2079" s="93">
        <f t="shared" si="1323"/>
        <v>0</v>
      </c>
      <c r="P2079" s="93">
        <f t="shared" si="1324"/>
        <v>0</v>
      </c>
      <c r="Q2079" s="94"/>
      <c r="R2079" s="92">
        <f t="shared" si="1305"/>
        <v>0</v>
      </c>
      <c r="S2079" s="92">
        <f t="shared" si="1305"/>
        <v>0</v>
      </c>
      <c r="T2079" s="93">
        <f t="shared" si="1325"/>
        <v>0</v>
      </c>
      <c r="U2079" s="95">
        <f t="shared" si="1321"/>
        <v>0</v>
      </c>
      <c r="V2079" s="94"/>
      <c r="W2079" s="96" t="str">
        <f>IF(U2077&gt;0,"xx",IF(P2077&gt;0,"xy",""))</f>
        <v/>
      </c>
      <c r="X2079" s="580" t="str">
        <f t="shared" si="1310"/>
        <v/>
      </c>
      <c r="Y2079" s="580" t="str">
        <f t="shared" si="1307"/>
        <v/>
      </c>
      <c r="Z2079" s="580" t="str">
        <f t="shared" si="1328"/>
        <v/>
      </c>
    </row>
    <row r="2080" spans="1:26" hidden="1" x14ac:dyDescent="0.2">
      <c r="A2080" s="97" t="s">
        <v>165</v>
      </c>
      <c r="B2080" s="1031" t="s">
        <v>165</v>
      </c>
      <c r="C2080" s="978"/>
      <c r="D2080" s="595" t="s">
        <v>261</v>
      </c>
      <c r="E2080" s="596"/>
      <c r="F2080" s="671">
        <v>20</v>
      </c>
      <c r="G2080" s="597">
        <v>0.28770000000000001</v>
      </c>
      <c r="H2080" s="682">
        <f>IF(F2080=0,0,IF(F2080&lt;=30,(0.7*F2080+1.45)*G2080,((0.7*30+1.45)+0.58*(F2080-30))*G2080))</f>
        <v>4.4449649999999998</v>
      </c>
      <c r="I2080" s="592"/>
      <c r="J2080" s="592"/>
      <c r="K2080" s="593">
        <f t="shared" si="1322"/>
        <v>0</v>
      </c>
      <c r="L2080" s="594"/>
      <c r="M2080" s="92"/>
      <c r="N2080" s="92"/>
      <c r="O2080" s="93">
        <f t="shared" si="1323"/>
        <v>0</v>
      </c>
      <c r="P2080" s="93">
        <f t="shared" si="1324"/>
        <v>0</v>
      </c>
      <c r="Q2080" s="94"/>
      <c r="R2080" s="92">
        <f t="shared" si="1305"/>
        <v>0</v>
      </c>
      <c r="S2080" s="92">
        <f t="shared" si="1305"/>
        <v>0</v>
      </c>
      <c r="T2080" s="93">
        <f t="shared" si="1325"/>
        <v>0</v>
      </c>
      <c r="U2080" s="95">
        <f t="shared" si="1321"/>
        <v>0</v>
      </c>
      <c r="V2080" s="94"/>
      <c r="W2080" s="96" t="str">
        <f>IF(U2077&gt;0,"xx",IF(P2077&gt;0,"xy",""))</f>
        <v/>
      </c>
      <c r="X2080" s="580" t="str">
        <f t="shared" si="1310"/>
        <v/>
      </c>
      <c r="Y2080" s="580" t="str">
        <f t="shared" si="1307"/>
        <v/>
      </c>
      <c r="Z2080" s="580" t="str">
        <f t="shared" si="1328"/>
        <v/>
      </c>
    </row>
    <row r="2081" spans="1:26" hidden="1" x14ac:dyDescent="0.2">
      <c r="A2081" s="97" t="s">
        <v>165</v>
      </c>
      <c r="B2081" s="1031" t="s">
        <v>165</v>
      </c>
      <c r="C2081" s="978"/>
      <c r="D2081" s="595" t="s">
        <v>366</v>
      </c>
      <c r="E2081" s="596"/>
      <c r="F2081" s="671">
        <v>20</v>
      </c>
      <c r="G2081" s="597">
        <v>0.53</v>
      </c>
      <c r="H2081" s="682">
        <f>IF(F2081=0,0,IF(F2081&lt;=30,(0.7*F2081+1.45)*G2081,((0.7*30+1.45)+0.58*(F2081-30))*G2081))</f>
        <v>8.1884999999999994</v>
      </c>
      <c r="I2081" s="592"/>
      <c r="J2081" s="592"/>
      <c r="K2081" s="593">
        <f t="shared" si="1322"/>
        <v>0</v>
      </c>
      <c r="L2081" s="594"/>
      <c r="M2081" s="92"/>
      <c r="N2081" s="92"/>
      <c r="O2081" s="93">
        <f t="shared" si="1323"/>
        <v>0</v>
      </c>
      <c r="P2081" s="93">
        <f t="shared" si="1324"/>
        <v>0</v>
      </c>
      <c r="Q2081" s="94"/>
      <c r="R2081" s="92">
        <f t="shared" si="1305"/>
        <v>0</v>
      </c>
      <c r="S2081" s="92">
        <f t="shared" si="1305"/>
        <v>0</v>
      </c>
      <c r="T2081" s="93">
        <f t="shared" si="1325"/>
        <v>0</v>
      </c>
      <c r="U2081" s="95">
        <f t="shared" si="1321"/>
        <v>0</v>
      </c>
      <c r="V2081" s="94"/>
      <c r="W2081" s="96" t="str">
        <f>IF(U2077&gt;0,"xx",IF(P2077&gt;0,"xy",""))</f>
        <v/>
      </c>
      <c r="X2081" s="580" t="str">
        <f t="shared" si="1310"/>
        <v/>
      </c>
      <c r="Y2081" s="580" t="str">
        <f t="shared" si="1307"/>
        <v/>
      </c>
      <c r="Z2081" s="580" t="str">
        <f t="shared" si="1328"/>
        <v/>
      </c>
    </row>
    <row r="2082" spans="1:26" hidden="1" x14ac:dyDescent="0.2">
      <c r="A2082" s="1008">
        <v>610900</v>
      </c>
      <c r="B2082" s="1010" t="s">
        <v>2211</v>
      </c>
      <c r="C2082" s="978" t="s">
        <v>212</v>
      </c>
      <c r="D2082" s="595" t="s">
        <v>413</v>
      </c>
      <c r="E2082" s="596"/>
      <c r="F2082" s="671"/>
      <c r="G2082" s="597"/>
      <c r="H2082" s="682">
        <f>SUM(H2083:H2086)</f>
        <v>53.248626999999999</v>
      </c>
      <c r="I2082" s="592">
        <v>580.72</v>
      </c>
      <c r="J2082" s="592">
        <f t="shared" ref="J2082" si="1331">IF(ISBLANK(I2082),"",SUM(H2082:I2082))</f>
        <v>633.96862699999997</v>
      </c>
      <c r="K2082" s="593">
        <f t="shared" si="1322"/>
        <v>771.6</v>
      </c>
      <c r="L2082" s="594" t="s">
        <v>19</v>
      </c>
      <c r="M2082" s="92"/>
      <c r="N2082" s="92"/>
      <c r="O2082" s="93">
        <f t="shared" si="1323"/>
        <v>0</v>
      </c>
      <c r="P2082" s="93">
        <f t="shared" si="1324"/>
        <v>0</v>
      </c>
      <c r="Q2082" s="94"/>
      <c r="R2082" s="92">
        <f t="shared" si="1305"/>
        <v>0</v>
      </c>
      <c r="S2082" s="92">
        <f t="shared" si="1305"/>
        <v>0</v>
      </c>
      <c r="T2082" s="93">
        <f t="shared" si="1325"/>
        <v>0</v>
      </c>
      <c r="U2082" s="95">
        <f t="shared" si="1321"/>
        <v>0</v>
      </c>
      <c r="V2082" s="94"/>
      <c r="X2082" s="580" t="str">
        <f t="shared" si="1310"/>
        <v/>
      </c>
      <c r="Y2082" s="580" t="str">
        <f t="shared" si="1307"/>
        <v/>
      </c>
      <c r="Z2082" s="580" t="str">
        <f t="shared" si="1328"/>
        <v/>
      </c>
    </row>
    <row r="2083" spans="1:26" hidden="1" x14ac:dyDescent="0.2">
      <c r="A2083" s="97" t="s">
        <v>165</v>
      </c>
      <c r="B2083" s="1031" t="s">
        <v>165</v>
      </c>
      <c r="C2083" s="978"/>
      <c r="D2083" s="595" t="s">
        <v>218</v>
      </c>
      <c r="E2083" s="596"/>
      <c r="F2083" s="671">
        <v>500</v>
      </c>
      <c r="G2083" s="597">
        <v>5.9900000000000002E-2</v>
      </c>
      <c r="H2083" s="682">
        <f>IF(F2083&lt;=30,(0.51*F2083+4.28)*G2083,((0.51*30+4.28)+0.42*(F2083-30))*G2083)</f>
        <v>12.997102000000002</v>
      </c>
      <c r="I2083" s="592"/>
      <c r="J2083" s="592"/>
      <c r="K2083" s="593">
        <f t="shared" si="1322"/>
        <v>0</v>
      </c>
      <c r="L2083" s="594"/>
      <c r="M2083" s="92"/>
      <c r="N2083" s="92"/>
      <c r="O2083" s="93">
        <f t="shared" si="1323"/>
        <v>0</v>
      </c>
      <c r="P2083" s="93">
        <f t="shared" si="1324"/>
        <v>0</v>
      </c>
      <c r="Q2083" s="94"/>
      <c r="R2083" s="92">
        <f t="shared" si="1305"/>
        <v>0</v>
      </c>
      <c r="S2083" s="92">
        <f t="shared" si="1305"/>
        <v>0</v>
      </c>
      <c r="T2083" s="93">
        <f t="shared" si="1325"/>
        <v>0</v>
      </c>
      <c r="U2083" s="95">
        <f t="shared" si="1321"/>
        <v>0</v>
      </c>
      <c r="V2083" s="94"/>
      <c r="W2083" s="96" t="str">
        <f>IF(U2082&gt;0,"xx",IF(P2082&gt;0,"xy",""))</f>
        <v/>
      </c>
      <c r="X2083" s="580" t="str">
        <f t="shared" si="1310"/>
        <v/>
      </c>
      <c r="Y2083" s="580" t="str">
        <f t="shared" si="1307"/>
        <v/>
      </c>
      <c r="Z2083" s="580" t="str">
        <f t="shared" si="1328"/>
        <v/>
      </c>
    </row>
    <row r="2084" spans="1:26" hidden="1" x14ac:dyDescent="0.2">
      <c r="A2084" s="97" t="s">
        <v>165</v>
      </c>
      <c r="B2084" s="1031" t="s">
        <v>165</v>
      </c>
      <c r="C2084" s="978"/>
      <c r="D2084" s="595" t="s">
        <v>257</v>
      </c>
      <c r="E2084" s="596"/>
      <c r="F2084" s="671">
        <v>180</v>
      </c>
      <c r="G2084" s="597">
        <v>0.21840000000000001</v>
      </c>
      <c r="H2084" s="682">
        <f>IF(F2084=0,0,IF(F2084&lt;=30,(0.7*F2084+1.45)*G2084,((0.7*30+1.45)+0.58*(F2084-30))*G2084))</f>
        <v>23.903880000000001</v>
      </c>
      <c r="I2084" s="592"/>
      <c r="J2084" s="592"/>
      <c r="K2084" s="593">
        <f t="shared" si="1322"/>
        <v>0</v>
      </c>
      <c r="L2084" s="594"/>
      <c r="M2084" s="92"/>
      <c r="N2084" s="92"/>
      <c r="O2084" s="93">
        <f t="shared" si="1323"/>
        <v>0</v>
      </c>
      <c r="P2084" s="93">
        <f t="shared" si="1324"/>
        <v>0</v>
      </c>
      <c r="Q2084" s="94"/>
      <c r="R2084" s="92">
        <f t="shared" si="1305"/>
        <v>0</v>
      </c>
      <c r="S2084" s="92">
        <f t="shared" si="1305"/>
        <v>0</v>
      </c>
      <c r="T2084" s="93">
        <f t="shared" si="1325"/>
        <v>0</v>
      </c>
      <c r="U2084" s="95">
        <f t="shared" si="1321"/>
        <v>0</v>
      </c>
      <c r="V2084" s="94"/>
      <c r="W2084" s="96" t="str">
        <f>IF(U2082&gt;0,"xx",IF(P2082&gt;0,"xy",""))</f>
        <v/>
      </c>
      <c r="X2084" s="580" t="str">
        <f t="shared" si="1310"/>
        <v/>
      </c>
      <c r="Y2084" s="580" t="str">
        <f t="shared" si="1307"/>
        <v/>
      </c>
      <c r="Z2084" s="580" t="str">
        <f t="shared" si="1328"/>
        <v/>
      </c>
    </row>
    <row r="2085" spans="1:26" hidden="1" x14ac:dyDescent="0.2">
      <c r="A2085" s="97" t="s">
        <v>165</v>
      </c>
      <c r="B2085" s="1031" t="s">
        <v>165</v>
      </c>
      <c r="C2085" s="978"/>
      <c r="D2085" s="595" t="s">
        <v>261</v>
      </c>
      <c r="E2085" s="596"/>
      <c r="F2085" s="671">
        <v>20</v>
      </c>
      <c r="G2085" s="597">
        <v>0.36809999999999998</v>
      </c>
      <c r="H2085" s="682">
        <f>IF(F2085=0,0,IF(F2085&lt;=30,(0.7*F2085+1.45)*G2085,((0.7*30+1.45)+0.58*(F2085-30))*G2085))</f>
        <v>5.6871449999999992</v>
      </c>
      <c r="I2085" s="592"/>
      <c r="J2085" s="592"/>
      <c r="K2085" s="593">
        <f t="shared" si="1322"/>
        <v>0</v>
      </c>
      <c r="L2085" s="594"/>
      <c r="M2085" s="92"/>
      <c r="N2085" s="92"/>
      <c r="O2085" s="93">
        <f t="shared" si="1323"/>
        <v>0</v>
      </c>
      <c r="P2085" s="93">
        <f t="shared" si="1324"/>
        <v>0</v>
      </c>
      <c r="Q2085" s="94"/>
      <c r="R2085" s="92">
        <f t="shared" si="1305"/>
        <v>0</v>
      </c>
      <c r="S2085" s="92">
        <f t="shared" si="1305"/>
        <v>0</v>
      </c>
      <c r="T2085" s="93">
        <f t="shared" si="1325"/>
        <v>0</v>
      </c>
      <c r="U2085" s="95">
        <f t="shared" si="1321"/>
        <v>0</v>
      </c>
      <c r="V2085" s="94"/>
      <c r="W2085" s="96" t="str">
        <f>IF(U2082&gt;0,"xx",IF(P2082&gt;0,"xy",""))</f>
        <v/>
      </c>
      <c r="X2085" s="580" t="str">
        <f t="shared" si="1310"/>
        <v/>
      </c>
      <c r="Y2085" s="580" t="str">
        <f t="shared" si="1307"/>
        <v/>
      </c>
      <c r="Z2085" s="580" t="str">
        <f t="shared" si="1328"/>
        <v/>
      </c>
    </row>
    <row r="2086" spans="1:26" hidden="1" x14ac:dyDescent="0.2">
      <c r="A2086" s="97" t="s">
        <v>165</v>
      </c>
      <c r="B2086" s="1031" t="s">
        <v>165</v>
      </c>
      <c r="C2086" s="978"/>
      <c r="D2086" s="595" t="s">
        <v>366</v>
      </c>
      <c r="E2086" s="596"/>
      <c r="F2086" s="671">
        <v>20</v>
      </c>
      <c r="G2086" s="597">
        <v>0.69</v>
      </c>
      <c r="H2086" s="682">
        <f>IF(F2086=0,0,IF(F2086&lt;=30,(0.7*F2086+1.45)*G2086,((0.7*30+1.45)+0.58*(F2086-30))*G2086))</f>
        <v>10.660499999999999</v>
      </c>
      <c r="I2086" s="592"/>
      <c r="J2086" s="592"/>
      <c r="K2086" s="593">
        <f t="shared" si="1322"/>
        <v>0</v>
      </c>
      <c r="L2086" s="594"/>
      <c r="M2086" s="92"/>
      <c r="N2086" s="92"/>
      <c r="O2086" s="93">
        <f t="shared" si="1323"/>
        <v>0</v>
      </c>
      <c r="P2086" s="93">
        <f t="shared" si="1324"/>
        <v>0</v>
      </c>
      <c r="Q2086" s="94"/>
      <c r="R2086" s="92">
        <f t="shared" si="1305"/>
        <v>0</v>
      </c>
      <c r="S2086" s="92">
        <f t="shared" si="1305"/>
        <v>0</v>
      </c>
      <c r="T2086" s="93">
        <f t="shared" si="1325"/>
        <v>0</v>
      </c>
      <c r="U2086" s="95">
        <f t="shared" si="1321"/>
        <v>0</v>
      </c>
      <c r="V2086" s="94"/>
      <c r="W2086" s="96" t="str">
        <f>IF(U2082&gt;0,"xx",IF(P2082&gt;0,"xy",""))</f>
        <v/>
      </c>
      <c r="X2086" s="580" t="str">
        <f t="shared" si="1310"/>
        <v/>
      </c>
      <c r="Y2086" s="580" t="str">
        <f t="shared" si="1307"/>
        <v/>
      </c>
      <c r="Z2086" s="580" t="str">
        <f t="shared" si="1328"/>
        <v/>
      </c>
    </row>
    <row r="2087" spans="1:26" hidden="1" x14ac:dyDescent="0.2">
      <c r="A2087" s="1008">
        <v>611100</v>
      </c>
      <c r="B2087" s="1010" t="s">
        <v>2224</v>
      </c>
      <c r="C2087" s="978" t="s">
        <v>212</v>
      </c>
      <c r="D2087" s="595" t="s">
        <v>753</v>
      </c>
      <c r="E2087" s="596"/>
      <c r="F2087" s="671"/>
      <c r="G2087" s="597"/>
      <c r="H2087" s="682">
        <f>SUM(H2088:H2091)</f>
        <v>66.80414900000001</v>
      </c>
      <c r="I2087" s="592">
        <v>701.72</v>
      </c>
      <c r="J2087" s="592">
        <f t="shared" ref="J2087" si="1332">IF(ISBLANK(I2087),"",SUM(H2087:I2087))</f>
        <v>768.52414900000008</v>
      </c>
      <c r="K2087" s="593">
        <f t="shared" si="1322"/>
        <v>935.37</v>
      </c>
      <c r="L2087" s="594" t="s">
        <v>19</v>
      </c>
      <c r="M2087" s="92"/>
      <c r="N2087" s="92"/>
      <c r="O2087" s="93">
        <f t="shared" si="1323"/>
        <v>0</v>
      </c>
      <c r="P2087" s="93">
        <f t="shared" si="1324"/>
        <v>0</v>
      </c>
      <c r="Q2087" s="94"/>
      <c r="R2087" s="92">
        <f t="shared" si="1305"/>
        <v>0</v>
      </c>
      <c r="S2087" s="92">
        <f t="shared" si="1305"/>
        <v>0</v>
      </c>
      <c r="T2087" s="93">
        <f t="shared" si="1325"/>
        <v>0</v>
      </c>
      <c r="U2087" s="95">
        <f t="shared" si="1321"/>
        <v>0</v>
      </c>
      <c r="V2087" s="94"/>
      <c r="X2087" s="580" t="str">
        <f t="shared" si="1310"/>
        <v/>
      </c>
      <c r="Y2087" s="580" t="str">
        <f t="shared" si="1307"/>
        <v/>
      </c>
      <c r="Z2087" s="580" t="str">
        <f t="shared" si="1328"/>
        <v/>
      </c>
    </row>
    <row r="2088" spans="1:26" hidden="1" x14ac:dyDescent="0.2">
      <c r="A2088" s="97" t="s">
        <v>165</v>
      </c>
      <c r="B2088" s="1031" t="s">
        <v>165</v>
      </c>
      <c r="C2088" s="978"/>
      <c r="D2088" s="595" t="s">
        <v>218</v>
      </c>
      <c r="E2088" s="596"/>
      <c r="F2088" s="671">
        <v>500</v>
      </c>
      <c r="G2088" s="597">
        <v>7.5800000000000006E-2</v>
      </c>
      <c r="H2088" s="682">
        <f>IF(F2088&lt;=30,(0.51*F2088+4.28)*G2088,((0.51*30+4.28)+0.42*(F2088-30))*G2088)</f>
        <v>16.447084000000004</v>
      </c>
      <c r="I2088" s="592"/>
      <c r="J2088" s="592"/>
      <c r="K2088" s="593">
        <f t="shared" si="1322"/>
        <v>0</v>
      </c>
      <c r="L2088" s="594"/>
      <c r="M2088" s="92"/>
      <c r="N2088" s="92"/>
      <c r="O2088" s="93">
        <f t="shared" si="1323"/>
        <v>0</v>
      </c>
      <c r="P2088" s="93">
        <f t="shared" si="1324"/>
        <v>0</v>
      </c>
      <c r="Q2088" s="94"/>
      <c r="R2088" s="92">
        <f t="shared" si="1305"/>
        <v>0</v>
      </c>
      <c r="S2088" s="92">
        <f t="shared" si="1305"/>
        <v>0</v>
      </c>
      <c r="T2088" s="93">
        <f t="shared" si="1325"/>
        <v>0</v>
      </c>
      <c r="U2088" s="95">
        <f t="shared" si="1321"/>
        <v>0</v>
      </c>
      <c r="V2088" s="94"/>
      <c r="W2088" s="96" t="str">
        <f>IF(U2087&gt;0,"xx",IF(P2087&gt;0,"xy",""))</f>
        <v/>
      </c>
      <c r="X2088" s="580" t="str">
        <f t="shared" si="1310"/>
        <v/>
      </c>
      <c r="Y2088" s="580" t="str">
        <f t="shared" si="1307"/>
        <v/>
      </c>
      <c r="Z2088" s="580" t="str">
        <f t="shared" si="1328"/>
        <v/>
      </c>
    </row>
    <row r="2089" spans="1:26" hidden="1" x14ac:dyDescent="0.2">
      <c r="A2089" s="97" t="s">
        <v>165</v>
      </c>
      <c r="B2089" s="1031" t="s">
        <v>165</v>
      </c>
      <c r="C2089" s="978"/>
      <c r="D2089" s="595" t="s">
        <v>257</v>
      </c>
      <c r="E2089" s="596"/>
      <c r="F2089" s="671">
        <v>180</v>
      </c>
      <c r="G2089" s="597">
        <v>0.27639999999999998</v>
      </c>
      <c r="H2089" s="682">
        <f>IF(F2089=0,0,IF(F2089&lt;=30,(0.7*F2089+1.45)*G2089,((0.7*30+1.45)+0.58*(F2089-30))*G2089))</f>
        <v>30.25198</v>
      </c>
      <c r="I2089" s="592"/>
      <c r="J2089" s="592"/>
      <c r="K2089" s="593">
        <f t="shared" si="1322"/>
        <v>0</v>
      </c>
      <c r="L2089" s="594"/>
      <c r="M2089" s="92"/>
      <c r="N2089" s="92"/>
      <c r="O2089" s="93">
        <f t="shared" si="1323"/>
        <v>0</v>
      </c>
      <c r="P2089" s="93">
        <f t="shared" si="1324"/>
        <v>0</v>
      </c>
      <c r="Q2089" s="94"/>
      <c r="R2089" s="92">
        <f t="shared" si="1305"/>
        <v>0</v>
      </c>
      <c r="S2089" s="92">
        <f t="shared" si="1305"/>
        <v>0</v>
      </c>
      <c r="T2089" s="93">
        <f t="shared" si="1325"/>
        <v>0</v>
      </c>
      <c r="U2089" s="95">
        <f t="shared" si="1321"/>
        <v>0</v>
      </c>
      <c r="V2089" s="94"/>
      <c r="W2089" s="96" t="str">
        <f>IF(U2087&gt;0,"xx",IF(P2087&gt;0,"xy",""))</f>
        <v/>
      </c>
      <c r="X2089" s="580" t="str">
        <f t="shared" si="1310"/>
        <v/>
      </c>
      <c r="Y2089" s="580" t="str">
        <f t="shared" si="1307"/>
        <v/>
      </c>
      <c r="Z2089" s="580" t="str">
        <f t="shared" si="1328"/>
        <v/>
      </c>
    </row>
    <row r="2090" spans="1:26" hidden="1" x14ac:dyDescent="0.2">
      <c r="A2090" s="97" t="s">
        <v>165</v>
      </c>
      <c r="B2090" s="1031" t="s">
        <v>165</v>
      </c>
      <c r="C2090" s="978"/>
      <c r="D2090" s="595" t="s">
        <v>261</v>
      </c>
      <c r="E2090" s="596"/>
      <c r="F2090" s="671">
        <v>20</v>
      </c>
      <c r="G2090" s="597">
        <v>0.46629999999999999</v>
      </c>
      <c r="H2090" s="682">
        <f>IF(F2090=0,0,IF(F2090&lt;=30,(0.7*F2090+1.45)*G2090,((0.7*30+1.45)+0.58*(F2090-30))*G2090))</f>
        <v>7.2043349999999995</v>
      </c>
      <c r="I2090" s="592"/>
      <c r="J2090" s="592"/>
      <c r="K2090" s="593">
        <f t="shared" si="1322"/>
        <v>0</v>
      </c>
      <c r="L2090" s="594"/>
      <c r="M2090" s="92"/>
      <c r="N2090" s="92"/>
      <c r="O2090" s="93">
        <f t="shared" si="1323"/>
        <v>0</v>
      </c>
      <c r="P2090" s="93">
        <f t="shared" si="1324"/>
        <v>0</v>
      </c>
      <c r="Q2090" s="94"/>
      <c r="R2090" s="92">
        <f t="shared" si="1305"/>
        <v>0</v>
      </c>
      <c r="S2090" s="92">
        <f t="shared" si="1305"/>
        <v>0</v>
      </c>
      <c r="T2090" s="93">
        <f t="shared" si="1325"/>
        <v>0</v>
      </c>
      <c r="U2090" s="95">
        <f t="shared" si="1321"/>
        <v>0</v>
      </c>
      <c r="V2090" s="94"/>
      <c r="W2090" s="96" t="str">
        <f>IF(U2087&gt;0,"xx",IF(P2087&gt;0,"xy",""))</f>
        <v/>
      </c>
      <c r="X2090" s="580" t="str">
        <f t="shared" si="1310"/>
        <v/>
      </c>
      <c r="Y2090" s="580" t="str">
        <f t="shared" si="1307"/>
        <v/>
      </c>
      <c r="Z2090" s="580" t="str">
        <f t="shared" si="1328"/>
        <v/>
      </c>
    </row>
    <row r="2091" spans="1:26" hidden="1" x14ac:dyDescent="0.2">
      <c r="A2091" s="97" t="s">
        <v>165</v>
      </c>
      <c r="B2091" s="1031" t="s">
        <v>165</v>
      </c>
      <c r="C2091" s="978"/>
      <c r="D2091" s="595" t="s">
        <v>366</v>
      </c>
      <c r="E2091" s="596"/>
      <c r="F2091" s="671">
        <v>20</v>
      </c>
      <c r="G2091" s="597">
        <v>0.83499999999999996</v>
      </c>
      <c r="H2091" s="682">
        <f>IF(F2091=0,0,IF(F2091&lt;=30,(0.7*F2091+1.45)*G2091,((0.7*30+1.45)+0.58*(F2091-30))*G2091))</f>
        <v>12.900749999999999</v>
      </c>
      <c r="I2091" s="592"/>
      <c r="J2091" s="592"/>
      <c r="K2091" s="593">
        <f t="shared" si="1322"/>
        <v>0</v>
      </c>
      <c r="L2091" s="594"/>
      <c r="M2091" s="92"/>
      <c r="N2091" s="92"/>
      <c r="O2091" s="93">
        <f t="shared" si="1323"/>
        <v>0</v>
      </c>
      <c r="P2091" s="93">
        <f t="shared" si="1324"/>
        <v>0</v>
      </c>
      <c r="Q2091" s="94"/>
      <c r="R2091" s="92">
        <f t="shared" si="1305"/>
        <v>0</v>
      </c>
      <c r="S2091" s="92">
        <f t="shared" si="1305"/>
        <v>0</v>
      </c>
      <c r="T2091" s="93">
        <f t="shared" si="1325"/>
        <v>0</v>
      </c>
      <c r="U2091" s="95">
        <f t="shared" si="1321"/>
        <v>0</v>
      </c>
      <c r="V2091" s="94"/>
      <c r="W2091" s="96" t="str">
        <f>IF(U2087&gt;0,"xx",IF(P2087&gt;0,"xy",""))</f>
        <v/>
      </c>
      <c r="X2091" s="580" t="str">
        <f t="shared" si="1310"/>
        <v/>
      </c>
      <c r="Y2091" s="580" t="str">
        <f t="shared" si="1307"/>
        <v/>
      </c>
      <c r="Z2091" s="580" t="str">
        <f t="shared" si="1328"/>
        <v/>
      </c>
    </row>
    <row r="2092" spans="1:26" hidden="1" x14ac:dyDescent="0.2">
      <c r="A2092" s="1008">
        <v>611100</v>
      </c>
      <c r="B2092" s="1010" t="s">
        <v>2225</v>
      </c>
      <c r="C2092" s="978" t="s">
        <v>212</v>
      </c>
      <c r="D2092" s="595" t="s">
        <v>414</v>
      </c>
      <c r="E2092" s="596"/>
      <c r="F2092" s="671"/>
      <c r="G2092" s="597"/>
      <c r="H2092" s="682">
        <f>SUM(H2093:H2096)</f>
        <v>80.656181000000004</v>
      </c>
      <c r="I2092" s="592">
        <v>822.72</v>
      </c>
      <c r="J2092" s="592">
        <f t="shared" ref="J2092" si="1333">IF(ISBLANK(I2092),"",SUM(H2092:I2092))</f>
        <v>903.37618100000009</v>
      </c>
      <c r="K2092" s="593">
        <f t="shared" si="1322"/>
        <v>1099.5</v>
      </c>
      <c r="L2092" s="594" t="s">
        <v>19</v>
      </c>
      <c r="M2092" s="92"/>
      <c r="N2092" s="92"/>
      <c r="O2092" s="93">
        <f t="shared" si="1323"/>
        <v>0</v>
      </c>
      <c r="P2092" s="93">
        <f t="shared" si="1324"/>
        <v>0</v>
      </c>
      <c r="Q2092" s="94"/>
      <c r="R2092" s="92">
        <f t="shared" si="1305"/>
        <v>0</v>
      </c>
      <c r="S2092" s="92">
        <f t="shared" si="1305"/>
        <v>0</v>
      </c>
      <c r="T2092" s="93">
        <f t="shared" si="1325"/>
        <v>0</v>
      </c>
      <c r="U2092" s="95">
        <f t="shared" si="1321"/>
        <v>0</v>
      </c>
      <c r="V2092" s="94"/>
      <c r="X2092" s="580" t="str">
        <f t="shared" si="1310"/>
        <v/>
      </c>
      <c r="Y2092" s="580" t="str">
        <f t="shared" si="1307"/>
        <v/>
      </c>
      <c r="Z2092" s="580" t="str">
        <f t="shared" si="1328"/>
        <v/>
      </c>
    </row>
    <row r="2093" spans="1:26" hidden="1" x14ac:dyDescent="0.2">
      <c r="A2093" s="97" t="s">
        <v>165</v>
      </c>
      <c r="B2093" s="1031" t="s">
        <v>165</v>
      </c>
      <c r="C2093" s="978"/>
      <c r="D2093" s="595" t="s">
        <v>218</v>
      </c>
      <c r="E2093" s="596"/>
      <c r="F2093" s="671">
        <v>500</v>
      </c>
      <c r="G2093" s="597">
        <v>9.1700000000000004E-2</v>
      </c>
      <c r="H2093" s="682">
        <f>IF(F2093&lt;=30,(0.51*F2093+4.28)*G2093,((0.51*30+4.28)+0.42*(F2093-30))*G2093)</f>
        <v>19.897066000000002</v>
      </c>
      <c r="I2093" s="592"/>
      <c r="J2093" s="592"/>
      <c r="K2093" s="593">
        <f t="shared" si="1322"/>
        <v>0</v>
      </c>
      <c r="L2093" s="594"/>
      <c r="M2093" s="92"/>
      <c r="N2093" s="92"/>
      <c r="O2093" s="93">
        <f t="shared" si="1323"/>
        <v>0</v>
      </c>
      <c r="P2093" s="93">
        <f t="shared" si="1324"/>
        <v>0</v>
      </c>
      <c r="Q2093" s="94"/>
      <c r="R2093" s="92">
        <f t="shared" si="1305"/>
        <v>0</v>
      </c>
      <c r="S2093" s="92">
        <f t="shared" si="1305"/>
        <v>0</v>
      </c>
      <c r="T2093" s="93">
        <f t="shared" si="1325"/>
        <v>0</v>
      </c>
      <c r="U2093" s="95">
        <f t="shared" si="1321"/>
        <v>0</v>
      </c>
      <c r="V2093" s="94"/>
      <c r="W2093" s="96" t="str">
        <f>IF(U2092&gt;0,"xx",IF(P2092&gt;0,"xy",""))</f>
        <v/>
      </c>
      <c r="X2093" s="580" t="str">
        <f t="shared" si="1310"/>
        <v/>
      </c>
      <c r="Y2093" s="580" t="str">
        <f t="shared" si="1307"/>
        <v/>
      </c>
      <c r="Z2093" s="580" t="str">
        <f t="shared" si="1328"/>
        <v/>
      </c>
    </row>
    <row r="2094" spans="1:26" hidden="1" x14ac:dyDescent="0.2">
      <c r="A2094" s="97" t="s">
        <v>165</v>
      </c>
      <c r="B2094" s="1031" t="s">
        <v>165</v>
      </c>
      <c r="C2094" s="978"/>
      <c r="D2094" s="595" t="s">
        <v>257</v>
      </c>
      <c r="E2094" s="596"/>
      <c r="F2094" s="671">
        <v>180</v>
      </c>
      <c r="G2094" s="597">
        <v>0.33429999999999999</v>
      </c>
      <c r="H2094" s="682">
        <f>IF(F2094=0,0,IF(F2094&lt;=30,(0.7*F2094+1.45)*G2094,((0.7*30+1.45)+0.58*(F2094-30))*G2094))</f>
        <v>36.589134999999999</v>
      </c>
      <c r="I2094" s="592"/>
      <c r="J2094" s="592"/>
      <c r="K2094" s="593">
        <f t="shared" si="1322"/>
        <v>0</v>
      </c>
      <c r="L2094" s="594"/>
      <c r="M2094" s="92"/>
      <c r="N2094" s="92"/>
      <c r="O2094" s="93">
        <f t="shared" si="1323"/>
        <v>0</v>
      </c>
      <c r="P2094" s="93">
        <f t="shared" si="1324"/>
        <v>0</v>
      </c>
      <c r="Q2094" s="94"/>
      <c r="R2094" s="92">
        <f t="shared" si="1305"/>
        <v>0</v>
      </c>
      <c r="S2094" s="92">
        <f t="shared" si="1305"/>
        <v>0</v>
      </c>
      <c r="T2094" s="93">
        <f t="shared" si="1325"/>
        <v>0</v>
      </c>
      <c r="U2094" s="95">
        <f t="shared" si="1321"/>
        <v>0</v>
      </c>
      <c r="V2094" s="94"/>
      <c r="W2094" s="96" t="str">
        <f>IF(U2092&gt;0,"xx",IF(P2092&gt;0,"xy",""))</f>
        <v/>
      </c>
      <c r="X2094" s="580" t="str">
        <f t="shared" si="1310"/>
        <v/>
      </c>
      <c r="Y2094" s="580" t="str">
        <f t="shared" si="1307"/>
        <v/>
      </c>
      <c r="Z2094" s="580" t="str">
        <f t="shared" si="1328"/>
        <v/>
      </c>
    </row>
    <row r="2095" spans="1:26" hidden="1" x14ac:dyDescent="0.2">
      <c r="A2095" s="97" t="s">
        <v>165</v>
      </c>
      <c r="B2095" s="1031" t="s">
        <v>165</v>
      </c>
      <c r="C2095" s="978"/>
      <c r="D2095" s="595" t="s">
        <v>261</v>
      </c>
      <c r="E2095" s="596"/>
      <c r="F2095" s="671">
        <v>20</v>
      </c>
      <c r="G2095" s="597">
        <v>0.56440000000000001</v>
      </c>
      <c r="H2095" s="682">
        <f>IF(F2095=0,0,IF(F2095&lt;=30,(0.7*F2095+1.45)*G2095,((0.7*30+1.45)+0.58*(F2095-30))*G2095))</f>
        <v>8.7199799999999996</v>
      </c>
      <c r="I2095" s="592"/>
      <c r="J2095" s="592"/>
      <c r="K2095" s="593">
        <f t="shared" si="1322"/>
        <v>0</v>
      </c>
      <c r="L2095" s="594"/>
      <c r="M2095" s="92"/>
      <c r="N2095" s="92"/>
      <c r="O2095" s="93">
        <f t="shared" si="1323"/>
        <v>0</v>
      </c>
      <c r="P2095" s="93">
        <f t="shared" si="1324"/>
        <v>0</v>
      </c>
      <c r="Q2095" s="94"/>
      <c r="R2095" s="92">
        <f t="shared" si="1305"/>
        <v>0</v>
      </c>
      <c r="S2095" s="92">
        <f t="shared" si="1305"/>
        <v>0</v>
      </c>
      <c r="T2095" s="93">
        <f t="shared" si="1325"/>
        <v>0</v>
      </c>
      <c r="U2095" s="95">
        <f t="shared" si="1321"/>
        <v>0</v>
      </c>
      <c r="V2095" s="94"/>
      <c r="W2095" s="96" t="str">
        <f>IF(U2092&gt;0,"xx",IF(P2092&gt;0,"xy",""))</f>
        <v/>
      </c>
      <c r="X2095" s="580" t="str">
        <f t="shared" si="1310"/>
        <v/>
      </c>
      <c r="Y2095" s="580" t="str">
        <f t="shared" si="1307"/>
        <v/>
      </c>
      <c r="Z2095" s="580" t="str">
        <f t="shared" si="1328"/>
        <v/>
      </c>
    </row>
    <row r="2096" spans="1:26" hidden="1" x14ac:dyDescent="0.2">
      <c r="A2096" s="97" t="s">
        <v>165</v>
      </c>
      <c r="B2096" s="1031" t="s">
        <v>165</v>
      </c>
      <c r="C2096" s="978"/>
      <c r="D2096" s="595" t="s">
        <v>366</v>
      </c>
      <c r="E2096" s="596"/>
      <c r="F2096" s="671">
        <v>20</v>
      </c>
      <c r="G2096" s="597">
        <v>1</v>
      </c>
      <c r="H2096" s="682">
        <f>IF(F2096=0,0,IF(F2096&lt;=30,(0.7*F2096+1.45)*G2096,((0.7*30+1.45)+0.58*(F2096-30))*G2096))</f>
        <v>15.45</v>
      </c>
      <c r="I2096" s="592"/>
      <c r="J2096" s="592"/>
      <c r="K2096" s="593">
        <f t="shared" si="1322"/>
        <v>0</v>
      </c>
      <c r="L2096" s="594"/>
      <c r="M2096" s="92"/>
      <c r="N2096" s="92"/>
      <c r="O2096" s="93">
        <f t="shared" si="1323"/>
        <v>0</v>
      </c>
      <c r="P2096" s="93">
        <f t="shared" si="1324"/>
        <v>0</v>
      </c>
      <c r="Q2096" s="94"/>
      <c r="R2096" s="92">
        <f t="shared" si="1305"/>
        <v>0</v>
      </c>
      <c r="S2096" s="92">
        <f t="shared" si="1305"/>
        <v>0</v>
      </c>
      <c r="T2096" s="93">
        <f t="shared" si="1325"/>
        <v>0</v>
      </c>
      <c r="U2096" s="95">
        <f t="shared" si="1321"/>
        <v>0</v>
      </c>
      <c r="V2096" s="94"/>
      <c r="W2096" s="96" t="str">
        <f>IF(U2092&gt;0,"xx",IF(P2092&gt;0,"xy",""))</f>
        <v/>
      </c>
      <c r="X2096" s="580" t="str">
        <f t="shared" ref="X2096:X2181" si="1334">IF(W2096="X","x",IF(W2096="xx","x",IF(W2096="xy","x",IF(W2096="y","x",IF(OR(P2096&gt;0,U2096&gt;0),"x","")))))</f>
        <v/>
      </c>
      <c r="Y2096" s="580" t="str">
        <f t="shared" si="1307"/>
        <v/>
      </c>
      <c r="Z2096" s="580" t="str">
        <f t="shared" si="1328"/>
        <v/>
      </c>
    </row>
    <row r="2097" spans="1:26" hidden="1" x14ac:dyDescent="0.2">
      <c r="A2097" s="1008">
        <v>611300</v>
      </c>
      <c r="B2097" s="1010">
        <v>611300</v>
      </c>
      <c r="C2097" s="978" t="s">
        <v>212</v>
      </c>
      <c r="D2097" s="595" t="s">
        <v>415</v>
      </c>
      <c r="E2097" s="596"/>
      <c r="F2097" s="671"/>
      <c r="G2097" s="597"/>
      <c r="H2097" s="682">
        <f>SUM(H2098:H2101)</f>
        <v>112.63600599999998</v>
      </c>
      <c r="I2097" s="592">
        <v>1081.24</v>
      </c>
      <c r="J2097" s="592">
        <f t="shared" ref="J2097" si="1335">IF(ISBLANK(I2097),"",SUM(H2097:I2097))</f>
        <v>1193.876006</v>
      </c>
      <c r="K2097" s="593">
        <f t="shared" si="1322"/>
        <v>1453.07</v>
      </c>
      <c r="L2097" s="594" t="s">
        <v>19</v>
      </c>
      <c r="M2097" s="92"/>
      <c r="N2097" s="92"/>
      <c r="O2097" s="93">
        <f t="shared" si="1323"/>
        <v>0</v>
      </c>
      <c r="P2097" s="93">
        <f t="shared" si="1324"/>
        <v>0</v>
      </c>
      <c r="Q2097" s="94"/>
      <c r="R2097" s="92">
        <f t="shared" si="1305"/>
        <v>0</v>
      </c>
      <c r="S2097" s="92">
        <f t="shared" si="1305"/>
        <v>0</v>
      </c>
      <c r="T2097" s="93">
        <f t="shared" si="1325"/>
        <v>0</v>
      </c>
      <c r="U2097" s="95">
        <f t="shared" si="1321"/>
        <v>0</v>
      </c>
      <c r="V2097" s="94"/>
      <c r="X2097" s="580" t="str">
        <f t="shared" si="1334"/>
        <v/>
      </c>
      <c r="Y2097" s="580" t="str">
        <f t="shared" si="1307"/>
        <v/>
      </c>
      <c r="Z2097" s="580" t="str">
        <f t="shared" si="1328"/>
        <v/>
      </c>
    </row>
    <row r="2098" spans="1:26" hidden="1" x14ac:dyDescent="0.2">
      <c r="A2098" s="97" t="s">
        <v>165</v>
      </c>
      <c r="B2098" s="1031" t="s">
        <v>165</v>
      </c>
      <c r="C2098" s="978"/>
      <c r="D2098" s="595" t="s">
        <v>218</v>
      </c>
      <c r="E2098" s="596"/>
      <c r="F2098" s="671">
        <v>500</v>
      </c>
      <c r="G2098" s="597">
        <v>0.12720000000000001</v>
      </c>
      <c r="H2098" s="682">
        <f>IF(F2098&lt;=30,(0.51*F2098+4.28)*G2098,((0.51*30+4.28)+0.42*(F2098-30))*G2098)</f>
        <v>27.599856000000003</v>
      </c>
      <c r="I2098" s="592"/>
      <c r="J2098" s="592"/>
      <c r="K2098" s="593">
        <f t="shared" si="1322"/>
        <v>0</v>
      </c>
      <c r="L2098" s="594"/>
      <c r="M2098" s="92"/>
      <c r="N2098" s="92"/>
      <c r="O2098" s="93">
        <f t="shared" si="1323"/>
        <v>0</v>
      </c>
      <c r="P2098" s="93">
        <f t="shared" si="1324"/>
        <v>0</v>
      </c>
      <c r="Q2098" s="94"/>
      <c r="R2098" s="92">
        <f t="shared" si="1305"/>
        <v>0</v>
      </c>
      <c r="S2098" s="92">
        <f t="shared" si="1305"/>
        <v>0</v>
      </c>
      <c r="T2098" s="93">
        <f t="shared" si="1325"/>
        <v>0</v>
      </c>
      <c r="U2098" s="95">
        <f t="shared" si="1321"/>
        <v>0</v>
      </c>
      <c r="V2098" s="94"/>
      <c r="W2098" s="96" t="str">
        <f>IF(U2097&gt;0,"xx",IF(P2097&gt;0,"xy",""))</f>
        <v/>
      </c>
      <c r="X2098" s="580" t="str">
        <f t="shared" si="1334"/>
        <v/>
      </c>
      <c r="Y2098" s="580" t="str">
        <f t="shared" si="1307"/>
        <v/>
      </c>
      <c r="Z2098" s="580" t="str">
        <f t="shared" si="1328"/>
        <v/>
      </c>
    </row>
    <row r="2099" spans="1:26" hidden="1" x14ac:dyDescent="0.2">
      <c r="A2099" s="97" t="s">
        <v>165</v>
      </c>
      <c r="B2099" s="1031" t="s">
        <v>165</v>
      </c>
      <c r="C2099" s="978"/>
      <c r="D2099" s="595" t="s">
        <v>257</v>
      </c>
      <c r="E2099" s="596"/>
      <c r="F2099" s="671">
        <v>180</v>
      </c>
      <c r="G2099" s="597">
        <v>0.46300000000000002</v>
      </c>
      <c r="H2099" s="682">
        <f>IF(F2099=0,0,IF(F2099&lt;=30,(0.7*F2099+1.45)*G2099,((0.7*30+1.45)+0.58*(F2099-30))*G2099))</f>
        <v>50.675350000000002</v>
      </c>
      <c r="I2099" s="592"/>
      <c r="J2099" s="592"/>
      <c r="K2099" s="593">
        <f t="shared" si="1322"/>
        <v>0</v>
      </c>
      <c r="L2099" s="594"/>
      <c r="M2099" s="92"/>
      <c r="N2099" s="92"/>
      <c r="O2099" s="93">
        <f t="shared" si="1323"/>
        <v>0</v>
      </c>
      <c r="P2099" s="93">
        <f t="shared" si="1324"/>
        <v>0</v>
      </c>
      <c r="Q2099" s="94"/>
      <c r="R2099" s="92">
        <f t="shared" ref="R2099:S2167" si="1336">M2099</f>
        <v>0</v>
      </c>
      <c r="S2099" s="92">
        <f t="shared" si="1336"/>
        <v>0</v>
      </c>
      <c r="T2099" s="93">
        <f t="shared" si="1325"/>
        <v>0</v>
      </c>
      <c r="U2099" s="95">
        <f t="shared" si="1321"/>
        <v>0</v>
      </c>
      <c r="V2099" s="94"/>
      <c r="W2099" s="96" t="str">
        <f>IF(U2097&gt;0,"xx",IF(P2097&gt;0,"xy",""))</f>
        <v/>
      </c>
      <c r="X2099" s="580" t="str">
        <f t="shared" si="1334"/>
        <v/>
      </c>
      <c r="Y2099" s="580" t="str">
        <f t="shared" si="1307"/>
        <v/>
      </c>
      <c r="Z2099" s="580" t="str">
        <f t="shared" si="1328"/>
        <v/>
      </c>
    </row>
    <row r="2100" spans="1:26" hidden="1" x14ac:dyDescent="0.2">
      <c r="A2100" s="97" t="s">
        <v>165</v>
      </c>
      <c r="B2100" s="1031" t="s">
        <v>165</v>
      </c>
      <c r="C2100" s="978"/>
      <c r="D2100" s="595" t="s">
        <v>261</v>
      </c>
      <c r="E2100" s="596"/>
      <c r="F2100" s="671">
        <v>20</v>
      </c>
      <c r="G2100" s="597">
        <v>0.78400000000000003</v>
      </c>
      <c r="H2100" s="682">
        <f>IF(F2100=0,0,IF(F2100&lt;=30,(0.7*F2100+1.45)*G2100,((0.7*30+1.45)+0.58*(F2100-30))*G2100))</f>
        <v>12.1128</v>
      </c>
      <c r="I2100" s="592"/>
      <c r="J2100" s="592"/>
      <c r="K2100" s="593">
        <f t="shared" si="1322"/>
        <v>0</v>
      </c>
      <c r="L2100" s="594"/>
      <c r="M2100" s="92"/>
      <c r="N2100" s="92"/>
      <c r="O2100" s="93">
        <f t="shared" si="1323"/>
        <v>0</v>
      </c>
      <c r="P2100" s="93">
        <f t="shared" si="1324"/>
        <v>0</v>
      </c>
      <c r="Q2100" s="94"/>
      <c r="R2100" s="92">
        <f t="shared" si="1336"/>
        <v>0</v>
      </c>
      <c r="S2100" s="92">
        <f t="shared" si="1336"/>
        <v>0</v>
      </c>
      <c r="T2100" s="93">
        <f t="shared" si="1325"/>
        <v>0</v>
      </c>
      <c r="U2100" s="95">
        <f t="shared" si="1321"/>
        <v>0</v>
      </c>
      <c r="V2100" s="94"/>
      <c r="W2100" s="96" t="str">
        <f>IF(U2097&gt;0,"xx",IF(P2097&gt;0,"xy",""))</f>
        <v/>
      </c>
      <c r="X2100" s="580" t="str">
        <f t="shared" si="1334"/>
        <v/>
      </c>
      <c r="Y2100" s="580" t="str">
        <f t="shared" si="1307"/>
        <v/>
      </c>
      <c r="Z2100" s="580" t="str">
        <f t="shared" si="1328"/>
        <v/>
      </c>
    </row>
    <row r="2101" spans="1:26" hidden="1" x14ac:dyDescent="0.2">
      <c r="A2101" s="97" t="s">
        <v>165</v>
      </c>
      <c r="B2101" s="1031" t="s">
        <v>165</v>
      </c>
      <c r="C2101" s="978"/>
      <c r="D2101" s="595" t="s">
        <v>366</v>
      </c>
      <c r="E2101" s="596"/>
      <c r="F2101" s="671">
        <v>20</v>
      </c>
      <c r="G2101" s="597">
        <v>1.44</v>
      </c>
      <c r="H2101" s="682">
        <f>IF(F2101=0,0,IF(F2101&lt;=30,(0.7*F2101+1.45)*G2101,((0.7*30+1.45)+0.58*(F2101-30))*G2101))</f>
        <v>22.247999999999998</v>
      </c>
      <c r="I2101" s="592"/>
      <c r="J2101" s="592"/>
      <c r="K2101" s="593">
        <f t="shared" si="1322"/>
        <v>0</v>
      </c>
      <c r="L2101" s="594"/>
      <c r="M2101" s="92"/>
      <c r="N2101" s="92"/>
      <c r="O2101" s="93">
        <f t="shared" si="1323"/>
        <v>0</v>
      </c>
      <c r="P2101" s="93">
        <f t="shared" si="1324"/>
        <v>0</v>
      </c>
      <c r="Q2101" s="94"/>
      <c r="R2101" s="92">
        <f t="shared" si="1336"/>
        <v>0</v>
      </c>
      <c r="S2101" s="92">
        <f t="shared" si="1336"/>
        <v>0</v>
      </c>
      <c r="T2101" s="93">
        <f t="shared" si="1325"/>
        <v>0</v>
      </c>
      <c r="U2101" s="95">
        <f t="shared" si="1321"/>
        <v>0</v>
      </c>
      <c r="V2101" s="94"/>
      <c r="W2101" s="96" t="str">
        <f>IF(U2097&gt;0,"xx",IF(P2097&gt;0,"xy",""))</f>
        <v/>
      </c>
      <c r="X2101" s="580" t="str">
        <f t="shared" si="1334"/>
        <v/>
      </c>
      <c r="Y2101" s="580" t="str">
        <f t="shared" si="1307"/>
        <v/>
      </c>
      <c r="Z2101" s="580" t="str">
        <f t="shared" si="1328"/>
        <v/>
      </c>
    </row>
    <row r="2102" spans="1:26" hidden="1" x14ac:dyDescent="0.2">
      <c r="A2102" s="1008">
        <v>611500</v>
      </c>
      <c r="B2102" s="1010" t="s">
        <v>2226</v>
      </c>
      <c r="C2102" s="978" t="s">
        <v>212</v>
      </c>
      <c r="D2102" s="595" t="s">
        <v>416</v>
      </c>
      <c r="E2102" s="596"/>
      <c r="F2102" s="671"/>
      <c r="G2102" s="597"/>
      <c r="H2102" s="682">
        <f>SUM(H2103:H2106)</f>
        <v>158.25905</v>
      </c>
      <c r="I2102" s="592">
        <v>1706.2</v>
      </c>
      <c r="J2102" s="592">
        <f t="shared" ref="J2102" si="1337">IF(ISBLANK(I2102),"",SUM(H2102:I2102))</f>
        <v>1864.4590499999999</v>
      </c>
      <c r="K2102" s="593">
        <f t="shared" si="1322"/>
        <v>2269.23</v>
      </c>
      <c r="L2102" s="594" t="s">
        <v>19</v>
      </c>
      <c r="M2102" s="92"/>
      <c r="N2102" s="92"/>
      <c r="O2102" s="93">
        <f t="shared" si="1323"/>
        <v>0</v>
      </c>
      <c r="P2102" s="93">
        <f t="shared" si="1324"/>
        <v>0</v>
      </c>
      <c r="Q2102" s="94"/>
      <c r="R2102" s="92">
        <f t="shared" si="1336"/>
        <v>0</v>
      </c>
      <c r="S2102" s="92">
        <f t="shared" si="1336"/>
        <v>0</v>
      </c>
      <c r="T2102" s="93">
        <f t="shared" si="1325"/>
        <v>0</v>
      </c>
      <c r="U2102" s="95">
        <f t="shared" si="1321"/>
        <v>0</v>
      </c>
      <c r="V2102" s="94"/>
      <c r="X2102" s="580" t="str">
        <f t="shared" si="1334"/>
        <v/>
      </c>
      <c r="Y2102" s="580" t="str">
        <f t="shared" ref="Y2102:Y2187" si="1338">IF(W2102="X","x",IF(W2102="y","x",IF(W2102="xx","x",IF(U2102&gt;0,"x",""))))</f>
        <v/>
      </c>
      <c r="Z2102" s="580" t="str">
        <f t="shared" si="1328"/>
        <v/>
      </c>
    </row>
    <row r="2103" spans="1:26" hidden="1" x14ac:dyDescent="0.2">
      <c r="A2103" s="97" t="s">
        <v>165</v>
      </c>
      <c r="B2103" s="1031" t="s">
        <v>165</v>
      </c>
      <c r="C2103" s="978"/>
      <c r="D2103" s="595" t="s">
        <v>218</v>
      </c>
      <c r="E2103" s="596"/>
      <c r="F2103" s="671">
        <v>500</v>
      </c>
      <c r="G2103" s="597">
        <v>0.187</v>
      </c>
      <c r="H2103" s="682">
        <f>IF(F2103&lt;=30,(0.51*F2103+4.28)*G2103,((0.51*30+4.28)+0.42*(F2103-30))*G2103)</f>
        <v>40.57526</v>
      </c>
      <c r="I2103" s="592"/>
      <c r="J2103" s="592"/>
      <c r="K2103" s="593">
        <f t="shared" si="1322"/>
        <v>0</v>
      </c>
      <c r="L2103" s="594"/>
      <c r="M2103" s="92"/>
      <c r="N2103" s="92"/>
      <c r="O2103" s="93">
        <f t="shared" si="1323"/>
        <v>0</v>
      </c>
      <c r="P2103" s="93">
        <f t="shared" si="1324"/>
        <v>0</v>
      </c>
      <c r="Q2103" s="94"/>
      <c r="R2103" s="92">
        <f t="shared" si="1336"/>
        <v>0</v>
      </c>
      <c r="S2103" s="92">
        <f t="shared" si="1336"/>
        <v>0</v>
      </c>
      <c r="T2103" s="93">
        <f t="shared" si="1325"/>
        <v>0</v>
      </c>
      <c r="U2103" s="95">
        <f t="shared" si="1321"/>
        <v>0</v>
      </c>
      <c r="V2103" s="94"/>
      <c r="W2103" s="96" t="str">
        <f>IF(U2102&gt;0,"xx",IF(P2102&gt;0,"xy",""))</f>
        <v/>
      </c>
      <c r="X2103" s="580" t="str">
        <f t="shared" si="1334"/>
        <v/>
      </c>
      <c r="Y2103" s="580" t="str">
        <f t="shared" si="1338"/>
        <v/>
      </c>
      <c r="Z2103" s="580" t="str">
        <f t="shared" si="1328"/>
        <v/>
      </c>
    </row>
    <row r="2104" spans="1:26" hidden="1" x14ac:dyDescent="0.2">
      <c r="A2104" s="97" t="s">
        <v>165</v>
      </c>
      <c r="B2104" s="1031" t="s">
        <v>165</v>
      </c>
      <c r="C2104" s="978"/>
      <c r="D2104" s="595" t="s">
        <v>257</v>
      </c>
      <c r="E2104" s="596"/>
      <c r="F2104" s="671">
        <v>180</v>
      </c>
      <c r="G2104" s="597">
        <v>0.67830000000000001</v>
      </c>
      <c r="H2104" s="682">
        <f>IF(F2104=0,0,IF(F2104&lt;=30,(0.7*F2104+1.45)*G2104,((0.7*30+1.45)+0.58*(F2104-30))*G2104))</f>
        <v>74.239935000000003</v>
      </c>
      <c r="I2104" s="592"/>
      <c r="J2104" s="592"/>
      <c r="K2104" s="593">
        <f t="shared" si="1322"/>
        <v>0</v>
      </c>
      <c r="L2104" s="594"/>
      <c r="M2104" s="92"/>
      <c r="N2104" s="92"/>
      <c r="O2104" s="93">
        <f t="shared" si="1323"/>
        <v>0</v>
      </c>
      <c r="P2104" s="93">
        <f t="shared" si="1324"/>
        <v>0</v>
      </c>
      <c r="Q2104" s="94"/>
      <c r="R2104" s="92">
        <f t="shared" si="1336"/>
        <v>0</v>
      </c>
      <c r="S2104" s="92">
        <f t="shared" si="1336"/>
        <v>0</v>
      </c>
      <c r="T2104" s="93">
        <f t="shared" si="1325"/>
        <v>0</v>
      </c>
      <c r="U2104" s="95">
        <f t="shared" si="1321"/>
        <v>0</v>
      </c>
      <c r="V2104" s="94"/>
      <c r="W2104" s="96" t="str">
        <f>IF(U2102&gt;0,"xx",IF(P2102&gt;0,"xy",""))</f>
        <v/>
      </c>
      <c r="X2104" s="580" t="str">
        <f t="shared" si="1334"/>
        <v/>
      </c>
      <c r="Y2104" s="580" t="str">
        <f t="shared" si="1338"/>
        <v/>
      </c>
      <c r="Z2104" s="580" t="str">
        <f t="shared" si="1328"/>
        <v/>
      </c>
    </row>
    <row r="2105" spans="1:26" hidden="1" x14ac:dyDescent="0.2">
      <c r="A2105" s="97" t="s">
        <v>165</v>
      </c>
      <c r="B2105" s="1031" t="s">
        <v>165</v>
      </c>
      <c r="C2105" s="978"/>
      <c r="D2105" s="595" t="s">
        <v>261</v>
      </c>
      <c r="E2105" s="596"/>
      <c r="F2105" s="671">
        <v>20</v>
      </c>
      <c r="G2105" s="597">
        <v>1.1618999999999999</v>
      </c>
      <c r="H2105" s="682">
        <f>IF(F2105=0,0,IF(F2105&lt;=30,(0.7*F2105+1.45)*G2105,((0.7*30+1.45)+0.58*(F2105-30))*G2105))</f>
        <v>17.951355</v>
      </c>
      <c r="I2105" s="592"/>
      <c r="J2105" s="592"/>
      <c r="K2105" s="593">
        <f t="shared" si="1322"/>
        <v>0</v>
      </c>
      <c r="L2105" s="594"/>
      <c r="M2105" s="92"/>
      <c r="N2105" s="92"/>
      <c r="O2105" s="93">
        <f t="shared" si="1323"/>
        <v>0</v>
      </c>
      <c r="P2105" s="93">
        <f t="shared" si="1324"/>
        <v>0</v>
      </c>
      <c r="Q2105" s="94"/>
      <c r="R2105" s="92">
        <f t="shared" si="1336"/>
        <v>0</v>
      </c>
      <c r="S2105" s="92">
        <f t="shared" si="1336"/>
        <v>0</v>
      </c>
      <c r="T2105" s="93">
        <f t="shared" si="1325"/>
        <v>0</v>
      </c>
      <c r="U2105" s="95">
        <f t="shared" si="1321"/>
        <v>0</v>
      </c>
      <c r="V2105" s="94"/>
      <c r="W2105" s="96" t="str">
        <f>IF(U2102&gt;0,"xx",IF(P2102&gt;0,"xy",""))</f>
        <v/>
      </c>
      <c r="X2105" s="580" t="str">
        <f t="shared" si="1334"/>
        <v/>
      </c>
      <c r="Y2105" s="580" t="str">
        <f t="shared" si="1338"/>
        <v/>
      </c>
      <c r="Z2105" s="580" t="str">
        <f t="shared" si="1328"/>
        <v/>
      </c>
    </row>
    <row r="2106" spans="1:26" hidden="1" x14ac:dyDescent="0.2">
      <c r="A2106" s="97" t="s">
        <v>165</v>
      </c>
      <c r="B2106" s="1031" t="s">
        <v>165</v>
      </c>
      <c r="C2106" s="978"/>
      <c r="D2106" s="595" t="s">
        <v>366</v>
      </c>
      <c r="E2106" s="596"/>
      <c r="F2106" s="671">
        <v>20</v>
      </c>
      <c r="G2106" s="597">
        <v>1.65</v>
      </c>
      <c r="H2106" s="682">
        <f>IF(F2106=0,0,IF(F2106&lt;=30,(0.7*F2106+1.45)*G2106,((0.7*30+1.45)+0.58*(F2106-30))*G2106))</f>
        <v>25.492499999999996</v>
      </c>
      <c r="I2106" s="592"/>
      <c r="J2106" s="592"/>
      <c r="K2106" s="593">
        <f t="shared" si="1322"/>
        <v>0</v>
      </c>
      <c r="L2106" s="594"/>
      <c r="M2106" s="92"/>
      <c r="N2106" s="92"/>
      <c r="O2106" s="93">
        <f t="shared" si="1323"/>
        <v>0</v>
      </c>
      <c r="P2106" s="93">
        <f t="shared" si="1324"/>
        <v>0</v>
      </c>
      <c r="Q2106" s="94"/>
      <c r="R2106" s="92">
        <f t="shared" si="1336"/>
        <v>0</v>
      </c>
      <c r="S2106" s="92">
        <f t="shared" si="1336"/>
        <v>0</v>
      </c>
      <c r="T2106" s="93">
        <f t="shared" si="1325"/>
        <v>0</v>
      </c>
      <c r="U2106" s="95">
        <f t="shared" si="1321"/>
        <v>0</v>
      </c>
      <c r="V2106" s="94"/>
      <c r="W2106" s="96" t="str">
        <f>IF(U2102&gt;0,"xx",IF(P2102&gt;0,"xy",""))</f>
        <v/>
      </c>
      <c r="X2106" s="580" t="str">
        <f t="shared" si="1334"/>
        <v/>
      </c>
      <c r="Y2106" s="580" t="str">
        <f t="shared" si="1338"/>
        <v/>
      </c>
      <c r="Z2106" s="580" t="str">
        <f t="shared" si="1328"/>
        <v/>
      </c>
    </row>
    <row r="2107" spans="1:26" hidden="1" x14ac:dyDescent="0.2">
      <c r="A2107" s="1008">
        <v>611500</v>
      </c>
      <c r="B2107" s="1010" t="s">
        <v>2227</v>
      </c>
      <c r="C2107" s="978" t="s">
        <v>212</v>
      </c>
      <c r="D2107" s="595" t="s">
        <v>417</v>
      </c>
      <c r="E2107" s="596"/>
      <c r="F2107" s="671"/>
      <c r="G2107" s="597"/>
      <c r="H2107" s="682">
        <f>SUM(H2108:H2111)</f>
        <v>216.43728800000002</v>
      </c>
      <c r="I2107" s="592">
        <v>2233.6336000000001</v>
      </c>
      <c r="J2107" s="592">
        <f t="shared" ref="J2107" si="1339">IF(ISBLANK(I2107),"",SUM(H2107:I2107))</f>
        <v>2450.0708880000002</v>
      </c>
      <c r="K2107" s="593">
        <f t="shared" si="1322"/>
        <v>2981.98</v>
      </c>
      <c r="L2107" s="594" t="s">
        <v>19</v>
      </c>
      <c r="M2107" s="92"/>
      <c r="N2107" s="92"/>
      <c r="O2107" s="93">
        <f t="shared" si="1323"/>
        <v>0</v>
      </c>
      <c r="P2107" s="93">
        <f t="shared" si="1324"/>
        <v>0</v>
      </c>
      <c r="Q2107" s="94"/>
      <c r="R2107" s="92">
        <f t="shared" si="1336"/>
        <v>0</v>
      </c>
      <c r="S2107" s="92">
        <f t="shared" si="1336"/>
        <v>0</v>
      </c>
      <c r="T2107" s="93">
        <f t="shared" si="1325"/>
        <v>0</v>
      </c>
      <c r="U2107" s="95">
        <f t="shared" si="1321"/>
        <v>0</v>
      </c>
      <c r="V2107" s="94"/>
      <c r="X2107" s="580" t="str">
        <f t="shared" si="1334"/>
        <v/>
      </c>
      <c r="Y2107" s="580" t="str">
        <f t="shared" si="1338"/>
        <v/>
      </c>
      <c r="Z2107" s="580" t="str">
        <f t="shared" si="1328"/>
        <v/>
      </c>
    </row>
    <row r="2108" spans="1:26" hidden="1" x14ac:dyDescent="0.2">
      <c r="A2108" s="97" t="s">
        <v>165</v>
      </c>
      <c r="B2108" s="1031" t="s">
        <v>165</v>
      </c>
      <c r="C2108" s="978"/>
      <c r="D2108" s="595" t="s">
        <v>218</v>
      </c>
      <c r="E2108" s="596"/>
      <c r="F2108" s="671">
        <v>500</v>
      </c>
      <c r="G2108" s="597">
        <v>0.27410000000000001</v>
      </c>
      <c r="H2108" s="682">
        <f>IF(F2108&lt;=30,(0.51*F2108+4.28)*G2108,((0.51*30+4.28)+0.42*(F2108-30))*G2108)</f>
        <v>59.474218000000008</v>
      </c>
      <c r="I2108" s="592"/>
      <c r="J2108" s="592"/>
      <c r="K2108" s="593">
        <f t="shared" si="1322"/>
        <v>0</v>
      </c>
      <c r="L2108" s="594"/>
      <c r="M2108" s="92"/>
      <c r="N2108" s="92"/>
      <c r="O2108" s="93">
        <f t="shared" si="1323"/>
        <v>0</v>
      </c>
      <c r="P2108" s="93">
        <f t="shared" si="1324"/>
        <v>0</v>
      </c>
      <c r="Q2108" s="94"/>
      <c r="R2108" s="92">
        <f t="shared" si="1336"/>
        <v>0</v>
      </c>
      <c r="S2108" s="92">
        <f t="shared" si="1336"/>
        <v>0</v>
      </c>
      <c r="T2108" s="93">
        <f t="shared" si="1325"/>
        <v>0</v>
      </c>
      <c r="U2108" s="95">
        <f t="shared" si="1321"/>
        <v>0</v>
      </c>
      <c r="V2108" s="94"/>
      <c r="W2108" s="96" t="str">
        <f>IF(U2107&gt;0,"xx",IF(P2107&gt;0,"xy",""))</f>
        <v/>
      </c>
      <c r="X2108" s="580" t="str">
        <f t="shared" si="1334"/>
        <v/>
      </c>
      <c r="Y2108" s="580" t="str">
        <f t="shared" si="1338"/>
        <v/>
      </c>
      <c r="Z2108" s="580" t="str">
        <f t="shared" si="1328"/>
        <v/>
      </c>
    </row>
    <row r="2109" spans="1:26" hidden="1" x14ac:dyDescent="0.2">
      <c r="A2109" s="97" t="s">
        <v>165</v>
      </c>
      <c r="B2109" s="1031" t="s">
        <v>165</v>
      </c>
      <c r="C2109" s="978"/>
      <c r="D2109" s="595" t="s">
        <v>257</v>
      </c>
      <c r="E2109" s="596"/>
      <c r="F2109" s="671">
        <v>180</v>
      </c>
      <c r="G2109" s="597">
        <v>0.9748</v>
      </c>
      <c r="H2109" s="682">
        <f>IF(F2109=0,0,IF(F2109&lt;=30,(0.7*F2109+1.45)*G2109,((0.7*30+1.45)+0.58*(F2109-30))*G2109))</f>
        <v>106.69186000000001</v>
      </c>
      <c r="I2109" s="592"/>
      <c r="J2109" s="592"/>
      <c r="K2109" s="593">
        <f t="shared" si="1322"/>
        <v>0</v>
      </c>
      <c r="L2109" s="594"/>
      <c r="M2109" s="92"/>
      <c r="N2109" s="92"/>
      <c r="O2109" s="93">
        <f t="shared" si="1323"/>
        <v>0</v>
      </c>
      <c r="P2109" s="93">
        <f t="shared" si="1324"/>
        <v>0</v>
      </c>
      <c r="Q2109" s="94"/>
      <c r="R2109" s="92">
        <f t="shared" si="1336"/>
        <v>0</v>
      </c>
      <c r="S2109" s="92">
        <f t="shared" si="1336"/>
        <v>0</v>
      </c>
      <c r="T2109" s="93">
        <f t="shared" si="1325"/>
        <v>0</v>
      </c>
      <c r="U2109" s="95">
        <f t="shared" si="1321"/>
        <v>0</v>
      </c>
      <c r="V2109" s="94"/>
      <c r="W2109" s="96" t="str">
        <f>IF(U2107&gt;0,"xx",IF(P2107&gt;0,"xy",""))</f>
        <v/>
      </c>
      <c r="X2109" s="580" t="str">
        <f t="shared" si="1334"/>
        <v/>
      </c>
      <c r="Y2109" s="580" t="str">
        <f t="shared" si="1338"/>
        <v/>
      </c>
      <c r="Z2109" s="580" t="str">
        <f t="shared" si="1328"/>
        <v/>
      </c>
    </row>
    <row r="2110" spans="1:26" hidden="1" x14ac:dyDescent="0.2">
      <c r="A2110" s="97" t="s">
        <v>165</v>
      </c>
      <c r="B2110" s="1031" t="s">
        <v>165</v>
      </c>
      <c r="C2110" s="978"/>
      <c r="D2110" s="595" t="s">
        <v>261</v>
      </c>
      <c r="E2110" s="596"/>
      <c r="F2110" s="671">
        <v>20</v>
      </c>
      <c r="G2110" s="597">
        <v>2.2538</v>
      </c>
      <c r="H2110" s="682">
        <f>IF(F2110=0,0,IF(F2110&lt;=30,(0.7*F2110+1.45)*G2110,((0.7*30+1.45)+0.58*(F2110-30))*G2110))</f>
        <v>34.821210000000001</v>
      </c>
      <c r="I2110" s="592"/>
      <c r="J2110" s="592"/>
      <c r="K2110" s="593">
        <f t="shared" si="1322"/>
        <v>0</v>
      </c>
      <c r="L2110" s="594"/>
      <c r="M2110" s="92"/>
      <c r="N2110" s="92"/>
      <c r="O2110" s="93">
        <f t="shared" si="1323"/>
        <v>0</v>
      </c>
      <c r="P2110" s="93">
        <f t="shared" si="1324"/>
        <v>0</v>
      </c>
      <c r="Q2110" s="94"/>
      <c r="R2110" s="92">
        <f t="shared" si="1336"/>
        <v>0</v>
      </c>
      <c r="S2110" s="92">
        <f t="shared" si="1336"/>
        <v>0</v>
      </c>
      <c r="T2110" s="93">
        <f t="shared" si="1325"/>
        <v>0</v>
      </c>
      <c r="U2110" s="95">
        <f t="shared" si="1321"/>
        <v>0</v>
      </c>
      <c r="V2110" s="94"/>
      <c r="W2110" s="96" t="str">
        <f>IF(U2107&gt;0,"xx",IF(P2107&gt;0,"xy",""))</f>
        <v/>
      </c>
      <c r="X2110" s="580" t="str">
        <f t="shared" si="1334"/>
        <v/>
      </c>
      <c r="Y2110" s="580" t="str">
        <f t="shared" si="1338"/>
        <v/>
      </c>
      <c r="Z2110" s="580" t="str">
        <f t="shared" si="1328"/>
        <v/>
      </c>
    </row>
    <row r="2111" spans="1:26" hidden="1" x14ac:dyDescent="0.2">
      <c r="A2111" s="97" t="s">
        <v>165</v>
      </c>
      <c r="B2111" s="1031" t="s">
        <v>165</v>
      </c>
      <c r="C2111" s="978"/>
      <c r="D2111" s="595" t="s">
        <v>366</v>
      </c>
      <c r="E2111" s="596"/>
      <c r="F2111" s="671">
        <v>20</v>
      </c>
      <c r="G2111" s="597">
        <v>1</v>
      </c>
      <c r="H2111" s="682">
        <f>IF(F2111=0,0,IF(F2111&lt;=30,(0.7*F2111+1.45)*G2111,((0.7*30+1.45)+0.58*(F2111-30))*G2111))</f>
        <v>15.45</v>
      </c>
      <c r="I2111" s="592"/>
      <c r="J2111" s="592"/>
      <c r="K2111" s="593">
        <f t="shared" si="1322"/>
        <v>0</v>
      </c>
      <c r="L2111" s="594"/>
      <c r="M2111" s="92"/>
      <c r="N2111" s="92"/>
      <c r="O2111" s="93">
        <f t="shared" si="1323"/>
        <v>0</v>
      </c>
      <c r="P2111" s="93">
        <f t="shared" si="1324"/>
        <v>0</v>
      </c>
      <c r="Q2111" s="94"/>
      <c r="R2111" s="92">
        <f t="shared" si="1336"/>
        <v>0</v>
      </c>
      <c r="S2111" s="92">
        <f t="shared" si="1336"/>
        <v>0</v>
      </c>
      <c r="T2111" s="93">
        <f t="shared" si="1325"/>
        <v>0</v>
      </c>
      <c r="U2111" s="95">
        <f t="shared" si="1321"/>
        <v>0</v>
      </c>
      <c r="V2111" s="94"/>
      <c r="W2111" s="96" t="str">
        <f>IF(U2107&gt;0,"xx",IF(P2107&gt;0,"xy",""))</f>
        <v/>
      </c>
      <c r="X2111" s="580" t="str">
        <f t="shared" si="1334"/>
        <v/>
      </c>
      <c r="Y2111" s="580" t="str">
        <f t="shared" si="1338"/>
        <v/>
      </c>
      <c r="Z2111" s="580" t="str">
        <f t="shared" si="1328"/>
        <v/>
      </c>
    </row>
    <row r="2112" spans="1:26" hidden="1" x14ac:dyDescent="0.2">
      <c r="A2112" s="1008">
        <v>611700</v>
      </c>
      <c r="B2112" s="1010">
        <v>611700</v>
      </c>
      <c r="C2112" s="978" t="s">
        <v>212</v>
      </c>
      <c r="D2112" s="595" t="s">
        <v>418</v>
      </c>
      <c r="E2112" s="596"/>
      <c r="F2112" s="671"/>
      <c r="G2112" s="597"/>
      <c r="H2112" s="682">
        <f>SUM(H2113:H2116)</f>
        <v>250.30898600000003</v>
      </c>
      <c r="I2112" s="592">
        <v>3354.4300000000003</v>
      </c>
      <c r="J2112" s="592">
        <f t="shared" ref="J2112" si="1340">IF(ISBLANK(I2112),"",SUM(H2112:I2112))</f>
        <v>3604.7389860000003</v>
      </c>
      <c r="K2112" s="593">
        <f t="shared" si="1322"/>
        <v>4387.33</v>
      </c>
      <c r="L2112" s="594" t="s">
        <v>19</v>
      </c>
      <c r="M2112" s="92"/>
      <c r="N2112" s="92"/>
      <c r="O2112" s="93">
        <f t="shared" si="1323"/>
        <v>0</v>
      </c>
      <c r="P2112" s="93">
        <f t="shared" si="1324"/>
        <v>0</v>
      </c>
      <c r="Q2112" s="94"/>
      <c r="R2112" s="92">
        <f t="shared" si="1336"/>
        <v>0</v>
      </c>
      <c r="S2112" s="92">
        <f t="shared" si="1336"/>
        <v>0</v>
      </c>
      <c r="T2112" s="93">
        <f t="shared" si="1325"/>
        <v>0</v>
      </c>
      <c r="U2112" s="95">
        <f t="shared" si="1321"/>
        <v>0</v>
      </c>
      <c r="V2112" s="94"/>
      <c r="X2112" s="580" t="str">
        <f t="shared" si="1334"/>
        <v/>
      </c>
      <c r="Y2112" s="580" t="str">
        <f t="shared" si="1338"/>
        <v/>
      </c>
      <c r="Z2112" s="580" t="str">
        <f t="shared" si="1328"/>
        <v/>
      </c>
    </row>
    <row r="2113" spans="1:26" hidden="1" x14ac:dyDescent="0.2">
      <c r="A2113" s="97" t="s">
        <v>165</v>
      </c>
      <c r="B2113" s="1031" t="s">
        <v>165</v>
      </c>
      <c r="C2113" s="978"/>
      <c r="D2113" s="595" t="s">
        <v>218</v>
      </c>
      <c r="E2113" s="596"/>
      <c r="F2113" s="671">
        <v>500</v>
      </c>
      <c r="G2113" s="597">
        <v>0.30620000000000003</v>
      </c>
      <c r="H2113" s="682">
        <f>IF(F2113&lt;=30,(0.51*F2113+4.28)*G2113,((0.51*30+4.28)+0.42*(F2113-30))*G2113)</f>
        <v>66.439276000000007</v>
      </c>
      <c r="I2113" s="592"/>
      <c r="J2113" s="592"/>
      <c r="K2113" s="593">
        <f t="shared" si="1322"/>
        <v>0</v>
      </c>
      <c r="L2113" s="594"/>
      <c r="M2113" s="92"/>
      <c r="N2113" s="92"/>
      <c r="O2113" s="93">
        <f t="shared" si="1323"/>
        <v>0</v>
      </c>
      <c r="P2113" s="93">
        <f t="shared" si="1324"/>
        <v>0</v>
      </c>
      <c r="Q2113" s="94"/>
      <c r="R2113" s="92">
        <f t="shared" si="1336"/>
        <v>0</v>
      </c>
      <c r="S2113" s="92">
        <f t="shared" si="1336"/>
        <v>0</v>
      </c>
      <c r="T2113" s="93">
        <f t="shared" si="1325"/>
        <v>0</v>
      </c>
      <c r="U2113" s="95">
        <f t="shared" si="1321"/>
        <v>0</v>
      </c>
      <c r="V2113" s="94"/>
      <c r="W2113" s="96" t="str">
        <f>IF(U2112&gt;0,"xx",IF(P2112&gt;0,"xy",""))</f>
        <v/>
      </c>
      <c r="X2113" s="580" t="str">
        <f t="shared" si="1334"/>
        <v/>
      </c>
      <c r="Y2113" s="580" t="str">
        <f t="shared" si="1338"/>
        <v/>
      </c>
      <c r="Z2113" s="580" t="str">
        <f t="shared" si="1328"/>
        <v/>
      </c>
    </row>
    <row r="2114" spans="1:26" hidden="1" x14ac:dyDescent="0.2">
      <c r="A2114" s="97" t="s">
        <v>165</v>
      </c>
      <c r="B2114" s="1031" t="s">
        <v>165</v>
      </c>
      <c r="C2114" s="978"/>
      <c r="D2114" s="595" t="s">
        <v>257</v>
      </c>
      <c r="E2114" s="596"/>
      <c r="F2114" s="671">
        <v>180</v>
      </c>
      <c r="G2114" s="597">
        <v>1.1047</v>
      </c>
      <c r="H2114" s="682">
        <f>IF(F2114=0,0,IF(F2114&lt;=30,(0.7*F2114+1.45)*G2114,((0.7*30+1.45)+0.58*(F2114-30))*G2114))</f>
        <v>120.90941500000001</v>
      </c>
      <c r="I2114" s="592"/>
      <c r="J2114" s="592"/>
      <c r="K2114" s="593">
        <f t="shared" si="1322"/>
        <v>0</v>
      </c>
      <c r="L2114" s="594"/>
      <c r="M2114" s="92"/>
      <c r="N2114" s="92"/>
      <c r="O2114" s="93">
        <f t="shared" si="1323"/>
        <v>0</v>
      </c>
      <c r="P2114" s="93">
        <f t="shared" si="1324"/>
        <v>0</v>
      </c>
      <c r="Q2114" s="94"/>
      <c r="R2114" s="92">
        <f t="shared" si="1336"/>
        <v>0</v>
      </c>
      <c r="S2114" s="92">
        <f t="shared" si="1336"/>
        <v>0</v>
      </c>
      <c r="T2114" s="93">
        <f t="shared" si="1325"/>
        <v>0</v>
      </c>
      <c r="U2114" s="95">
        <f t="shared" si="1321"/>
        <v>0</v>
      </c>
      <c r="V2114" s="94"/>
      <c r="W2114" s="96" t="str">
        <f>IF(U2112&gt;0,"xx",IF(P2112&gt;0,"xy",""))</f>
        <v/>
      </c>
      <c r="X2114" s="580" t="str">
        <f t="shared" si="1334"/>
        <v/>
      </c>
      <c r="Y2114" s="580" t="str">
        <f t="shared" si="1338"/>
        <v/>
      </c>
      <c r="Z2114" s="580" t="str">
        <f t="shared" si="1328"/>
        <v/>
      </c>
    </row>
    <row r="2115" spans="1:26" hidden="1" x14ac:dyDescent="0.2">
      <c r="A2115" s="97" t="s">
        <v>165</v>
      </c>
      <c r="B2115" s="1031" t="s">
        <v>165</v>
      </c>
      <c r="C2115" s="978"/>
      <c r="D2115" s="595" t="s">
        <v>261</v>
      </c>
      <c r="E2115" s="596"/>
      <c r="F2115" s="671">
        <v>20</v>
      </c>
      <c r="G2115" s="597">
        <v>1.9251</v>
      </c>
      <c r="H2115" s="682">
        <f>IF(F2115=0,0,IF(F2115&lt;=30,(0.7*F2115+1.45)*G2115,((0.7*30+1.45)+0.58*(F2115-30))*G2115))</f>
        <v>29.742794999999997</v>
      </c>
      <c r="I2115" s="592"/>
      <c r="J2115" s="592"/>
      <c r="K2115" s="593">
        <f t="shared" si="1322"/>
        <v>0</v>
      </c>
      <c r="L2115" s="594"/>
      <c r="M2115" s="92"/>
      <c r="N2115" s="92"/>
      <c r="O2115" s="93">
        <f t="shared" si="1323"/>
        <v>0</v>
      </c>
      <c r="P2115" s="93">
        <f t="shared" si="1324"/>
        <v>0</v>
      </c>
      <c r="Q2115" s="94"/>
      <c r="R2115" s="92">
        <f t="shared" si="1336"/>
        <v>0</v>
      </c>
      <c r="S2115" s="92">
        <f t="shared" si="1336"/>
        <v>0</v>
      </c>
      <c r="T2115" s="93">
        <f t="shared" si="1325"/>
        <v>0</v>
      </c>
      <c r="U2115" s="95">
        <f t="shared" si="1321"/>
        <v>0</v>
      </c>
      <c r="V2115" s="94"/>
      <c r="W2115" s="96" t="str">
        <f>IF(U2112&gt;0,"xx",IF(P2112&gt;0,"xy",""))</f>
        <v/>
      </c>
      <c r="X2115" s="580" t="str">
        <f t="shared" si="1334"/>
        <v/>
      </c>
      <c r="Y2115" s="580" t="str">
        <f t="shared" si="1338"/>
        <v/>
      </c>
      <c r="Z2115" s="580" t="str">
        <f t="shared" si="1328"/>
        <v/>
      </c>
    </row>
    <row r="2116" spans="1:26" hidden="1" x14ac:dyDescent="0.2">
      <c r="A2116" s="97" t="s">
        <v>165</v>
      </c>
      <c r="B2116" s="1031" t="s">
        <v>165</v>
      </c>
      <c r="C2116" s="978"/>
      <c r="D2116" s="595" t="s">
        <v>366</v>
      </c>
      <c r="E2116" s="596"/>
      <c r="F2116" s="671">
        <v>20</v>
      </c>
      <c r="G2116" s="597">
        <v>2.15</v>
      </c>
      <c r="H2116" s="682">
        <f>IF(F2116=0,0,IF(F2116&lt;=30,(0.7*F2116+1.45)*G2116,((0.7*30+1.45)+0.58*(F2116-30))*G2116))</f>
        <v>33.217499999999994</v>
      </c>
      <c r="I2116" s="592"/>
      <c r="J2116" s="592"/>
      <c r="K2116" s="593">
        <f t="shared" si="1322"/>
        <v>0</v>
      </c>
      <c r="L2116" s="594"/>
      <c r="M2116" s="92"/>
      <c r="N2116" s="92"/>
      <c r="O2116" s="93">
        <f t="shared" si="1323"/>
        <v>0</v>
      </c>
      <c r="P2116" s="93">
        <f t="shared" si="1324"/>
        <v>0</v>
      </c>
      <c r="Q2116" s="94"/>
      <c r="R2116" s="92">
        <f t="shared" si="1336"/>
        <v>0</v>
      </c>
      <c r="S2116" s="92">
        <f t="shared" si="1336"/>
        <v>0</v>
      </c>
      <c r="T2116" s="93">
        <f t="shared" si="1325"/>
        <v>0</v>
      </c>
      <c r="U2116" s="95">
        <f t="shared" si="1321"/>
        <v>0</v>
      </c>
      <c r="V2116" s="94"/>
      <c r="W2116" s="96" t="str">
        <f>IF(U2112&gt;0,"xx",IF(P2112&gt;0,"xy",""))</f>
        <v/>
      </c>
      <c r="X2116" s="580" t="str">
        <f t="shared" si="1334"/>
        <v/>
      </c>
      <c r="Y2116" s="580" t="str">
        <f t="shared" si="1338"/>
        <v/>
      </c>
      <c r="Z2116" s="580" t="str">
        <f t="shared" si="1328"/>
        <v/>
      </c>
    </row>
    <row r="2117" spans="1:26" hidden="1" x14ac:dyDescent="0.2">
      <c r="A2117" s="97" t="s">
        <v>24</v>
      </c>
      <c r="B2117" s="1031" t="s">
        <v>24</v>
      </c>
      <c r="C2117" s="978" t="s">
        <v>212</v>
      </c>
      <c r="D2117" s="595" t="s">
        <v>69</v>
      </c>
      <c r="E2117" s="596"/>
      <c r="F2117" s="671"/>
      <c r="G2117" s="597"/>
      <c r="H2117" s="682">
        <f>SUM(H2118:H2122)</f>
        <v>124.690641492</v>
      </c>
      <c r="I2117" s="592">
        <f>VLOOKUP(D2117,'ENSAIOS DE ORÇAMENTO'!$C$3:$L$79,8,FALSE)</f>
        <v>1106.2077400000001</v>
      </c>
      <c r="J2117" s="592">
        <f t="shared" ref="J2117" si="1341">IF(ISBLANK(I2117),"",SUM(H2117:I2117))</f>
        <v>1230.898381492</v>
      </c>
      <c r="K2117" s="593">
        <f t="shared" si="1322"/>
        <v>1498.13</v>
      </c>
      <c r="L2117" s="594" t="s">
        <v>21</v>
      </c>
      <c r="M2117" s="92"/>
      <c r="N2117" s="92"/>
      <c r="O2117" s="93">
        <f t="shared" si="1323"/>
        <v>0</v>
      </c>
      <c r="P2117" s="93">
        <f t="shared" si="1324"/>
        <v>0</v>
      </c>
      <c r="Q2117" s="94"/>
      <c r="R2117" s="92">
        <f t="shared" si="1336"/>
        <v>0</v>
      </c>
      <c r="S2117" s="92">
        <f t="shared" si="1336"/>
        <v>0</v>
      </c>
      <c r="T2117" s="93">
        <f t="shared" si="1325"/>
        <v>0</v>
      </c>
      <c r="U2117" s="95">
        <f t="shared" si="1321"/>
        <v>0</v>
      </c>
      <c r="V2117" s="94"/>
      <c r="X2117" s="580" t="str">
        <f t="shared" si="1334"/>
        <v/>
      </c>
      <c r="Y2117" s="580" t="str">
        <f t="shared" si="1338"/>
        <v/>
      </c>
      <c r="Z2117" s="580" t="str">
        <f t="shared" si="1328"/>
        <v/>
      </c>
    </row>
    <row r="2118" spans="1:26" hidden="1" x14ac:dyDescent="0.2">
      <c r="A2118" s="97" t="s">
        <v>165</v>
      </c>
      <c r="B2118" s="1031" t="s">
        <v>165</v>
      </c>
      <c r="C2118" s="978"/>
      <c r="D2118" s="595" t="s">
        <v>218</v>
      </c>
      <c r="E2118" s="596"/>
      <c r="F2118" s="671">
        <v>500</v>
      </c>
      <c r="G2118" s="597">
        <f>VLOOKUP(D2117,'ENSAIOS DE ORÇAMENTO'!$C$3:$L$79,4,FALSE)</f>
        <v>0.11541040000000001</v>
      </c>
      <c r="H2118" s="682">
        <f>IF(F2118&lt;=30,(0.51*F2118+4.28)*G2118,((0.51*30+4.28)+0.42*(F2118-30))*G2118)</f>
        <v>25.041748592000005</v>
      </c>
      <c r="I2118" s="592"/>
      <c r="J2118" s="592"/>
      <c r="K2118" s="593">
        <f t="shared" si="1322"/>
        <v>0</v>
      </c>
      <c r="L2118" s="594"/>
      <c r="M2118" s="92"/>
      <c r="N2118" s="92"/>
      <c r="O2118" s="93">
        <f t="shared" si="1323"/>
        <v>0</v>
      </c>
      <c r="P2118" s="93">
        <f t="shared" si="1324"/>
        <v>0</v>
      </c>
      <c r="Q2118" s="94"/>
      <c r="R2118" s="92">
        <f t="shared" si="1336"/>
        <v>0</v>
      </c>
      <c r="S2118" s="92">
        <f t="shared" si="1336"/>
        <v>0</v>
      </c>
      <c r="T2118" s="93">
        <f t="shared" si="1325"/>
        <v>0</v>
      </c>
      <c r="U2118" s="95">
        <f t="shared" si="1321"/>
        <v>0</v>
      </c>
      <c r="V2118" s="94"/>
      <c r="W2118" s="96" t="str">
        <f>IF(U2117&gt;0,"xx",IF(P2117&gt;0,"xy",""))</f>
        <v/>
      </c>
      <c r="X2118" s="580" t="str">
        <f t="shared" si="1334"/>
        <v/>
      </c>
      <c r="Y2118" s="580" t="str">
        <f t="shared" si="1338"/>
        <v/>
      </c>
      <c r="Z2118" s="580" t="str">
        <f t="shared" si="1328"/>
        <v/>
      </c>
    </row>
    <row r="2119" spans="1:26" hidden="1" x14ac:dyDescent="0.2">
      <c r="A2119" s="97" t="s">
        <v>165</v>
      </c>
      <c r="B2119" s="1031" t="s">
        <v>165</v>
      </c>
      <c r="C2119" s="978"/>
      <c r="D2119" s="595" t="s">
        <v>257</v>
      </c>
      <c r="E2119" s="596"/>
      <c r="F2119" s="671">
        <v>180</v>
      </c>
      <c r="G2119" s="597">
        <f>VLOOKUP(D2117,'ENSAIOS DE ORÇAMENTO'!$C$3:$L$79,5,FALSE)</f>
        <v>0.62209000000000003</v>
      </c>
      <c r="H2119" s="682">
        <f>IF(F2119=0,0,IF(F2119&lt;=30,(0.7*F2119+1.45)*G2119,((0.7*30+1.45)+0.58*(F2119-30))*G2119))</f>
        <v>68.087750499999999</v>
      </c>
      <c r="I2119" s="592"/>
      <c r="J2119" s="592"/>
      <c r="K2119" s="593">
        <f t="shared" si="1322"/>
        <v>0</v>
      </c>
      <c r="L2119" s="594"/>
      <c r="M2119" s="92"/>
      <c r="N2119" s="92"/>
      <c r="O2119" s="93">
        <f t="shared" si="1323"/>
        <v>0</v>
      </c>
      <c r="P2119" s="93">
        <f t="shared" si="1324"/>
        <v>0</v>
      </c>
      <c r="Q2119" s="94"/>
      <c r="R2119" s="92">
        <f t="shared" si="1336"/>
        <v>0</v>
      </c>
      <c r="S2119" s="92">
        <f t="shared" si="1336"/>
        <v>0</v>
      </c>
      <c r="T2119" s="93">
        <f t="shared" si="1325"/>
        <v>0</v>
      </c>
      <c r="U2119" s="95">
        <f t="shared" si="1321"/>
        <v>0</v>
      </c>
      <c r="V2119" s="94"/>
      <c r="W2119" s="96" t="str">
        <f>IF(U2117&gt;0,"xx",IF(P2117&gt;0,"xy",""))</f>
        <v/>
      </c>
      <c r="X2119" s="580" t="str">
        <f t="shared" si="1334"/>
        <v/>
      </c>
      <c r="Y2119" s="580" t="str">
        <f t="shared" si="1338"/>
        <v/>
      </c>
      <c r="Z2119" s="580" t="str">
        <f t="shared" si="1328"/>
        <v/>
      </c>
    </row>
    <row r="2120" spans="1:26" hidden="1" x14ac:dyDescent="0.2">
      <c r="A2120" s="97" t="s">
        <v>165</v>
      </c>
      <c r="B2120" s="1031" t="s">
        <v>165</v>
      </c>
      <c r="C2120" s="978"/>
      <c r="D2120" s="595" t="s">
        <v>261</v>
      </c>
      <c r="E2120" s="596"/>
      <c r="F2120" s="671">
        <v>20</v>
      </c>
      <c r="G2120" s="597">
        <f>VLOOKUP(D2117,'ENSAIOS DE ORÇAMENTO'!$C$3:$L$79,6,FALSE)</f>
        <v>0.20424000000000003</v>
      </c>
      <c r="H2120" s="682">
        <f>IF(F2120=0,0,IF(F2120&lt;=30,(0.7*F2120+1.45)*G2120,((0.7*30+1.45)+0.58*(F2120-30))*G2120))</f>
        <v>3.1555080000000002</v>
      </c>
      <c r="I2120" s="592"/>
      <c r="J2120" s="592"/>
      <c r="K2120" s="593">
        <f t="shared" si="1322"/>
        <v>0</v>
      </c>
      <c r="L2120" s="594"/>
      <c r="M2120" s="92"/>
      <c r="N2120" s="92"/>
      <c r="O2120" s="93">
        <f t="shared" si="1323"/>
        <v>0</v>
      </c>
      <c r="P2120" s="93">
        <f t="shared" si="1324"/>
        <v>0</v>
      </c>
      <c r="Q2120" s="94"/>
      <c r="R2120" s="92">
        <f t="shared" si="1336"/>
        <v>0</v>
      </c>
      <c r="S2120" s="92">
        <f t="shared" si="1336"/>
        <v>0</v>
      </c>
      <c r="T2120" s="93">
        <f t="shared" si="1325"/>
        <v>0</v>
      </c>
      <c r="U2120" s="95">
        <f t="shared" si="1321"/>
        <v>0</v>
      </c>
      <c r="V2120" s="94"/>
      <c r="W2120" s="96" t="str">
        <f>IF(U2117&gt;0,"xx",IF(P2117&gt;0,"xy",""))</f>
        <v/>
      </c>
      <c r="X2120" s="580" t="str">
        <f t="shared" si="1334"/>
        <v/>
      </c>
      <c r="Y2120" s="580" t="str">
        <f t="shared" si="1338"/>
        <v/>
      </c>
      <c r="Z2120" s="580" t="str">
        <f t="shared" si="1328"/>
        <v/>
      </c>
    </row>
    <row r="2121" spans="1:26" hidden="1" x14ac:dyDescent="0.2">
      <c r="A2121" s="97" t="s">
        <v>165</v>
      </c>
      <c r="B2121" s="1031" t="s">
        <v>165</v>
      </c>
      <c r="C2121" s="978"/>
      <c r="D2121" s="595" t="s">
        <v>419</v>
      </c>
      <c r="E2121" s="596"/>
      <c r="F2121" s="671">
        <v>30</v>
      </c>
      <c r="G2121" s="597">
        <f>VLOOKUP(D2117,'ENSAIOS DE ORÇAMENTO'!$C$3:$L$79,3,FALSE)</f>
        <v>0.87983999999999996</v>
      </c>
      <c r="H2121" s="682">
        <f>IF(F2121=0,0,IF(F2121&lt;=30,(0.7*F2121+1.45)*G2121,((0.7*30+1.45)+0.58*(F2121-30))*G2121))</f>
        <v>19.752407999999999</v>
      </c>
      <c r="I2121" s="592"/>
      <c r="J2121" s="592"/>
      <c r="K2121" s="593">
        <f t="shared" si="1322"/>
        <v>0</v>
      </c>
      <c r="L2121" s="594"/>
      <c r="M2121" s="92"/>
      <c r="N2121" s="92"/>
      <c r="O2121" s="93">
        <f t="shared" si="1323"/>
        <v>0</v>
      </c>
      <c r="P2121" s="93">
        <f t="shared" si="1324"/>
        <v>0</v>
      </c>
      <c r="Q2121" s="94"/>
      <c r="R2121" s="92">
        <f t="shared" si="1336"/>
        <v>0</v>
      </c>
      <c r="S2121" s="92">
        <f t="shared" si="1336"/>
        <v>0</v>
      </c>
      <c r="T2121" s="93">
        <f t="shared" si="1325"/>
        <v>0</v>
      </c>
      <c r="U2121" s="95">
        <f t="shared" si="1321"/>
        <v>0</v>
      </c>
      <c r="V2121" s="94"/>
      <c r="W2121" s="96" t="str">
        <f>IF(U2117&gt;0,"xx",IF(P2117&gt;0,"xy",""))</f>
        <v/>
      </c>
      <c r="X2121" s="580" t="str">
        <f t="shared" si="1334"/>
        <v/>
      </c>
      <c r="Y2121" s="580" t="str">
        <f t="shared" si="1338"/>
        <v/>
      </c>
      <c r="Z2121" s="580" t="str">
        <f t="shared" si="1328"/>
        <v/>
      </c>
    </row>
    <row r="2122" spans="1:26" hidden="1" x14ac:dyDescent="0.2">
      <c r="A2122" s="97" t="s">
        <v>165</v>
      </c>
      <c r="B2122" s="1031" t="s">
        <v>165</v>
      </c>
      <c r="C2122" s="978"/>
      <c r="D2122" s="595" t="s">
        <v>420</v>
      </c>
      <c r="E2122" s="596"/>
      <c r="F2122" s="671">
        <v>500</v>
      </c>
      <c r="G2122" s="597">
        <f>VLOOKUP(D2117,'ENSAIOS DE ORÇAMENTO'!$C$3:$L$79,10,FALSE)</f>
        <v>2.9328E-2</v>
      </c>
      <c r="H2122" s="682">
        <f>IF(F2122=0,0,IF(F2122&lt;=30,(0.7*F2122+1.45)*G2122,((0.7*30+1.45)+0.58*(F2122-30))*G2122))</f>
        <v>8.6532263999999994</v>
      </c>
      <c r="I2122" s="592"/>
      <c r="J2122" s="592"/>
      <c r="K2122" s="593">
        <f t="shared" si="1322"/>
        <v>0</v>
      </c>
      <c r="L2122" s="594"/>
      <c r="M2122" s="92"/>
      <c r="N2122" s="92"/>
      <c r="O2122" s="93">
        <f t="shared" si="1323"/>
        <v>0</v>
      </c>
      <c r="P2122" s="93">
        <f t="shared" si="1324"/>
        <v>0</v>
      </c>
      <c r="Q2122" s="94"/>
      <c r="R2122" s="92">
        <f t="shared" si="1336"/>
        <v>0</v>
      </c>
      <c r="S2122" s="92">
        <f t="shared" si="1336"/>
        <v>0</v>
      </c>
      <c r="T2122" s="93">
        <f t="shared" si="1325"/>
        <v>0</v>
      </c>
      <c r="U2122" s="95">
        <f t="shared" si="1321"/>
        <v>0</v>
      </c>
      <c r="V2122" s="94"/>
      <c r="W2122" s="96" t="str">
        <f>IF(U2117&gt;0,"xx",IF(P2117&gt;0,"xy",""))</f>
        <v/>
      </c>
      <c r="X2122" s="580" t="str">
        <f t="shared" si="1334"/>
        <v/>
      </c>
      <c r="Y2122" s="580" t="str">
        <f t="shared" si="1338"/>
        <v/>
      </c>
      <c r="Z2122" s="580" t="str">
        <f t="shared" si="1328"/>
        <v/>
      </c>
    </row>
    <row r="2123" spans="1:26" hidden="1" x14ac:dyDescent="0.2">
      <c r="A2123" s="97" t="s">
        <v>25</v>
      </c>
      <c r="B2123" s="1031" t="s">
        <v>25</v>
      </c>
      <c r="C2123" s="978" t="s">
        <v>212</v>
      </c>
      <c r="D2123" s="595" t="s">
        <v>70</v>
      </c>
      <c r="E2123" s="596"/>
      <c r="F2123" s="671"/>
      <c r="G2123" s="597"/>
      <c r="H2123" s="682">
        <f>SUM(H2124:H2128)</f>
        <v>147.55104584000003</v>
      </c>
      <c r="I2123" s="592">
        <f>VLOOKUP(D2123,'ENSAIOS DE ORÇAMENTO'!$C$3:$L$79,8,FALSE)</f>
        <v>1221.9025200000001</v>
      </c>
      <c r="J2123" s="592">
        <f t="shared" ref="J2123" si="1342">IF(ISBLANK(I2123),"",SUM(H2123:I2123))</f>
        <v>1369.45356584</v>
      </c>
      <c r="K2123" s="593">
        <f t="shared" si="1322"/>
        <v>1666.76</v>
      </c>
      <c r="L2123" s="594" t="s">
        <v>21</v>
      </c>
      <c r="M2123" s="92"/>
      <c r="N2123" s="92"/>
      <c r="O2123" s="93">
        <f t="shared" si="1323"/>
        <v>0</v>
      </c>
      <c r="P2123" s="93">
        <f t="shared" si="1324"/>
        <v>0</v>
      </c>
      <c r="Q2123" s="94"/>
      <c r="R2123" s="92">
        <f t="shared" si="1336"/>
        <v>0</v>
      </c>
      <c r="S2123" s="92">
        <f t="shared" si="1336"/>
        <v>0</v>
      </c>
      <c r="T2123" s="93">
        <f t="shared" si="1325"/>
        <v>0</v>
      </c>
      <c r="U2123" s="95">
        <f t="shared" si="1321"/>
        <v>0</v>
      </c>
      <c r="V2123" s="94"/>
      <c r="X2123" s="580" t="str">
        <f t="shared" si="1334"/>
        <v/>
      </c>
      <c r="Y2123" s="580" t="str">
        <f t="shared" si="1338"/>
        <v/>
      </c>
      <c r="Z2123" s="580" t="str">
        <f t="shared" si="1328"/>
        <v/>
      </c>
    </row>
    <row r="2124" spans="1:26" hidden="1" x14ac:dyDescent="0.2">
      <c r="A2124" s="97" t="s">
        <v>165</v>
      </c>
      <c r="B2124" s="1031" t="s">
        <v>165</v>
      </c>
      <c r="C2124" s="978"/>
      <c r="D2124" s="595" t="s">
        <v>218</v>
      </c>
      <c r="E2124" s="596"/>
      <c r="F2124" s="671">
        <v>500</v>
      </c>
      <c r="G2124" s="597">
        <f>VLOOKUP(D2123,'ENSAIOS DE ORÇAMENTO'!$C$3:$L$79,4,FALSE)</f>
        <v>0.132608</v>
      </c>
      <c r="H2124" s="682">
        <f>IF(F2124&lt;=30,(0.51*F2124+4.28)*G2124,((0.51*30+4.28)+0.42*(F2124-30))*G2124)</f>
        <v>28.773283840000005</v>
      </c>
      <c r="I2124" s="592"/>
      <c r="J2124" s="592"/>
      <c r="K2124" s="593">
        <f t="shared" si="1322"/>
        <v>0</v>
      </c>
      <c r="L2124" s="594"/>
      <c r="M2124" s="92"/>
      <c r="N2124" s="92"/>
      <c r="O2124" s="93">
        <f t="shared" si="1323"/>
        <v>0</v>
      </c>
      <c r="P2124" s="93">
        <f t="shared" si="1324"/>
        <v>0</v>
      </c>
      <c r="Q2124" s="94"/>
      <c r="R2124" s="92">
        <f t="shared" si="1336"/>
        <v>0</v>
      </c>
      <c r="S2124" s="92">
        <f t="shared" si="1336"/>
        <v>0</v>
      </c>
      <c r="T2124" s="93">
        <f t="shared" si="1325"/>
        <v>0</v>
      </c>
      <c r="U2124" s="95">
        <f t="shared" si="1321"/>
        <v>0</v>
      </c>
      <c r="V2124" s="94"/>
      <c r="W2124" s="96" t="str">
        <f>IF(U2123&gt;0,"xx",IF(P2123&gt;0,"xy",""))</f>
        <v/>
      </c>
      <c r="X2124" s="580" t="str">
        <f t="shared" si="1334"/>
        <v/>
      </c>
      <c r="Y2124" s="580" t="str">
        <f t="shared" si="1338"/>
        <v/>
      </c>
      <c r="Z2124" s="580" t="str">
        <f t="shared" si="1328"/>
        <v/>
      </c>
    </row>
    <row r="2125" spans="1:26" hidden="1" x14ac:dyDescent="0.2">
      <c r="A2125" s="97" t="s">
        <v>165</v>
      </c>
      <c r="B2125" s="1031" t="s">
        <v>165</v>
      </c>
      <c r="C2125" s="978"/>
      <c r="D2125" s="595" t="s">
        <v>257</v>
      </c>
      <c r="E2125" s="596"/>
      <c r="F2125" s="671">
        <v>180</v>
      </c>
      <c r="G2125" s="597">
        <f>VLOOKUP(D2123,'ENSAIOS DE ORÇAMENTO'!$C$3:$L$79,5,FALSE)</f>
        <v>0.73198000000000008</v>
      </c>
      <c r="H2125" s="682">
        <f>IF(F2125=0,0,IF(F2125&lt;=30,(0.7*F2125+1.45)*G2125,((0.7*30+1.45)+0.58*(F2125-30))*G2125))</f>
        <v>80.115211000000016</v>
      </c>
      <c r="I2125" s="592"/>
      <c r="J2125" s="592"/>
      <c r="K2125" s="593">
        <f t="shared" ref="K2125:K2188" si="1343">IF(ISBLANK(I2125),0,ROUND(J2125*(1+$F$10)*(1+$F$11*E2125),2))</f>
        <v>0</v>
      </c>
      <c r="L2125" s="594"/>
      <c r="M2125" s="92"/>
      <c r="N2125" s="92"/>
      <c r="O2125" s="93">
        <f t="shared" si="1323"/>
        <v>0</v>
      </c>
      <c r="P2125" s="93">
        <f t="shared" si="1324"/>
        <v>0</v>
      </c>
      <c r="Q2125" s="94"/>
      <c r="R2125" s="92">
        <f t="shared" si="1336"/>
        <v>0</v>
      </c>
      <c r="S2125" s="92">
        <f t="shared" si="1336"/>
        <v>0</v>
      </c>
      <c r="T2125" s="93">
        <f t="shared" si="1325"/>
        <v>0</v>
      </c>
      <c r="U2125" s="95">
        <f t="shared" si="1321"/>
        <v>0</v>
      </c>
      <c r="V2125" s="94"/>
      <c r="W2125" s="96" t="str">
        <f>IF(U2123&gt;0,"xx",IF(P2123&gt;0,"xy",""))</f>
        <v/>
      </c>
      <c r="X2125" s="580" t="str">
        <f t="shared" si="1334"/>
        <v/>
      </c>
      <c r="Y2125" s="580" t="str">
        <f t="shared" si="1338"/>
        <v/>
      </c>
      <c r="Z2125" s="580" t="str">
        <f t="shared" si="1328"/>
        <v/>
      </c>
    </row>
    <row r="2126" spans="1:26" hidden="1" x14ac:dyDescent="0.2">
      <c r="A2126" s="97" t="s">
        <v>165</v>
      </c>
      <c r="B2126" s="1031" t="s">
        <v>165</v>
      </c>
      <c r="C2126" s="978"/>
      <c r="D2126" s="595" t="s">
        <v>261</v>
      </c>
      <c r="E2126" s="596"/>
      <c r="F2126" s="671">
        <v>20</v>
      </c>
      <c r="G2126" s="597">
        <f>VLOOKUP(D2123,'ENSAIOS DE ORÇAMENTO'!$C$3:$L$79,6,FALSE)</f>
        <v>0.20424000000000003</v>
      </c>
      <c r="H2126" s="682">
        <f>IF(F2126=0,0,IF(F2126&lt;=30,(0.7*F2126+1.45)*G2126,((0.7*30+1.45)+0.58*(F2126-30))*G2126))</f>
        <v>3.1555080000000002</v>
      </c>
      <c r="I2126" s="592"/>
      <c r="J2126" s="592"/>
      <c r="K2126" s="593">
        <f t="shared" si="1343"/>
        <v>0</v>
      </c>
      <c r="L2126" s="594"/>
      <c r="M2126" s="92"/>
      <c r="N2126" s="92"/>
      <c r="O2126" s="93">
        <f t="shared" si="1323"/>
        <v>0</v>
      </c>
      <c r="P2126" s="93">
        <f t="shared" si="1324"/>
        <v>0</v>
      </c>
      <c r="Q2126" s="94"/>
      <c r="R2126" s="92">
        <f t="shared" si="1336"/>
        <v>0</v>
      </c>
      <c r="S2126" s="92">
        <f t="shared" si="1336"/>
        <v>0</v>
      </c>
      <c r="T2126" s="93">
        <f t="shared" si="1325"/>
        <v>0</v>
      </c>
      <c r="U2126" s="95">
        <f t="shared" si="1321"/>
        <v>0</v>
      </c>
      <c r="V2126" s="94"/>
      <c r="W2126" s="96" t="str">
        <f>IF(U2123&gt;0,"xx",IF(P2123&gt;0,"xy",""))</f>
        <v/>
      </c>
      <c r="X2126" s="580" t="str">
        <f t="shared" si="1334"/>
        <v/>
      </c>
      <c r="Y2126" s="580" t="str">
        <f t="shared" si="1338"/>
        <v/>
      </c>
      <c r="Z2126" s="580" t="str">
        <f t="shared" si="1328"/>
        <v/>
      </c>
    </row>
    <row r="2127" spans="1:26" hidden="1" x14ac:dyDescent="0.2">
      <c r="A2127" s="97" t="s">
        <v>165</v>
      </c>
      <c r="B2127" s="1031" t="s">
        <v>165</v>
      </c>
      <c r="C2127" s="978"/>
      <c r="D2127" s="595" t="s">
        <v>419</v>
      </c>
      <c r="E2127" s="596"/>
      <c r="F2127" s="671">
        <v>30</v>
      </c>
      <c r="G2127" s="597">
        <f>VLOOKUP(D2123,'ENSAIOS DE ORÇAMENTO'!$C$3:$L$79,3,FALSE)</f>
        <v>1.0998000000000001</v>
      </c>
      <c r="H2127" s="682">
        <f>IF(F2127=0,0,IF(F2127&lt;=30,(0.7*F2127+1.45)*G2127,((0.7*30+1.45)+0.58*(F2127-30))*G2127))</f>
        <v>24.690510000000003</v>
      </c>
      <c r="I2127" s="592"/>
      <c r="J2127" s="592"/>
      <c r="K2127" s="593">
        <f t="shared" si="1343"/>
        <v>0</v>
      </c>
      <c r="L2127" s="594"/>
      <c r="M2127" s="92"/>
      <c r="N2127" s="92"/>
      <c r="O2127" s="93">
        <f t="shared" si="1323"/>
        <v>0</v>
      </c>
      <c r="P2127" s="93">
        <f t="shared" si="1324"/>
        <v>0</v>
      </c>
      <c r="Q2127" s="94"/>
      <c r="R2127" s="92">
        <f t="shared" si="1336"/>
        <v>0</v>
      </c>
      <c r="S2127" s="92">
        <f t="shared" si="1336"/>
        <v>0</v>
      </c>
      <c r="T2127" s="93">
        <f t="shared" si="1325"/>
        <v>0</v>
      </c>
      <c r="U2127" s="95">
        <f t="shared" si="1321"/>
        <v>0</v>
      </c>
      <c r="V2127" s="94"/>
      <c r="W2127" s="96" t="str">
        <f>IF(U2123&gt;0,"xx",IF(P2123&gt;0,"xy",""))</f>
        <v/>
      </c>
      <c r="X2127" s="580" t="str">
        <f t="shared" si="1334"/>
        <v/>
      </c>
      <c r="Y2127" s="580" t="str">
        <f t="shared" si="1338"/>
        <v/>
      </c>
      <c r="Z2127" s="580" t="str">
        <f t="shared" si="1328"/>
        <v/>
      </c>
    </row>
    <row r="2128" spans="1:26" hidden="1" x14ac:dyDescent="0.2">
      <c r="A2128" s="97" t="s">
        <v>165</v>
      </c>
      <c r="B2128" s="1031" t="s">
        <v>165</v>
      </c>
      <c r="C2128" s="978"/>
      <c r="D2128" s="595" t="s">
        <v>420</v>
      </c>
      <c r="E2128" s="596"/>
      <c r="F2128" s="671">
        <v>500</v>
      </c>
      <c r="G2128" s="597">
        <f>VLOOKUP(D2123,'ENSAIOS DE ORÇAMENTO'!$C$3:$L$79,10,FALSE)</f>
        <v>3.6659999999999998E-2</v>
      </c>
      <c r="H2128" s="682">
        <f>IF(F2128=0,0,IF(F2128&lt;=30,(0.7*F2128+1.45)*G2128,((0.7*30+1.45)+0.58*(F2128-30))*G2128))</f>
        <v>10.816532999999998</v>
      </c>
      <c r="I2128" s="592"/>
      <c r="J2128" s="592"/>
      <c r="K2128" s="593">
        <f t="shared" si="1343"/>
        <v>0</v>
      </c>
      <c r="L2128" s="594"/>
      <c r="M2128" s="92"/>
      <c r="N2128" s="92"/>
      <c r="O2128" s="93">
        <f t="shared" si="1323"/>
        <v>0</v>
      </c>
      <c r="P2128" s="93">
        <f t="shared" si="1324"/>
        <v>0</v>
      </c>
      <c r="Q2128" s="94"/>
      <c r="R2128" s="92">
        <f t="shared" si="1336"/>
        <v>0</v>
      </c>
      <c r="S2128" s="92">
        <f t="shared" si="1336"/>
        <v>0</v>
      </c>
      <c r="T2128" s="93">
        <f t="shared" si="1325"/>
        <v>0</v>
      </c>
      <c r="U2128" s="95">
        <f t="shared" si="1321"/>
        <v>0</v>
      </c>
      <c r="V2128" s="94"/>
      <c r="W2128" s="96" t="str">
        <f>IF(U2123&gt;0,"xx",IF(P2123&gt;0,"xy",""))</f>
        <v/>
      </c>
      <c r="X2128" s="580" t="str">
        <f t="shared" si="1334"/>
        <v/>
      </c>
      <c r="Y2128" s="580" t="str">
        <f t="shared" si="1338"/>
        <v/>
      </c>
      <c r="Z2128" s="580" t="str">
        <f t="shared" si="1328"/>
        <v/>
      </c>
    </row>
    <row r="2129" spans="1:26" hidden="1" x14ac:dyDescent="0.2">
      <c r="A2129" s="97" t="s">
        <v>26</v>
      </c>
      <c r="B2129" s="1031" t="s">
        <v>26</v>
      </c>
      <c r="C2129" s="978" t="s">
        <v>212</v>
      </c>
      <c r="D2129" s="595" t="s">
        <v>71</v>
      </c>
      <c r="E2129" s="596"/>
      <c r="F2129" s="671"/>
      <c r="G2129" s="597"/>
      <c r="H2129" s="682">
        <f>SUM(H2130:H2134)</f>
        <v>185.37811652450003</v>
      </c>
      <c r="I2129" s="592">
        <f>VLOOKUP(D2129,'ENSAIOS DE ORÇAMENTO'!$C$3:$L$79,8,FALSE)</f>
        <v>1413.2740275000001</v>
      </c>
      <c r="J2129" s="592">
        <f t="shared" ref="J2129" si="1344">IF(ISBLANK(I2129),"",SUM(H2129:I2129))</f>
        <v>1598.6521440245001</v>
      </c>
      <c r="K2129" s="593">
        <f t="shared" si="1343"/>
        <v>1945.72</v>
      </c>
      <c r="L2129" s="594" t="s">
        <v>21</v>
      </c>
      <c r="M2129" s="92"/>
      <c r="N2129" s="92"/>
      <c r="O2129" s="93">
        <f t="shared" si="1323"/>
        <v>0</v>
      </c>
      <c r="P2129" s="93">
        <f t="shared" si="1324"/>
        <v>0</v>
      </c>
      <c r="Q2129" s="94"/>
      <c r="R2129" s="92">
        <f t="shared" si="1336"/>
        <v>0</v>
      </c>
      <c r="S2129" s="92">
        <f t="shared" si="1336"/>
        <v>0</v>
      </c>
      <c r="T2129" s="93">
        <f t="shared" si="1325"/>
        <v>0</v>
      </c>
      <c r="U2129" s="95">
        <f t="shared" si="1321"/>
        <v>0</v>
      </c>
      <c r="V2129" s="94"/>
      <c r="X2129" s="580" t="str">
        <f t="shared" si="1334"/>
        <v/>
      </c>
      <c r="Y2129" s="580" t="str">
        <f t="shared" si="1338"/>
        <v/>
      </c>
      <c r="Z2129" s="580" t="str">
        <f t="shared" si="1328"/>
        <v/>
      </c>
    </row>
    <row r="2130" spans="1:26" hidden="1" x14ac:dyDescent="0.2">
      <c r="A2130" s="97" t="s">
        <v>165</v>
      </c>
      <c r="B2130" s="1031" t="s">
        <v>165</v>
      </c>
      <c r="C2130" s="978"/>
      <c r="D2130" s="595" t="s">
        <v>218</v>
      </c>
      <c r="E2130" s="596"/>
      <c r="F2130" s="671">
        <v>500</v>
      </c>
      <c r="G2130" s="597">
        <f>VLOOKUP(D2129,'ENSAIOS DE ORÇAMENTO'!$C$3:$L$79,4,FALSE)</f>
        <v>0.1610819</v>
      </c>
      <c r="H2130" s="682">
        <f>IF(F2130&lt;=30,(0.51*F2130+4.28)*G2130,((0.51*30+4.28)+0.42*(F2130-30))*G2130)</f>
        <v>34.951550662000002</v>
      </c>
      <c r="I2130" s="592"/>
      <c r="J2130" s="592"/>
      <c r="K2130" s="593">
        <f t="shared" si="1343"/>
        <v>0</v>
      </c>
      <c r="L2130" s="594"/>
      <c r="M2130" s="92"/>
      <c r="N2130" s="92"/>
      <c r="O2130" s="93">
        <f t="shared" si="1323"/>
        <v>0</v>
      </c>
      <c r="P2130" s="93">
        <f t="shared" si="1324"/>
        <v>0</v>
      </c>
      <c r="Q2130" s="94"/>
      <c r="R2130" s="92">
        <f t="shared" si="1336"/>
        <v>0</v>
      </c>
      <c r="S2130" s="92">
        <f t="shared" si="1336"/>
        <v>0</v>
      </c>
      <c r="T2130" s="93">
        <f t="shared" si="1325"/>
        <v>0</v>
      </c>
      <c r="U2130" s="95">
        <f t="shared" si="1321"/>
        <v>0</v>
      </c>
      <c r="V2130" s="94"/>
      <c r="W2130" s="96" t="str">
        <f>IF(U2129&gt;0,"xx",IF(P2129&gt;0,"xy",""))</f>
        <v/>
      </c>
      <c r="X2130" s="580" t="str">
        <f t="shared" si="1334"/>
        <v/>
      </c>
      <c r="Y2130" s="580" t="str">
        <f t="shared" si="1338"/>
        <v/>
      </c>
      <c r="Z2130" s="580" t="str">
        <f t="shared" si="1328"/>
        <v/>
      </c>
    </row>
    <row r="2131" spans="1:26" hidden="1" x14ac:dyDescent="0.2">
      <c r="A2131" s="97" t="s">
        <v>165</v>
      </c>
      <c r="B2131" s="1031" t="s">
        <v>165</v>
      </c>
      <c r="C2131" s="978"/>
      <c r="D2131" s="595" t="s">
        <v>257</v>
      </c>
      <c r="E2131" s="596"/>
      <c r="F2131" s="671">
        <v>180</v>
      </c>
      <c r="G2131" s="597">
        <f>VLOOKUP(D2129,'ENSAIOS DE ORÇAMENTO'!$C$3:$L$79,5,FALSE)</f>
        <v>0.91383625000000013</v>
      </c>
      <c r="H2131" s="682">
        <f>IF(F2131=0,0,IF(F2131&lt;=30,(0.7*F2131+1.45)*G2131,((0.7*30+1.45)+0.58*(F2131-30))*G2131))</f>
        <v>100.01937756250001</v>
      </c>
      <c r="I2131" s="592"/>
      <c r="J2131" s="592"/>
      <c r="K2131" s="593">
        <f t="shared" si="1343"/>
        <v>0</v>
      </c>
      <c r="L2131" s="594"/>
      <c r="M2131" s="92"/>
      <c r="N2131" s="92"/>
      <c r="O2131" s="93">
        <f t="shared" si="1323"/>
        <v>0</v>
      </c>
      <c r="P2131" s="93">
        <f t="shared" si="1324"/>
        <v>0</v>
      </c>
      <c r="Q2131" s="94"/>
      <c r="R2131" s="92">
        <f t="shared" si="1336"/>
        <v>0</v>
      </c>
      <c r="S2131" s="92">
        <f t="shared" si="1336"/>
        <v>0</v>
      </c>
      <c r="T2131" s="93">
        <f t="shared" si="1325"/>
        <v>0</v>
      </c>
      <c r="U2131" s="95">
        <f t="shared" si="1321"/>
        <v>0</v>
      </c>
      <c r="V2131" s="94"/>
      <c r="W2131" s="96" t="str">
        <f>IF(U2129&gt;0,"xx",IF(P2129&gt;0,"xy",""))</f>
        <v/>
      </c>
      <c r="X2131" s="580" t="str">
        <f t="shared" si="1334"/>
        <v/>
      </c>
      <c r="Y2131" s="580" t="str">
        <f t="shared" si="1338"/>
        <v/>
      </c>
      <c r="Z2131" s="580" t="str">
        <f t="shared" si="1328"/>
        <v/>
      </c>
    </row>
    <row r="2132" spans="1:26" hidden="1" x14ac:dyDescent="0.2">
      <c r="A2132" s="97" t="s">
        <v>165</v>
      </c>
      <c r="B2132" s="1031" t="s">
        <v>165</v>
      </c>
      <c r="C2132" s="978"/>
      <c r="D2132" s="595" t="s">
        <v>261</v>
      </c>
      <c r="E2132" s="596"/>
      <c r="F2132" s="671">
        <v>20</v>
      </c>
      <c r="G2132" s="597">
        <f>VLOOKUP(D2129,'ENSAIOS DE ORÇAMENTO'!$C$3:$L$79,6,FALSE)</f>
        <v>0.20424000000000003</v>
      </c>
      <c r="H2132" s="682">
        <f>IF(F2132=0,0,IF(F2132&lt;=30,(0.7*F2132+1.45)*G2132,((0.7*30+1.45)+0.58*(F2132-30))*G2132))</f>
        <v>3.1555080000000002</v>
      </c>
      <c r="I2132" s="592"/>
      <c r="J2132" s="592"/>
      <c r="K2132" s="593">
        <f t="shared" si="1343"/>
        <v>0</v>
      </c>
      <c r="L2132" s="594"/>
      <c r="M2132" s="92"/>
      <c r="N2132" s="92"/>
      <c r="O2132" s="93">
        <f t="shared" si="1323"/>
        <v>0</v>
      </c>
      <c r="P2132" s="93">
        <f t="shared" si="1324"/>
        <v>0</v>
      </c>
      <c r="Q2132" s="94"/>
      <c r="R2132" s="92">
        <f t="shared" si="1336"/>
        <v>0</v>
      </c>
      <c r="S2132" s="92">
        <f t="shared" si="1336"/>
        <v>0</v>
      </c>
      <c r="T2132" s="93">
        <f t="shared" si="1325"/>
        <v>0</v>
      </c>
      <c r="U2132" s="95">
        <f t="shared" si="1321"/>
        <v>0</v>
      </c>
      <c r="V2132" s="94"/>
      <c r="W2132" s="96" t="str">
        <f>IF(U2129&gt;0,"xx",IF(P2129&gt;0,"xy",""))</f>
        <v/>
      </c>
      <c r="X2132" s="580" t="str">
        <f t="shared" si="1334"/>
        <v/>
      </c>
      <c r="Y2132" s="580" t="str">
        <f t="shared" si="1338"/>
        <v/>
      </c>
      <c r="Z2132" s="580" t="str">
        <f t="shared" si="1328"/>
        <v/>
      </c>
    </row>
    <row r="2133" spans="1:26" hidden="1" x14ac:dyDescent="0.2">
      <c r="A2133" s="97" t="s">
        <v>165</v>
      </c>
      <c r="B2133" s="1031" t="s">
        <v>165</v>
      </c>
      <c r="C2133" s="978"/>
      <c r="D2133" s="595" t="s">
        <v>419</v>
      </c>
      <c r="E2133" s="596"/>
      <c r="F2133" s="671">
        <v>30</v>
      </c>
      <c r="G2133" s="597">
        <f>VLOOKUP(D2129,'ENSAIOS DE ORÇAMENTO'!$C$3:$L$79,3,FALSE)</f>
        <v>1.4635799999999999</v>
      </c>
      <c r="H2133" s="682">
        <f>IF(F2133=0,0,IF(F2133&lt;=30,(0.7*F2133+1.45)*G2133,((0.7*30+1.45)+0.58*(F2133-30))*G2133))</f>
        <v>32.857370999999993</v>
      </c>
      <c r="I2133" s="592"/>
      <c r="J2133" s="592"/>
      <c r="K2133" s="593">
        <f t="shared" si="1343"/>
        <v>0</v>
      </c>
      <c r="L2133" s="594"/>
      <c r="M2133" s="92"/>
      <c r="N2133" s="92"/>
      <c r="O2133" s="93">
        <f t="shared" si="1323"/>
        <v>0</v>
      </c>
      <c r="P2133" s="93">
        <f t="shared" si="1324"/>
        <v>0</v>
      </c>
      <c r="Q2133" s="94"/>
      <c r="R2133" s="92">
        <f t="shared" si="1336"/>
        <v>0</v>
      </c>
      <c r="S2133" s="92">
        <f t="shared" si="1336"/>
        <v>0</v>
      </c>
      <c r="T2133" s="93">
        <f t="shared" si="1325"/>
        <v>0</v>
      </c>
      <c r="U2133" s="95">
        <f t="shared" si="1321"/>
        <v>0</v>
      </c>
      <c r="V2133" s="94"/>
      <c r="W2133" s="96" t="str">
        <f>IF(U2129&gt;0,"xx",IF(P2129&gt;0,"xy",""))</f>
        <v/>
      </c>
      <c r="X2133" s="580" t="str">
        <f t="shared" si="1334"/>
        <v/>
      </c>
      <c r="Y2133" s="580" t="str">
        <f t="shared" si="1338"/>
        <v/>
      </c>
      <c r="Z2133" s="580" t="str">
        <f t="shared" si="1328"/>
        <v/>
      </c>
    </row>
    <row r="2134" spans="1:26" hidden="1" x14ac:dyDescent="0.2">
      <c r="A2134" s="97" t="s">
        <v>165</v>
      </c>
      <c r="B2134" s="1031" t="s">
        <v>165</v>
      </c>
      <c r="C2134" s="978"/>
      <c r="D2134" s="595" t="s">
        <v>420</v>
      </c>
      <c r="E2134" s="596"/>
      <c r="F2134" s="671">
        <v>500</v>
      </c>
      <c r="G2134" s="597">
        <f>VLOOKUP(D2129,'ENSAIOS DE ORÇAMENTO'!$C$3:$L$79,10,FALSE)</f>
        <v>4.8785999999999996E-2</v>
      </c>
      <c r="H2134" s="682">
        <f>IF(F2134=0,0,IF(F2134&lt;=30,(0.7*F2134+1.45)*G2134,((0.7*30+1.45)+0.58*(F2134-30))*G2134))</f>
        <v>14.394309299999996</v>
      </c>
      <c r="I2134" s="592"/>
      <c r="J2134" s="592"/>
      <c r="K2134" s="593">
        <f t="shared" si="1343"/>
        <v>0</v>
      </c>
      <c r="L2134" s="594"/>
      <c r="M2134" s="92"/>
      <c r="N2134" s="92"/>
      <c r="O2134" s="93">
        <f t="shared" si="1323"/>
        <v>0</v>
      </c>
      <c r="P2134" s="93">
        <f t="shared" si="1324"/>
        <v>0</v>
      </c>
      <c r="Q2134" s="94"/>
      <c r="R2134" s="92">
        <f t="shared" si="1336"/>
        <v>0</v>
      </c>
      <c r="S2134" s="92">
        <f t="shared" si="1336"/>
        <v>0</v>
      </c>
      <c r="T2134" s="93">
        <f t="shared" si="1325"/>
        <v>0</v>
      </c>
      <c r="U2134" s="95">
        <f t="shared" si="1321"/>
        <v>0</v>
      </c>
      <c r="V2134" s="94"/>
      <c r="W2134" s="96" t="str">
        <f>IF(U2129&gt;0,"xx",IF(P2129&gt;0,"xy",""))</f>
        <v/>
      </c>
      <c r="X2134" s="580" t="str">
        <f t="shared" si="1334"/>
        <v/>
      </c>
      <c r="Y2134" s="580" t="str">
        <f t="shared" si="1338"/>
        <v/>
      </c>
      <c r="Z2134" s="580" t="str">
        <f t="shared" si="1328"/>
        <v/>
      </c>
    </row>
    <row r="2135" spans="1:26" hidden="1" x14ac:dyDescent="0.2">
      <c r="A2135" s="97" t="s">
        <v>27</v>
      </c>
      <c r="B2135" s="1031" t="s">
        <v>27</v>
      </c>
      <c r="C2135" s="978" t="s">
        <v>212</v>
      </c>
      <c r="D2135" s="595" t="s">
        <v>72</v>
      </c>
      <c r="E2135" s="596"/>
      <c r="F2135" s="671"/>
      <c r="G2135" s="597"/>
      <c r="H2135" s="682">
        <f>SUM(H2136:H2140)</f>
        <v>224.02599689550001</v>
      </c>
      <c r="I2135" s="592">
        <f>VLOOKUP(D2135,'ENSAIOS DE ORÇAMENTO'!$C$3:$L$79,8,FALSE)</f>
        <v>1609.0049125</v>
      </c>
      <c r="J2135" s="592">
        <f t="shared" ref="J2135" si="1345">IF(ISBLANK(I2135),"",SUM(H2135:I2135))</f>
        <v>1833.0309093955</v>
      </c>
      <c r="K2135" s="593">
        <f t="shared" si="1343"/>
        <v>2230.98</v>
      </c>
      <c r="L2135" s="594" t="s">
        <v>21</v>
      </c>
      <c r="M2135" s="92"/>
      <c r="N2135" s="92"/>
      <c r="O2135" s="93">
        <f t="shared" si="1323"/>
        <v>0</v>
      </c>
      <c r="P2135" s="93">
        <f t="shared" si="1324"/>
        <v>0</v>
      </c>
      <c r="Q2135" s="94"/>
      <c r="R2135" s="92">
        <f t="shared" si="1336"/>
        <v>0</v>
      </c>
      <c r="S2135" s="92">
        <f t="shared" si="1336"/>
        <v>0</v>
      </c>
      <c r="T2135" s="93">
        <f t="shared" si="1325"/>
        <v>0</v>
      </c>
      <c r="U2135" s="95">
        <f t="shared" si="1321"/>
        <v>0</v>
      </c>
      <c r="V2135" s="94"/>
      <c r="X2135" s="580" t="str">
        <f t="shared" si="1334"/>
        <v/>
      </c>
      <c r="Y2135" s="580" t="str">
        <f t="shared" si="1338"/>
        <v/>
      </c>
      <c r="Z2135" s="580" t="str">
        <f t="shared" ref="Z2135:Z2198" si="1346">IF(W2135="X","x",IF(U2135&gt;0,"x",""))</f>
        <v/>
      </c>
    </row>
    <row r="2136" spans="1:26" hidden="1" x14ac:dyDescent="0.2">
      <c r="A2136" s="97" t="s">
        <v>165</v>
      </c>
      <c r="B2136" s="1031" t="s">
        <v>165</v>
      </c>
      <c r="C2136" s="978"/>
      <c r="D2136" s="595" t="s">
        <v>218</v>
      </c>
      <c r="E2136" s="596"/>
      <c r="F2136" s="671">
        <v>500</v>
      </c>
      <c r="G2136" s="597">
        <f>VLOOKUP(D2135,'ENSAIOS DE ORÇAMENTO'!$C$3:$L$79,4,FALSE)</f>
        <v>0.19012209999999999</v>
      </c>
      <c r="H2136" s="682">
        <f>IF(F2136&lt;=30,(0.51*F2136+4.28)*G2136,((0.51*30+4.28)+0.42*(F2136-30))*G2136)</f>
        <v>41.252693258000001</v>
      </c>
      <c r="I2136" s="592"/>
      <c r="J2136" s="592"/>
      <c r="K2136" s="593">
        <f t="shared" si="1343"/>
        <v>0</v>
      </c>
      <c r="L2136" s="594"/>
      <c r="M2136" s="92"/>
      <c r="N2136" s="92"/>
      <c r="O2136" s="93">
        <f t="shared" si="1323"/>
        <v>0</v>
      </c>
      <c r="P2136" s="93">
        <f t="shared" si="1324"/>
        <v>0</v>
      </c>
      <c r="Q2136" s="94"/>
      <c r="R2136" s="92">
        <f t="shared" si="1336"/>
        <v>0</v>
      </c>
      <c r="S2136" s="92">
        <f t="shared" si="1336"/>
        <v>0</v>
      </c>
      <c r="T2136" s="93">
        <f t="shared" si="1325"/>
        <v>0</v>
      </c>
      <c r="U2136" s="95">
        <f t="shared" si="1321"/>
        <v>0</v>
      </c>
      <c r="V2136" s="94"/>
      <c r="W2136" s="96" t="str">
        <f>IF(U2135&gt;0,"xx",IF(P2135&gt;0,"xy",""))</f>
        <v/>
      </c>
      <c r="X2136" s="580" t="str">
        <f t="shared" si="1334"/>
        <v/>
      </c>
      <c r="Y2136" s="580" t="str">
        <f t="shared" si="1338"/>
        <v/>
      </c>
      <c r="Z2136" s="580" t="str">
        <f t="shared" si="1346"/>
        <v/>
      </c>
    </row>
    <row r="2137" spans="1:26" hidden="1" x14ac:dyDescent="0.2">
      <c r="A2137" s="97" t="s">
        <v>165</v>
      </c>
      <c r="B2137" s="1031" t="s">
        <v>165</v>
      </c>
      <c r="C2137" s="978"/>
      <c r="D2137" s="595" t="s">
        <v>257</v>
      </c>
      <c r="E2137" s="596"/>
      <c r="F2137" s="671">
        <v>180</v>
      </c>
      <c r="G2137" s="597">
        <f>VLOOKUP(D2135,'ENSAIOS DE ORÇAMENTO'!$C$3:$L$79,5,FALSE)</f>
        <v>1.09957375</v>
      </c>
      <c r="H2137" s="682">
        <f>IF(F2137=0,0,IF(F2137&lt;=30,(0.7*F2137+1.45)*G2137,((0.7*30+1.45)+0.58*(F2137-30))*G2137))</f>
        <v>120.34834693750001</v>
      </c>
      <c r="I2137" s="592"/>
      <c r="J2137" s="592"/>
      <c r="K2137" s="593">
        <f t="shared" si="1343"/>
        <v>0</v>
      </c>
      <c r="L2137" s="594"/>
      <c r="M2137" s="92"/>
      <c r="N2137" s="92"/>
      <c r="O2137" s="93">
        <f t="shared" si="1323"/>
        <v>0</v>
      </c>
      <c r="P2137" s="93">
        <f t="shared" si="1324"/>
        <v>0</v>
      </c>
      <c r="Q2137" s="94"/>
      <c r="R2137" s="92">
        <f t="shared" si="1336"/>
        <v>0</v>
      </c>
      <c r="S2137" s="92">
        <f t="shared" si="1336"/>
        <v>0</v>
      </c>
      <c r="T2137" s="93">
        <f t="shared" si="1325"/>
        <v>0</v>
      </c>
      <c r="U2137" s="95">
        <f t="shared" si="1321"/>
        <v>0</v>
      </c>
      <c r="V2137" s="94"/>
      <c r="W2137" s="96" t="str">
        <f>IF(U2135&gt;0,"xx",IF(P2135&gt;0,"xy",""))</f>
        <v/>
      </c>
      <c r="X2137" s="580" t="str">
        <f t="shared" si="1334"/>
        <v/>
      </c>
      <c r="Y2137" s="580" t="str">
        <f t="shared" si="1338"/>
        <v/>
      </c>
      <c r="Z2137" s="580" t="str">
        <f t="shared" si="1346"/>
        <v/>
      </c>
    </row>
    <row r="2138" spans="1:26" hidden="1" x14ac:dyDescent="0.2">
      <c r="A2138" s="97" t="s">
        <v>165</v>
      </c>
      <c r="B2138" s="1031" t="s">
        <v>165</v>
      </c>
      <c r="C2138" s="978"/>
      <c r="D2138" s="595" t="s">
        <v>261</v>
      </c>
      <c r="E2138" s="596"/>
      <c r="F2138" s="671">
        <v>20</v>
      </c>
      <c r="G2138" s="597">
        <f>VLOOKUP(D2135,'ENSAIOS DE ORÇAMENTO'!$C$3:$L$79,6,FALSE)</f>
        <v>0.20424000000000003</v>
      </c>
      <c r="H2138" s="682">
        <f>IF(F2138=0,0,IF(F2138&lt;=30,(0.7*F2138+1.45)*G2138,((0.7*30+1.45)+0.58*(F2138-30))*G2138))</f>
        <v>3.1555080000000002</v>
      </c>
      <c r="I2138" s="592"/>
      <c r="J2138" s="592"/>
      <c r="K2138" s="593">
        <f t="shared" si="1343"/>
        <v>0</v>
      </c>
      <c r="L2138" s="594"/>
      <c r="M2138" s="92"/>
      <c r="N2138" s="92"/>
      <c r="O2138" s="93">
        <f t="shared" si="1323"/>
        <v>0</v>
      </c>
      <c r="P2138" s="93">
        <f t="shared" si="1324"/>
        <v>0</v>
      </c>
      <c r="Q2138" s="94"/>
      <c r="R2138" s="92">
        <f t="shared" si="1336"/>
        <v>0</v>
      </c>
      <c r="S2138" s="92">
        <f t="shared" si="1336"/>
        <v>0</v>
      </c>
      <c r="T2138" s="93">
        <f t="shared" si="1325"/>
        <v>0</v>
      </c>
      <c r="U2138" s="95">
        <f t="shared" si="1321"/>
        <v>0</v>
      </c>
      <c r="V2138" s="94"/>
      <c r="W2138" s="96" t="str">
        <f>IF(U2135&gt;0,"xx",IF(P2135&gt;0,"xy",""))</f>
        <v/>
      </c>
      <c r="X2138" s="580" t="str">
        <f t="shared" si="1334"/>
        <v/>
      </c>
      <c r="Y2138" s="580" t="str">
        <f t="shared" si="1338"/>
        <v/>
      </c>
      <c r="Z2138" s="580" t="str">
        <f t="shared" si="1346"/>
        <v/>
      </c>
    </row>
    <row r="2139" spans="1:26" hidden="1" x14ac:dyDescent="0.2">
      <c r="A2139" s="97" t="s">
        <v>165</v>
      </c>
      <c r="B2139" s="1031" t="s">
        <v>165</v>
      </c>
      <c r="C2139" s="978"/>
      <c r="D2139" s="595" t="s">
        <v>419</v>
      </c>
      <c r="E2139" s="596"/>
      <c r="F2139" s="671">
        <v>30</v>
      </c>
      <c r="G2139" s="597">
        <f>VLOOKUP(D2135,'ENSAIOS DE ORÇAMENTO'!$C$3:$L$79,3,FALSE)</f>
        <v>1.8358199999999998</v>
      </c>
      <c r="H2139" s="682">
        <f>IF(F2139=0,0,IF(F2139&lt;=30,(0.7*F2139+1.45)*G2139,((0.7*30+1.45)+0.58*(F2139-30))*G2139))</f>
        <v>41.214158999999995</v>
      </c>
      <c r="I2139" s="592"/>
      <c r="J2139" s="592"/>
      <c r="K2139" s="593">
        <f t="shared" si="1343"/>
        <v>0</v>
      </c>
      <c r="L2139" s="594"/>
      <c r="M2139" s="92"/>
      <c r="N2139" s="92"/>
      <c r="O2139" s="93">
        <f t="shared" si="1323"/>
        <v>0</v>
      </c>
      <c r="P2139" s="93">
        <f t="shared" si="1324"/>
        <v>0</v>
      </c>
      <c r="Q2139" s="94"/>
      <c r="R2139" s="92">
        <f t="shared" si="1336"/>
        <v>0</v>
      </c>
      <c r="S2139" s="92">
        <f t="shared" si="1336"/>
        <v>0</v>
      </c>
      <c r="T2139" s="93">
        <f t="shared" si="1325"/>
        <v>0</v>
      </c>
      <c r="U2139" s="95">
        <f t="shared" si="1321"/>
        <v>0</v>
      </c>
      <c r="V2139" s="94"/>
      <c r="W2139" s="96" t="str">
        <f>IF(U2135&gt;0,"xx",IF(P2135&gt;0,"xy",""))</f>
        <v/>
      </c>
      <c r="X2139" s="580" t="str">
        <f t="shared" si="1334"/>
        <v/>
      </c>
      <c r="Y2139" s="580" t="str">
        <f t="shared" si="1338"/>
        <v/>
      </c>
      <c r="Z2139" s="580" t="str">
        <f t="shared" si="1346"/>
        <v/>
      </c>
    </row>
    <row r="2140" spans="1:26" hidden="1" x14ac:dyDescent="0.2">
      <c r="A2140" s="97" t="s">
        <v>165</v>
      </c>
      <c r="B2140" s="1031" t="s">
        <v>165</v>
      </c>
      <c r="C2140" s="978"/>
      <c r="D2140" s="595" t="s">
        <v>420</v>
      </c>
      <c r="E2140" s="596"/>
      <c r="F2140" s="671">
        <v>500</v>
      </c>
      <c r="G2140" s="597">
        <f>VLOOKUP(D2135,'ENSAIOS DE ORÇAMENTO'!$C$3:$L$79,10,FALSE)</f>
        <v>6.1193999999999998E-2</v>
      </c>
      <c r="H2140" s="682">
        <f>IF(F2140=0,0,IF(F2140&lt;=30,(0.7*F2140+1.45)*G2140,((0.7*30+1.45)+0.58*(F2140-30))*G2140))</f>
        <v>18.055289699999996</v>
      </c>
      <c r="I2140" s="592"/>
      <c r="J2140" s="592"/>
      <c r="K2140" s="593">
        <f t="shared" si="1343"/>
        <v>0</v>
      </c>
      <c r="L2140" s="594"/>
      <c r="M2140" s="92"/>
      <c r="N2140" s="92"/>
      <c r="O2140" s="93">
        <f t="shared" si="1323"/>
        <v>0</v>
      </c>
      <c r="P2140" s="93">
        <f t="shared" si="1324"/>
        <v>0</v>
      </c>
      <c r="Q2140" s="94"/>
      <c r="R2140" s="92">
        <f t="shared" si="1336"/>
        <v>0</v>
      </c>
      <c r="S2140" s="92">
        <f t="shared" si="1336"/>
        <v>0</v>
      </c>
      <c r="T2140" s="93">
        <f t="shared" si="1325"/>
        <v>0</v>
      </c>
      <c r="U2140" s="95">
        <f t="shared" si="1321"/>
        <v>0</v>
      </c>
      <c r="V2140" s="94"/>
      <c r="W2140" s="96" t="str">
        <f>IF(U2135&gt;0,"xx",IF(P2135&gt;0,"xy",""))</f>
        <v/>
      </c>
      <c r="X2140" s="580" t="str">
        <f t="shared" si="1334"/>
        <v/>
      </c>
      <c r="Y2140" s="580" t="str">
        <f t="shared" si="1338"/>
        <v/>
      </c>
      <c r="Z2140" s="580" t="str">
        <f t="shared" si="1346"/>
        <v/>
      </c>
    </row>
    <row r="2141" spans="1:26" x14ac:dyDescent="0.2">
      <c r="A2141" s="97" t="s">
        <v>110</v>
      </c>
      <c r="B2141" s="1107" t="s">
        <v>110</v>
      </c>
      <c r="C2141" s="1108" t="s">
        <v>212</v>
      </c>
      <c r="D2141" s="1109" t="s">
        <v>421</v>
      </c>
      <c r="E2141" s="1110"/>
      <c r="F2141" s="671"/>
      <c r="G2141" s="597"/>
      <c r="H2141" s="682">
        <f>SUM(H2142:H2146)</f>
        <v>33.850391520000002</v>
      </c>
      <c r="I2141" s="592">
        <f>VLOOKUP(D2141,'ENSAIOS DE ORÇAMENTO'!$C$3:$L$79,8,FALSE)</f>
        <v>895.78926000000001</v>
      </c>
      <c r="J2141" s="592">
        <f t="shared" ref="J2141" si="1347">IF(ISBLANK(I2141),"",SUM(H2141:I2141))</f>
        <v>929.63965152000003</v>
      </c>
      <c r="K2141" s="593">
        <f t="shared" si="1343"/>
        <v>1131.46</v>
      </c>
      <c r="L2141" s="594" t="s">
        <v>21</v>
      </c>
      <c r="M2141" s="92">
        <v>26</v>
      </c>
      <c r="N2141" s="92">
        <v>1307.98</v>
      </c>
      <c r="O2141" s="93">
        <f t="shared" si="1323"/>
        <v>29417.96</v>
      </c>
      <c r="P2141" s="93">
        <f t="shared" si="1324"/>
        <v>34007.480000000003</v>
      </c>
      <c r="Q2141" s="94"/>
      <c r="R2141" s="1111">
        <f t="shared" si="1336"/>
        <v>26</v>
      </c>
      <c r="S2141" s="1111">
        <f>K2141</f>
        <v>1131.46</v>
      </c>
      <c r="T2141" s="1112">
        <f t="shared" si="1325"/>
        <v>29417.96</v>
      </c>
      <c r="U2141" s="1113">
        <f t="shared" si="1321"/>
        <v>29417.96</v>
      </c>
      <c r="V2141" s="1114"/>
      <c r="X2141" s="580" t="str">
        <f t="shared" si="1334"/>
        <v>x</v>
      </c>
      <c r="Y2141" s="580" t="str">
        <f t="shared" si="1338"/>
        <v>x</v>
      </c>
      <c r="Z2141" s="580" t="str">
        <f t="shared" si="1346"/>
        <v>x</v>
      </c>
    </row>
    <row r="2142" spans="1:26" hidden="1" x14ac:dyDescent="0.2">
      <c r="A2142" s="97" t="s">
        <v>165</v>
      </c>
      <c r="B2142" s="1031" t="s">
        <v>165</v>
      </c>
      <c r="C2142" s="978"/>
      <c r="D2142" s="595" t="s">
        <v>218</v>
      </c>
      <c r="E2142" s="596"/>
      <c r="F2142" s="1089">
        <v>97.1</v>
      </c>
      <c r="G2142" s="597">
        <f>VLOOKUP(D2141,'ENSAIOS DE ORÇAMENTO'!$C$3:$L$79,4,FALSE)</f>
        <v>0.43266000000000004</v>
      </c>
      <c r="H2142" s="682">
        <f>IF(F2142&lt;=30,(0.51*F2142+4.28)*G2142,((0.51*30+4.28)+0.42*(F2142-30))*G2142)</f>
        <v>20.664706920000004</v>
      </c>
      <c r="I2142" s="592"/>
      <c r="J2142" s="592"/>
      <c r="K2142" s="593">
        <f t="shared" si="1343"/>
        <v>0</v>
      </c>
      <c r="L2142" s="594"/>
      <c r="M2142" s="92"/>
      <c r="N2142" s="92"/>
      <c r="O2142" s="93">
        <f t="shared" si="1323"/>
        <v>0</v>
      </c>
      <c r="P2142" s="93">
        <f t="shared" si="1324"/>
        <v>0</v>
      </c>
      <c r="Q2142" s="94"/>
      <c r="R2142" s="92">
        <f t="shared" si="1336"/>
        <v>0</v>
      </c>
      <c r="S2142" s="92">
        <f t="shared" si="1336"/>
        <v>0</v>
      </c>
      <c r="T2142" s="93">
        <f t="shared" si="1325"/>
        <v>0</v>
      </c>
      <c r="U2142" s="95">
        <f t="shared" si="1321"/>
        <v>0</v>
      </c>
      <c r="V2142" s="94"/>
      <c r="W2142" s="96" t="str">
        <f>IF(U2141&gt;0,"xx",IF(P2141&gt;0,"xy",""))</f>
        <v>xx</v>
      </c>
      <c r="X2142" s="580" t="str">
        <f t="shared" si="1334"/>
        <v>x</v>
      </c>
      <c r="Y2142" s="580" t="str">
        <f t="shared" si="1338"/>
        <v>x</v>
      </c>
      <c r="Z2142" s="580" t="str">
        <f t="shared" si="1346"/>
        <v/>
      </c>
    </row>
    <row r="2143" spans="1:26" hidden="1" x14ac:dyDescent="0.2">
      <c r="A2143" s="97" t="s">
        <v>165</v>
      </c>
      <c r="B2143" s="1031" t="s">
        <v>165</v>
      </c>
      <c r="C2143" s="978"/>
      <c r="D2143" s="595" t="s">
        <v>257</v>
      </c>
      <c r="E2143" s="596"/>
      <c r="F2143" s="1089">
        <v>4.7</v>
      </c>
      <c r="G2143" s="597">
        <f>VLOOKUP(D2141,'ENSAIOS DE ORÇAMENTO'!$C$3:$L$79,5,FALSE)</f>
        <v>1.26997</v>
      </c>
      <c r="H2143" s="682">
        <f>IF(F2143=0,0,IF(F2143&lt;=30,(0.7*F2143+1.45)*G2143,((0.7*30+1.45)+0.58*(F2143-30))*G2143))</f>
        <v>6.0196578000000001</v>
      </c>
      <c r="I2143" s="592"/>
      <c r="J2143" s="592"/>
      <c r="K2143" s="593">
        <f t="shared" si="1343"/>
        <v>0</v>
      </c>
      <c r="L2143" s="594"/>
      <c r="M2143" s="92"/>
      <c r="N2143" s="92"/>
      <c r="O2143" s="93">
        <f t="shared" si="1323"/>
        <v>0</v>
      </c>
      <c r="P2143" s="93">
        <f t="shared" si="1324"/>
        <v>0</v>
      </c>
      <c r="Q2143" s="94"/>
      <c r="R2143" s="92">
        <f t="shared" si="1336"/>
        <v>0</v>
      </c>
      <c r="S2143" s="92">
        <f t="shared" si="1336"/>
        <v>0</v>
      </c>
      <c r="T2143" s="93">
        <f t="shared" si="1325"/>
        <v>0</v>
      </c>
      <c r="U2143" s="95">
        <f t="shared" ref="U2143:U2206" si="1348">IF(ISBLANK(R2143),0,ROUND(R2143*S2143,2))</f>
        <v>0</v>
      </c>
      <c r="V2143" s="94"/>
      <c r="W2143" s="96" t="str">
        <f>IF(U2141&gt;0,"xx",IF(P2141&gt;0,"xy",""))</f>
        <v>xx</v>
      </c>
      <c r="X2143" s="580" t="str">
        <f t="shared" si="1334"/>
        <v>x</v>
      </c>
      <c r="Y2143" s="580" t="str">
        <f t="shared" si="1338"/>
        <v>x</v>
      </c>
      <c r="Z2143" s="580" t="str">
        <f t="shared" si="1346"/>
        <v/>
      </c>
    </row>
    <row r="2144" spans="1:26" hidden="1" x14ac:dyDescent="0.2">
      <c r="A2144" s="97" t="s">
        <v>165</v>
      </c>
      <c r="B2144" s="1031" t="s">
        <v>165</v>
      </c>
      <c r="C2144" s="978"/>
      <c r="D2144" s="595" t="s">
        <v>261</v>
      </c>
      <c r="E2144" s="596"/>
      <c r="F2144" s="1089">
        <v>4.7</v>
      </c>
      <c r="G2144" s="597">
        <f>VLOOKUP(D2141,'ENSAIOS DE ORÇAMENTO'!$C$3:$L$79,6,FALSE)</f>
        <v>1.5118200000000002</v>
      </c>
      <c r="H2144" s="682">
        <f>IF(F2144=0,0,IF(F2144&lt;=30,(0.7*F2144+1.45)*G2144,((0.7*30+1.45)+0.58*(F2144-30))*G2144))</f>
        <v>7.1660268000000009</v>
      </c>
      <c r="I2144" s="592"/>
      <c r="J2144" s="592"/>
      <c r="K2144" s="593">
        <f t="shared" si="1343"/>
        <v>0</v>
      </c>
      <c r="L2144" s="594"/>
      <c r="M2144" s="92"/>
      <c r="N2144" s="92"/>
      <c r="O2144" s="93">
        <f t="shared" si="1323"/>
        <v>0</v>
      </c>
      <c r="P2144" s="93">
        <f t="shared" si="1324"/>
        <v>0</v>
      </c>
      <c r="Q2144" s="94"/>
      <c r="R2144" s="92">
        <f t="shared" si="1336"/>
        <v>0</v>
      </c>
      <c r="S2144" s="92">
        <f t="shared" si="1336"/>
        <v>0</v>
      </c>
      <c r="T2144" s="93">
        <f t="shared" si="1325"/>
        <v>0</v>
      </c>
      <c r="U2144" s="95">
        <f t="shared" si="1348"/>
        <v>0</v>
      </c>
      <c r="V2144" s="94"/>
      <c r="W2144" s="96" t="str">
        <f>IF(U2141&gt;0,"xx",IF(P2141&gt;0,"xy",""))</f>
        <v>xx</v>
      </c>
      <c r="X2144" s="580" t="str">
        <f t="shared" si="1334"/>
        <v>x</v>
      </c>
      <c r="Y2144" s="580" t="str">
        <f t="shared" si="1338"/>
        <v>x</v>
      </c>
      <c r="Z2144" s="580" t="str">
        <f t="shared" si="1346"/>
        <v/>
      </c>
    </row>
    <row r="2145" spans="1:26" hidden="1" x14ac:dyDescent="0.2">
      <c r="A2145" s="97" t="s">
        <v>165</v>
      </c>
      <c r="B2145" s="1031" t="s">
        <v>165</v>
      </c>
      <c r="C2145" s="978"/>
      <c r="D2145" s="595" t="s">
        <v>419</v>
      </c>
      <c r="E2145" s="596"/>
      <c r="F2145" s="1089">
        <v>0.5</v>
      </c>
      <c r="G2145" s="597">
        <f>VLOOKUP(D2141,'ENSAIOS DE ORÇAMENTO'!$C$3:$L$79,3,FALSE)</f>
        <v>0</v>
      </c>
      <c r="H2145" s="682">
        <f>IF(F2145=0,0,IF(F2145&lt;=30,(0.7*F2145+1.45)*G2145,((0.7*30+1.45)+0.58*(F2145-30))*G2145))</f>
        <v>0</v>
      </c>
      <c r="I2145" s="592"/>
      <c r="J2145" s="592"/>
      <c r="K2145" s="593">
        <f t="shared" si="1343"/>
        <v>0</v>
      </c>
      <c r="L2145" s="594"/>
      <c r="M2145" s="92"/>
      <c r="N2145" s="92"/>
      <c r="O2145" s="93">
        <f t="shared" si="1323"/>
        <v>0</v>
      </c>
      <c r="P2145" s="93">
        <f t="shared" si="1324"/>
        <v>0</v>
      </c>
      <c r="Q2145" s="94"/>
      <c r="R2145" s="92">
        <f t="shared" si="1336"/>
        <v>0</v>
      </c>
      <c r="S2145" s="92">
        <f t="shared" si="1336"/>
        <v>0</v>
      </c>
      <c r="T2145" s="93">
        <f t="shared" si="1325"/>
        <v>0</v>
      </c>
      <c r="U2145" s="95">
        <f t="shared" si="1348"/>
        <v>0</v>
      </c>
      <c r="V2145" s="94"/>
      <c r="W2145" s="96" t="str">
        <f>IF(U2141&gt;0,"xx",IF(P2141&gt;0,"xy",""))</f>
        <v>xx</v>
      </c>
      <c r="X2145" s="580" t="str">
        <f t="shared" si="1334"/>
        <v>x</v>
      </c>
      <c r="Y2145" s="580" t="str">
        <f t="shared" si="1338"/>
        <v>x</v>
      </c>
      <c r="Z2145" s="580" t="str">
        <f t="shared" si="1346"/>
        <v/>
      </c>
    </row>
    <row r="2146" spans="1:26" hidden="1" x14ac:dyDescent="0.2">
      <c r="A2146" s="97" t="s">
        <v>165</v>
      </c>
      <c r="B2146" s="1031" t="s">
        <v>165</v>
      </c>
      <c r="C2146" s="978"/>
      <c r="D2146" s="595" t="s">
        <v>420</v>
      </c>
      <c r="E2146" s="596"/>
      <c r="F2146" s="1089">
        <v>125</v>
      </c>
      <c r="G2146" s="597">
        <f>VLOOKUP(D2141,'ENSAIOS DE ORÇAMENTO'!$C$3:$L$79,10,FALSE)</f>
        <v>0</v>
      </c>
      <c r="H2146" s="682">
        <f>IF(F2146=0,0,IF(F2146&lt;=30,(0.7*F2146+1.45)*G2146,((0.7*30+1.45)+0.58*(F2146-30))*G2146))</f>
        <v>0</v>
      </c>
      <c r="I2146" s="592"/>
      <c r="J2146" s="592"/>
      <c r="K2146" s="593">
        <f t="shared" si="1343"/>
        <v>0</v>
      </c>
      <c r="L2146" s="594"/>
      <c r="M2146" s="92"/>
      <c r="N2146" s="92"/>
      <c r="O2146" s="93">
        <f t="shared" si="1323"/>
        <v>0</v>
      </c>
      <c r="P2146" s="93">
        <f t="shared" si="1324"/>
        <v>0</v>
      </c>
      <c r="Q2146" s="94"/>
      <c r="R2146" s="92">
        <f t="shared" si="1336"/>
        <v>0</v>
      </c>
      <c r="S2146" s="92">
        <f t="shared" si="1336"/>
        <v>0</v>
      </c>
      <c r="T2146" s="93">
        <f t="shared" si="1325"/>
        <v>0</v>
      </c>
      <c r="U2146" s="95">
        <f t="shared" si="1348"/>
        <v>0</v>
      </c>
      <c r="V2146" s="94"/>
      <c r="W2146" s="96" t="str">
        <f>IF(U2141&gt;0,"xx",IF(P2141&gt;0,"xy",""))</f>
        <v>xx</v>
      </c>
      <c r="X2146" s="580" t="str">
        <f t="shared" si="1334"/>
        <v>x</v>
      </c>
      <c r="Y2146" s="580" t="str">
        <f t="shared" si="1338"/>
        <v>x</v>
      </c>
      <c r="Z2146" s="580" t="str">
        <f t="shared" si="1346"/>
        <v/>
      </c>
    </row>
    <row r="2147" spans="1:26" hidden="1" x14ac:dyDescent="0.2">
      <c r="A2147" s="97" t="s">
        <v>111</v>
      </c>
      <c r="B2147" s="1031" t="s">
        <v>111</v>
      </c>
      <c r="C2147" s="978" t="s">
        <v>212</v>
      </c>
      <c r="D2147" s="595" t="s">
        <v>422</v>
      </c>
      <c r="E2147" s="596"/>
      <c r="F2147" s="671"/>
      <c r="G2147" s="597">
        <f>G2171</f>
        <v>0</v>
      </c>
      <c r="H2147" s="682">
        <f>SUM(H2148:H2152)</f>
        <v>318.78799780000003</v>
      </c>
      <c r="I2147" s="592">
        <f>VLOOKUP(D2147,'ENSAIOS DE ORÇAMENTO'!$C$3:$L$79,8,FALSE)</f>
        <v>1060.2349600000002</v>
      </c>
      <c r="J2147" s="592">
        <f t="shared" ref="J2147" si="1349">IF(ISBLANK(I2147),"",SUM(H2147:I2147))</f>
        <v>1379.0229578000003</v>
      </c>
      <c r="K2147" s="593">
        <f t="shared" si="1343"/>
        <v>1678.41</v>
      </c>
      <c r="L2147" s="594" t="s">
        <v>21</v>
      </c>
      <c r="M2147" s="92"/>
      <c r="N2147" s="92"/>
      <c r="O2147" s="93">
        <f t="shared" ref="O2147:O2215" si="1350">IF(ISBLANK(M2147),0,ROUND(K2147*M2147,2))</f>
        <v>0</v>
      </c>
      <c r="P2147" s="93">
        <f t="shared" ref="P2147:P2215" si="1351">IF(ISBLANK(N2147),0,ROUND(M2147*N2147,2))</f>
        <v>0</v>
      </c>
      <c r="Q2147" s="94"/>
      <c r="R2147" s="92">
        <f t="shared" si="1336"/>
        <v>0</v>
      </c>
      <c r="S2147" s="92">
        <f t="shared" si="1336"/>
        <v>0</v>
      </c>
      <c r="T2147" s="93">
        <f t="shared" ref="T2147:T2215" si="1352">IF(ISBLANK(R2147),0,ROUND(K2147*R2147,2))</f>
        <v>0</v>
      </c>
      <c r="U2147" s="95">
        <f t="shared" si="1348"/>
        <v>0</v>
      </c>
      <c r="V2147" s="94"/>
      <c r="X2147" s="580" t="str">
        <f t="shared" si="1334"/>
        <v/>
      </c>
      <c r="Y2147" s="580" t="str">
        <f t="shared" si="1338"/>
        <v/>
      </c>
      <c r="Z2147" s="580" t="str">
        <f t="shared" si="1346"/>
        <v/>
      </c>
    </row>
    <row r="2148" spans="1:26" hidden="1" x14ac:dyDescent="0.2">
      <c r="A2148" s="97" t="s">
        <v>165</v>
      </c>
      <c r="B2148" s="1031" t="s">
        <v>165</v>
      </c>
      <c r="C2148" s="978"/>
      <c r="D2148" s="595" t="s">
        <v>218</v>
      </c>
      <c r="E2148" s="596"/>
      <c r="F2148" s="671">
        <v>500</v>
      </c>
      <c r="G2148" s="597">
        <f>VLOOKUP(D2147,'ENSAIOS DE ORÇAMENTO'!$C$3:$L$79,4,FALSE)</f>
        <v>0.54156000000000004</v>
      </c>
      <c r="H2148" s="682">
        <f>IF(F2148&lt;=30,(0.51*F2148+4.28)*G2148,((0.51*30+4.28)+0.42*(F2148-30))*G2148)</f>
        <v>117.50768880000003</v>
      </c>
      <c r="I2148" s="592"/>
      <c r="J2148" s="592"/>
      <c r="K2148" s="593">
        <f t="shared" si="1343"/>
        <v>0</v>
      </c>
      <c r="L2148" s="594"/>
      <c r="M2148" s="92"/>
      <c r="N2148" s="92"/>
      <c r="O2148" s="93">
        <f t="shared" si="1350"/>
        <v>0</v>
      </c>
      <c r="P2148" s="93">
        <f t="shared" si="1351"/>
        <v>0</v>
      </c>
      <c r="Q2148" s="94"/>
      <c r="R2148" s="92">
        <f t="shared" si="1336"/>
        <v>0</v>
      </c>
      <c r="S2148" s="92">
        <f t="shared" si="1336"/>
        <v>0</v>
      </c>
      <c r="T2148" s="93">
        <f t="shared" si="1352"/>
        <v>0</v>
      </c>
      <c r="U2148" s="95">
        <f t="shared" si="1348"/>
        <v>0</v>
      </c>
      <c r="V2148" s="94"/>
      <c r="W2148" s="96" t="str">
        <f>IF(U2147&gt;0,"xx",IF(P2147&gt;0,"xy",""))</f>
        <v/>
      </c>
      <c r="X2148" s="580" t="str">
        <f t="shared" si="1334"/>
        <v/>
      </c>
      <c r="Y2148" s="580" t="str">
        <f t="shared" si="1338"/>
        <v/>
      </c>
      <c r="Z2148" s="580" t="str">
        <f t="shared" si="1346"/>
        <v/>
      </c>
    </row>
    <row r="2149" spans="1:26" hidden="1" x14ac:dyDescent="0.2">
      <c r="A2149" s="97" t="s">
        <v>165</v>
      </c>
      <c r="B2149" s="1031" t="s">
        <v>165</v>
      </c>
      <c r="C2149" s="978"/>
      <c r="D2149" s="595" t="s">
        <v>257</v>
      </c>
      <c r="E2149" s="596"/>
      <c r="F2149" s="671">
        <v>180</v>
      </c>
      <c r="G2149" s="597">
        <f>VLOOKUP(D2147,'ENSAIOS DE ORÇAMENTO'!$C$3:$L$79,5,FALSE)</f>
        <v>1.5739000000000001</v>
      </c>
      <c r="H2149" s="682">
        <f>IF(F2149=0,0,IF(F2149&lt;=30,(0.7*F2149+1.45)*G2149,((0.7*30+1.45)+0.58*(F2149-30))*G2149))</f>
        <v>172.26335500000002</v>
      </c>
      <c r="I2149" s="592"/>
      <c r="J2149" s="592"/>
      <c r="K2149" s="593">
        <f t="shared" si="1343"/>
        <v>0</v>
      </c>
      <c r="L2149" s="594"/>
      <c r="M2149" s="92"/>
      <c r="N2149" s="92"/>
      <c r="O2149" s="93">
        <f t="shared" si="1350"/>
        <v>0</v>
      </c>
      <c r="P2149" s="93">
        <f t="shared" si="1351"/>
        <v>0</v>
      </c>
      <c r="Q2149" s="94"/>
      <c r="R2149" s="92">
        <f t="shared" si="1336"/>
        <v>0</v>
      </c>
      <c r="S2149" s="92">
        <f t="shared" si="1336"/>
        <v>0</v>
      </c>
      <c r="T2149" s="93">
        <f t="shared" si="1352"/>
        <v>0</v>
      </c>
      <c r="U2149" s="95">
        <f t="shared" si="1348"/>
        <v>0</v>
      </c>
      <c r="V2149" s="94"/>
      <c r="W2149" s="96" t="str">
        <f>IF(U2147&gt;0,"xx",IF(P2147&gt;0,"xy",""))</f>
        <v/>
      </c>
      <c r="X2149" s="580" t="str">
        <f t="shared" si="1334"/>
        <v/>
      </c>
      <c r="Y2149" s="580" t="str">
        <f t="shared" si="1338"/>
        <v/>
      </c>
      <c r="Z2149" s="580" t="str">
        <f t="shared" si="1346"/>
        <v/>
      </c>
    </row>
    <row r="2150" spans="1:26" hidden="1" x14ac:dyDescent="0.2">
      <c r="A2150" s="97" t="s">
        <v>165</v>
      </c>
      <c r="B2150" s="1031" t="s">
        <v>165</v>
      </c>
      <c r="C2150" s="978"/>
      <c r="D2150" s="595" t="s">
        <v>261</v>
      </c>
      <c r="E2150" s="596"/>
      <c r="F2150" s="671">
        <v>20</v>
      </c>
      <c r="G2150" s="597">
        <f>VLOOKUP(D2147,'ENSAIOS DE ORÇAMENTO'!$C$3:$L$79,6,FALSE)</f>
        <v>1.8781200000000002</v>
      </c>
      <c r="H2150" s="682">
        <f>IF(F2150=0,0,IF(F2150&lt;=30,(0.7*F2150+1.45)*G2150,((0.7*30+1.45)+0.58*(F2150-30))*G2150))</f>
        <v>29.016954000000002</v>
      </c>
      <c r="I2150" s="592"/>
      <c r="J2150" s="592"/>
      <c r="K2150" s="593">
        <f t="shared" si="1343"/>
        <v>0</v>
      </c>
      <c r="L2150" s="594"/>
      <c r="M2150" s="92"/>
      <c r="N2150" s="92"/>
      <c r="O2150" s="93">
        <f t="shared" si="1350"/>
        <v>0</v>
      </c>
      <c r="P2150" s="93">
        <f t="shared" si="1351"/>
        <v>0</v>
      </c>
      <c r="Q2150" s="94"/>
      <c r="R2150" s="92">
        <f t="shared" si="1336"/>
        <v>0</v>
      </c>
      <c r="S2150" s="92">
        <f t="shared" si="1336"/>
        <v>0</v>
      </c>
      <c r="T2150" s="93">
        <f t="shared" si="1352"/>
        <v>0</v>
      </c>
      <c r="U2150" s="95">
        <f t="shared" si="1348"/>
        <v>0</v>
      </c>
      <c r="V2150" s="94"/>
      <c r="W2150" s="96" t="str">
        <f>IF(U2147&gt;0,"xx",IF(P2147&gt;0,"xy",""))</f>
        <v/>
      </c>
      <c r="X2150" s="580" t="str">
        <f t="shared" si="1334"/>
        <v/>
      </c>
      <c r="Y2150" s="580" t="str">
        <f t="shared" si="1338"/>
        <v/>
      </c>
      <c r="Z2150" s="580" t="str">
        <f t="shared" si="1346"/>
        <v/>
      </c>
    </row>
    <row r="2151" spans="1:26" hidden="1" x14ac:dyDescent="0.2">
      <c r="A2151" s="97" t="s">
        <v>165</v>
      </c>
      <c r="B2151" s="1031" t="s">
        <v>165</v>
      </c>
      <c r="C2151" s="978"/>
      <c r="D2151" s="595" t="s">
        <v>419</v>
      </c>
      <c r="E2151" s="596"/>
      <c r="F2151" s="671">
        <v>30</v>
      </c>
      <c r="G2151" s="597">
        <f>VLOOKUP(D2147,'ENSAIOS DE ORÇAMENTO'!$C$3:$L$79,3,FALSE)</f>
        <v>0</v>
      </c>
      <c r="H2151" s="682">
        <f>IF(F2151=0,0,IF(F2151&lt;=30,(0.7*F2151+1.45)*G2151,((0.7*30+1.45)+0.58*(F2151-30))*G2151))</f>
        <v>0</v>
      </c>
      <c r="I2151" s="592"/>
      <c r="J2151" s="592"/>
      <c r="K2151" s="593">
        <f t="shared" si="1343"/>
        <v>0</v>
      </c>
      <c r="L2151" s="594"/>
      <c r="M2151" s="92"/>
      <c r="N2151" s="92"/>
      <c r="O2151" s="93">
        <f t="shared" si="1350"/>
        <v>0</v>
      </c>
      <c r="P2151" s="93">
        <f t="shared" si="1351"/>
        <v>0</v>
      </c>
      <c r="Q2151" s="94"/>
      <c r="R2151" s="92">
        <f t="shared" si="1336"/>
        <v>0</v>
      </c>
      <c r="S2151" s="92">
        <f t="shared" si="1336"/>
        <v>0</v>
      </c>
      <c r="T2151" s="93">
        <f t="shared" si="1352"/>
        <v>0</v>
      </c>
      <c r="U2151" s="95">
        <f t="shared" si="1348"/>
        <v>0</v>
      </c>
      <c r="V2151" s="94"/>
      <c r="W2151" s="96" t="str">
        <f>IF(U2147&gt;0,"xx",IF(P2147&gt;0,"xy",""))</f>
        <v/>
      </c>
      <c r="X2151" s="580" t="str">
        <f t="shared" si="1334"/>
        <v/>
      </c>
      <c r="Y2151" s="580" t="str">
        <f t="shared" si="1338"/>
        <v/>
      </c>
      <c r="Z2151" s="580" t="str">
        <f t="shared" si="1346"/>
        <v/>
      </c>
    </row>
    <row r="2152" spans="1:26" hidden="1" x14ac:dyDescent="0.2">
      <c r="A2152" s="97" t="s">
        <v>165</v>
      </c>
      <c r="B2152" s="1031" t="s">
        <v>165</v>
      </c>
      <c r="C2152" s="978"/>
      <c r="D2152" s="595" t="s">
        <v>420</v>
      </c>
      <c r="E2152" s="596"/>
      <c r="F2152" s="671">
        <v>500</v>
      </c>
      <c r="G2152" s="597">
        <f>VLOOKUP(D2147,'ENSAIOS DE ORÇAMENTO'!$C$3:$L$79,10,FALSE)</f>
        <v>0</v>
      </c>
      <c r="H2152" s="682">
        <f>IF(F2152=0,0,IF(F2152&lt;=30,(0.7*F2152+1.45)*G2152,((0.7*30+1.45)+0.58*(F2152-30))*G2152))</f>
        <v>0</v>
      </c>
      <c r="I2152" s="592"/>
      <c r="J2152" s="592"/>
      <c r="K2152" s="593">
        <f t="shared" si="1343"/>
        <v>0</v>
      </c>
      <c r="L2152" s="594"/>
      <c r="M2152" s="92"/>
      <c r="N2152" s="92"/>
      <c r="O2152" s="93">
        <f t="shared" si="1350"/>
        <v>0</v>
      </c>
      <c r="P2152" s="93">
        <f t="shared" si="1351"/>
        <v>0</v>
      </c>
      <c r="Q2152" s="94"/>
      <c r="R2152" s="92">
        <f t="shared" si="1336"/>
        <v>0</v>
      </c>
      <c r="S2152" s="92">
        <f t="shared" si="1336"/>
        <v>0</v>
      </c>
      <c r="T2152" s="93">
        <f t="shared" si="1352"/>
        <v>0</v>
      </c>
      <c r="U2152" s="95">
        <f t="shared" si="1348"/>
        <v>0</v>
      </c>
      <c r="V2152" s="94"/>
      <c r="W2152" s="96" t="str">
        <f>IF(U2147&gt;0,"xx",IF(P2147&gt;0,"xy",""))</f>
        <v/>
      </c>
      <c r="X2152" s="580" t="str">
        <f t="shared" si="1334"/>
        <v/>
      </c>
      <c r="Y2152" s="580" t="str">
        <f t="shared" si="1338"/>
        <v/>
      </c>
      <c r="Z2152" s="580" t="str">
        <f t="shared" si="1346"/>
        <v/>
      </c>
    </row>
    <row r="2153" spans="1:26" hidden="1" x14ac:dyDescent="0.2">
      <c r="A2153" s="97" t="s">
        <v>112</v>
      </c>
      <c r="B2153" s="1031" t="s">
        <v>112</v>
      </c>
      <c r="C2153" s="978" t="s">
        <v>212</v>
      </c>
      <c r="D2153" s="595" t="s">
        <v>423</v>
      </c>
      <c r="E2153" s="596"/>
      <c r="F2153" s="671"/>
      <c r="G2153" s="597">
        <f>G2177</f>
        <v>0</v>
      </c>
      <c r="H2153" s="682">
        <f>SUM(H2154:H2158)</f>
        <v>421.1484268000001</v>
      </c>
      <c r="I2153" s="592">
        <f>VLOOKUP(D2153,'ENSAIOS DE ORÇAMENTO'!$C$3:$L$79,8,FALSE)</f>
        <v>1330.1117600000002</v>
      </c>
      <c r="J2153" s="592">
        <f t="shared" ref="J2153" si="1353">IF(ISBLANK(I2153),"",SUM(H2153:I2153))</f>
        <v>1751.2601868000004</v>
      </c>
      <c r="K2153" s="593">
        <f t="shared" si="1343"/>
        <v>2131.46</v>
      </c>
      <c r="L2153" s="594" t="s">
        <v>21</v>
      </c>
      <c r="M2153" s="92"/>
      <c r="N2153" s="92"/>
      <c r="O2153" s="93">
        <f t="shared" si="1350"/>
        <v>0</v>
      </c>
      <c r="P2153" s="93">
        <f t="shared" si="1351"/>
        <v>0</v>
      </c>
      <c r="Q2153" s="94"/>
      <c r="R2153" s="92">
        <f t="shared" si="1336"/>
        <v>0</v>
      </c>
      <c r="S2153" s="92">
        <f t="shared" si="1336"/>
        <v>0</v>
      </c>
      <c r="T2153" s="93">
        <f t="shared" si="1352"/>
        <v>0</v>
      </c>
      <c r="U2153" s="95">
        <f t="shared" si="1348"/>
        <v>0</v>
      </c>
      <c r="V2153" s="94"/>
      <c r="X2153" s="580" t="str">
        <f t="shared" si="1334"/>
        <v/>
      </c>
      <c r="Y2153" s="580" t="str">
        <f t="shared" si="1338"/>
        <v/>
      </c>
      <c r="Z2153" s="580" t="str">
        <f t="shared" si="1346"/>
        <v/>
      </c>
    </row>
    <row r="2154" spans="1:26" hidden="1" x14ac:dyDescent="0.2">
      <c r="A2154" s="97" t="s">
        <v>165</v>
      </c>
      <c r="B2154" s="1031" t="s">
        <v>165</v>
      </c>
      <c r="C2154" s="978"/>
      <c r="D2154" s="595" t="s">
        <v>218</v>
      </c>
      <c r="E2154" s="596"/>
      <c r="F2154" s="671">
        <v>500</v>
      </c>
      <c r="G2154" s="597">
        <f>VLOOKUP(D2153,'ENSAIOS DE ORÇAMENTO'!$C$3:$L$79,4,FALSE)</f>
        <v>0.71976000000000007</v>
      </c>
      <c r="H2154" s="682">
        <f>IF(F2154&lt;=30,(0.51*F2154+4.28)*G2154,((0.51*30+4.28)+0.42*(F2154-30))*G2154)</f>
        <v>156.17352480000002</v>
      </c>
      <c r="I2154" s="592"/>
      <c r="J2154" s="592"/>
      <c r="K2154" s="593">
        <f t="shared" si="1343"/>
        <v>0</v>
      </c>
      <c r="L2154" s="594"/>
      <c r="M2154" s="92"/>
      <c r="N2154" s="92"/>
      <c r="O2154" s="93">
        <f t="shared" si="1350"/>
        <v>0</v>
      </c>
      <c r="P2154" s="93">
        <f t="shared" si="1351"/>
        <v>0</v>
      </c>
      <c r="Q2154" s="94"/>
      <c r="R2154" s="92">
        <f t="shared" si="1336"/>
        <v>0</v>
      </c>
      <c r="S2154" s="92">
        <f t="shared" si="1336"/>
        <v>0</v>
      </c>
      <c r="T2154" s="93">
        <f t="shared" si="1352"/>
        <v>0</v>
      </c>
      <c r="U2154" s="95">
        <f t="shared" si="1348"/>
        <v>0</v>
      </c>
      <c r="V2154" s="94"/>
      <c r="W2154" s="96" t="str">
        <f>IF(U2153&gt;0,"xx",IF(P2153&gt;0,"xy",""))</f>
        <v/>
      </c>
      <c r="X2154" s="580" t="str">
        <f t="shared" si="1334"/>
        <v/>
      </c>
      <c r="Y2154" s="580" t="str">
        <f t="shared" si="1338"/>
        <v/>
      </c>
      <c r="Z2154" s="580" t="str">
        <f t="shared" si="1346"/>
        <v/>
      </c>
    </row>
    <row r="2155" spans="1:26" hidden="1" x14ac:dyDescent="0.2">
      <c r="A2155" s="97" t="s">
        <v>165</v>
      </c>
      <c r="B2155" s="1031" t="s">
        <v>165</v>
      </c>
      <c r="C2155" s="978"/>
      <c r="D2155" s="595" t="s">
        <v>257</v>
      </c>
      <c r="E2155" s="596"/>
      <c r="F2155" s="671">
        <v>180</v>
      </c>
      <c r="G2155" s="597">
        <f>VLOOKUP(D2153,'ENSAIOS DE ORÇAMENTO'!$C$3:$L$79,5,FALSE)</f>
        <v>2.0712400000000004</v>
      </c>
      <c r="H2155" s="682">
        <f>IF(F2155=0,0,IF(F2155&lt;=30,(0.7*F2155+1.45)*G2155,((0.7*30+1.45)+0.58*(F2155-30))*G2155))</f>
        <v>226.69721800000005</v>
      </c>
      <c r="I2155" s="592"/>
      <c r="J2155" s="592"/>
      <c r="K2155" s="593">
        <f t="shared" si="1343"/>
        <v>0</v>
      </c>
      <c r="L2155" s="594"/>
      <c r="M2155" s="92"/>
      <c r="N2155" s="92"/>
      <c r="O2155" s="93">
        <f t="shared" si="1350"/>
        <v>0</v>
      </c>
      <c r="P2155" s="93">
        <f t="shared" si="1351"/>
        <v>0</v>
      </c>
      <c r="Q2155" s="94"/>
      <c r="R2155" s="92">
        <f t="shared" si="1336"/>
        <v>0</v>
      </c>
      <c r="S2155" s="92">
        <f t="shared" si="1336"/>
        <v>0</v>
      </c>
      <c r="T2155" s="93">
        <f t="shared" si="1352"/>
        <v>0</v>
      </c>
      <c r="U2155" s="95">
        <f t="shared" si="1348"/>
        <v>0</v>
      </c>
      <c r="V2155" s="94"/>
      <c r="W2155" s="96" t="str">
        <f>IF(U2153&gt;0,"xx",IF(P2153&gt;0,"xy",""))</f>
        <v/>
      </c>
      <c r="X2155" s="580" t="str">
        <f t="shared" si="1334"/>
        <v/>
      </c>
      <c r="Y2155" s="580" t="str">
        <f t="shared" si="1338"/>
        <v/>
      </c>
      <c r="Z2155" s="580" t="str">
        <f t="shared" si="1346"/>
        <v/>
      </c>
    </row>
    <row r="2156" spans="1:26" hidden="1" x14ac:dyDescent="0.2">
      <c r="A2156" s="97" t="s">
        <v>165</v>
      </c>
      <c r="B2156" s="1031" t="s">
        <v>165</v>
      </c>
      <c r="C2156" s="978"/>
      <c r="D2156" s="595" t="s">
        <v>261</v>
      </c>
      <c r="E2156" s="596"/>
      <c r="F2156" s="671">
        <v>20</v>
      </c>
      <c r="G2156" s="597">
        <f>VLOOKUP(D2153,'ENSAIOS DE ORÇAMENTO'!$C$3:$L$79,6,FALSE)</f>
        <v>2.4775200000000002</v>
      </c>
      <c r="H2156" s="682">
        <f>IF(F2156=0,0,IF(F2156&lt;=30,(0.7*F2156+1.45)*G2156,((0.7*30+1.45)+0.58*(F2156-30))*G2156))</f>
        <v>38.277684000000001</v>
      </c>
      <c r="I2156" s="592"/>
      <c r="J2156" s="592"/>
      <c r="K2156" s="593">
        <f t="shared" si="1343"/>
        <v>0</v>
      </c>
      <c r="L2156" s="594"/>
      <c r="M2156" s="92"/>
      <c r="N2156" s="92"/>
      <c r="O2156" s="93">
        <f t="shared" si="1350"/>
        <v>0</v>
      </c>
      <c r="P2156" s="93">
        <f t="shared" si="1351"/>
        <v>0</v>
      </c>
      <c r="Q2156" s="94"/>
      <c r="R2156" s="92">
        <f t="shared" si="1336"/>
        <v>0</v>
      </c>
      <c r="S2156" s="92">
        <f t="shared" si="1336"/>
        <v>0</v>
      </c>
      <c r="T2156" s="93">
        <f t="shared" si="1352"/>
        <v>0</v>
      </c>
      <c r="U2156" s="95">
        <f t="shared" si="1348"/>
        <v>0</v>
      </c>
      <c r="V2156" s="94"/>
      <c r="W2156" s="96" t="str">
        <f>IF(U2153&gt;0,"xx",IF(P2153&gt;0,"xy",""))</f>
        <v/>
      </c>
      <c r="X2156" s="580" t="str">
        <f t="shared" si="1334"/>
        <v/>
      </c>
      <c r="Y2156" s="580" t="str">
        <f t="shared" si="1338"/>
        <v/>
      </c>
      <c r="Z2156" s="580" t="str">
        <f t="shared" si="1346"/>
        <v/>
      </c>
    </row>
    <row r="2157" spans="1:26" hidden="1" x14ac:dyDescent="0.2">
      <c r="A2157" s="97" t="s">
        <v>165</v>
      </c>
      <c r="B2157" s="1031" t="s">
        <v>165</v>
      </c>
      <c r="C2157" s="978"/>
      <c r="D2157" s="595" t="s">
        <v>419</v>
      </c>
      <c r="E2157" s="596"/>
      <c r="F2157" s="671">
        <v>30</v>
      </c>
      <c r="G2157" s="597">
        <f>VLOOKUP(D2153,'ENSAIOS DE ORÇAMENTO'!$C$3:$L$79,3,FALSE)</f>
        <v>0</v>
      </c>
      <c r="H2157" s="682">
        <f>IF(F2157=0,0,IF(F2157&lt;=30,(0.7*F2157+1.45)*G2157,((0.7*30+1.45)+0.58*(F2157-30))*G2157))</f>
        <v>0</v>
      </c>
      <c r="I2157" s="592"/>
      <c r="J2157" s="592"/>
      <c r="K2157" s="593">
        <f t="shared" si="1343"/>
        <v>0</v>
      </c>
      <c r="L2157" s="594"/>
      <c r="M2157" s="92"/>
      <c r="N2157" s="92"/>
      <c r="O2157" s="93">
        <f t="shared" si="1350"/>
        <v>0</v>
      </c>
      <c r="P2157" s="93">
        <f t="shared" si="1351"/>
        <v>0</v>
      </c>
      <c r="Q2157" s="94"/>
      <c r="R2157" s="92">
        <f t="shared" si="1336"/>
        <v>0</v>
      </c>
      <c r="S2157" s="92">
        <f t="shared" si="1336"/>
        <v>0</v>
      </c>
      <c r="T2157" s="93">
        <f t="shared" si="1352"/>
        <v>0</v>
      </c>
      <c r="U2157" s="95">
        <f t="shared" si="1348"/>
        <v>0</v>
      </c>
      <c r="V2157" s="94"/>
      <c r="W2157" s="96" t="str">
        <f>IF(U2153&gt;0,"xx",IF(P2153&gt;0,"xy",""))</f>
        <v/>
      </c>
      <c r="X2157" s="580" t="str">
        <f t="shared" si="1334"/>
        <v/>
      </c>
      <c r="Y2157" s="580" t="str">
        <f t="shared" si="1338"/>
        <v/>
      </c>
      <c r="Z2157" s="580" t="str">
        <f t="shared" si="1346"/>
        <v/>
      </c>
    </row>
    <row r="2158" spans="1:26" hidden="1" x14ac:dyDescent="0.2">
      <c r="A2158" s="97" t="s">
        <v>165</v>
      </c>
      <c r="B2158" s="1031" t="s">
        <v>165</v>
      </c>
      <c r="C2158" s="978"/>
      <c r="D2158" s="595" t="s">
        <v>420</v>
      </c>
      <c r="E2158" s="596"/>
      <c r="F2158" s="671">
        <v>500</v>
      </c>
      <c r="G2158" s="597">
        <f>VLOOKUP(D2153,'ENSAIOS DE ORÇAMENTO'!$C$3:$L$79,10,FALSE)</f>
        <v>0</v>
      </c>
      <c r="H2158" s="682">
        <f>IF(F2158=0,0,IF(F2158&lt;=30,(0.7*F2158+1.45)*G2158,((0.7*30+1.45)+0.58*(F2158-30))*G2158))</f>
        <v>0</v>
      </c>
      <c r="I2158" s="592"/>
      <c r="J2158" s="592"/>
      <c r="K2158" s="593">
        <f t="shared" si="1343"/>
        <v>0</v>
      </c>
      <c r="L2158" s="594"/>
      <c r="M2158" s="92"/>
      <c r="N2158" s="92"/>
      <c r="O2158" s="93">
        <f t="shared" si="1350"/>
        <v>0</v>
      </c>
      <c r="P2158" s="93">
        <f t="shared" si="1351"/>
        <v>0</v>
      </c>
      <c r="Q2158" s="94"/>
      <c r="R2158" s="92">
        <f t="shared" si="1336"/>
        <v>0</v>
      </c>
      <c r="S2158" s="92">
        <f t="shared" si="1336"/>
        <v>0</v>
      </c>
      <c r="T2158" s="93">
        <f t="shared" si="1352"/>
        <v>0</v>
      </c>
      <c r="U2158" s="95">
        <f t="shared" si="1348"/>
        <v>0</v>
      </c>
      <c r="V2158" s="94"/>
      <c r="W2158" s="96" t="str">
        <f>IF(U2153&gt;0,"xx",IF(P2153&gt;0,"xy",""))</f>
        <v/>
      </c>
      <c r="X2158" s="580" t="str">
        <f t="shared" si="1334"/>
        <v/>
      </c>
      <c r="Y2158" s="580" t="str">
        <f t="shared" si="1338"/>
        <v/>
      </c>
      <c r="Z2158" s="580" t="str">
        <f t="shared" si="1346"/>
        <v/>
      </c>
    </row>
    <row r="2159" spans="1:26" hidden="1" x14ac:dyDescent="0.2">
      <c r="A2159" s="97" t="s">
        <v>113</v>
      </c>
      <c r="B2159" s="1031" t="s">
        <v>113</v>
      </c>
      <c r="C2159" s="978" t="s">
        <v>212</v>
      </c>
      <c r="D2159" s="595" t="s">
        <v>424</v>
      </c>
      <c r="E2159" s="596"/>
      <c r="F2159" s="671"/>
      <c r="G2159" s="597">
        <f>G2183</f>
        <v>0</v>
      </c>
      <c r="H2159" s="682">
        <f>SUM(H2160:H2164)</f>
        <v>525.40441930000009</v>
      </c>
      <c r="I2159" s="592">
        <f>VLOOKUP(D2159,'ENSAIOS DE ORÇAMENTO'!$C$3:$L$79,8,FALSE)</f>
        <v>1604.0366599999998</v>
      </c>
      <c r="J2159" s="592">
        <f t="shared" ref="J2159" si="1354">IF(ISBLANK(I2159),"",SUM(H2159:I2159))</f>
        <v>2129.4410792999997</v>
      </c>
      <c r="K2159" s="593">
        <f t="shared" si="1343"/>
        <v>2591.7399999999998</v>
      </c>
      <c r="L2159" s="594" t="s">
        <v>21</v>
      </c>
      <c r="M2159" s="92"/>
      <c r="N2159" s="92"/>
      <c r="O2159" s="93">
        <f t="shared" si="1350"/>
        <v>0</v>
      </c>
      <c r="P2159" s="93">
        <f t="shared" si="1351"/>
        <v>0</v>
      </c>
      <c r="Q2159" s="94"/>
      <c r="R2159" s="92">
        <f t="shared" si="1336"/>
        <v>0</v>
      </c>
      <c r="S2159" s="92">
        <f t="shared" si="1336"/>
        <v>0</v>
      </c>
      <c r="T2159" s="93">
        <f t="shared" si="1352"/>
        <v>0</v>
      </c>
      <c r="U2159" s="95">
        <f t="shared" si="1348"/>
        <v>0</v>
      </c>
      <c r="V2159" s="94"/>
      <c r="X2159" s="580" t="str">
        <f t="shared" si="1334"/>
        <v/>
      </c>
      <c r="Y2159" s="580" t="str">
        <f t="shared" si="1338"/>
        <v/>
      </c>
      <c r="Z2159" s="580" t="str">
        <f t="shared" si="1346"/>
        <v/>
      </c>
    </row>
    <row r="2160" spans="1:26" hidden="1" x14ac:dyDescent="0.2">
      <c r="A2160" s="97" t="s">
        <v>165</v>
      </c>
      <c r="B2160" s="1031" t="s">
        <v>165</v>
      </c>
      <c r="C2160" s="978"/>
      <c r="D2160" s="595" t="s">
        <v>218</v>
      </c>
      <c r="E2160" s="596"/>
      <c r="F2160" s="671">
        <v>500</v>
      </c>
      <c r="G2160" s="597">
        <f>VLOOKUP(D2159,'ENSAIOS DE ORÇAMENTO'!$C$3:$L$79,4,FALSE)</f>
        <v>0.90125999999999995</v>
      </c>
      <c r="H2160" s="682">
        <f>IF(F2160&lt;=30,(0.51*F2160+4.28)*G2160,((0.51*30+4.28)+0.42*(F2160-30))*G2160)</f>
        <v>195.55539480000002</v>
      </c>
      <c r="I2160" s="592"/>
      <c r="J2160" s="592"/>
      <c r="K2160" s="593">
        <f t="shared" si="1343"/>
        <v>0</v>
      </c>
      <c r="L2160" s="594"/>
      <c r="M2160" s="92"/>
      <c r="N2160" s="92"/>
      <c r="O2160" s="93">
        <f t="shared" si="1350"/>
        <v>0</v>
      </c>
      <c r="P2160" s="93">
        <f t="shared" si="1351"/>
        <v>0</v>
      </c>
      <c r="Q2160" s="94"/>
      <c r="R2160" s="92">
        <f t="shared" si="1336"/>
        <v>0</v>
      </c>
      <c r="S2160" s="92">
        <f t="shared" si="1336"/>
        <v>0</v>
      </c>
      <c r="T2160" s="93">
        <f t="shared" si="1352"/>
        <v>0</v>
      </c>
      <c r="U2160" s="95">
        <f t="shared" si="1348"/>
        <v>0</v>
      </c>
      <c r="V2160" s="94"/>
      <c r="W2160" s="96" t="str">
        <f>IF(U2159&gt;0,"xx",IF(P2159&gt;0,"xy",""))</f>
        <v/>
      </c>
      <c r="X2160" s="580" t="str">
        <f t="shared" si="1334"/>
        <v/>
      </c>
      <c r="Y2160" s="580" t="str">
        <f t="shared" si="1338"/>
        <v/>
      </c>
      <c r="Z2160" s="580" t="str">
        <f t="shared" si="1346"/>
        <v/>
      </c>
    </row>
    <row r="2161" spans="1:26" hidden="1" x14ac:dyDescent="0.2">
      <c r="A2161" s="97" t="s">
        <v>165</v>
      </c>
      <c r="B2161" s="1031" t="s">
        <v>165</v>
      </c>
      <c r="C2161" s="978"/>
      <c r="D2161" s="595" t="s">
        <v>257</v>
      </c>
      <c r="E2161" s="596"/>
      <c r="F2161" s="671">
        <v>180</v>
      </c>
      <c r="G2161" s="597">
        <f>VLOOKUP(D2159,'ENSAIOS DE ORÇAMENTO'!$C$3:$L$79,5,FALSE)</f>
        <v>2.5777900000000002</v>
      </c>
      <c r="H2161" s="682">
        <f>IF(F2161=0,0,IF(F2161&lt;=30,(0.7*F2161+1.45)*G2161,((0.7*30+1.45)+0.58*(F2161-30))*G2161))</f>
        <v>282.13911550000006</v>
      </c>
      <c r="I2161" s="592"/>
      <c r="J2161" s="592"/>
      <c r="K2161" s="593">
        <f t="shared" si="1343"/>
        <v>0</v>
      </c>
      <c r="L2161" s="594"/>
      <c r="M2161" s="92"/>
      <c r="N2161" s="92"/>
      <c r="O2161" s="93">
        <f t="shared" si="1350"/>
        <v>0</v>
      </c>
      <c r="P2161" s="93">
        <f t="shared" si="1351"/>
        <v>0</v>
      </c>
      <c r="Q2161" s="94"/>
      <c r="R2161" s="92">
        <f t="shared" si="1336"/>
        <v>0</v>
      </c>
      <c r="S2161" s="92">
        <f t="shared" si="1336"/>
        <v>0</v>
      </c>
      <c r="T2161" s="93">
        <f t="shared" si="1352"/>
        <v>0</v>
      </c>
      <c r="U2161" s="95">
        <f t="shared" si="1348"/>
        <v>0</v>
      </c>
      <c r="V2161" s="94"/>
      <c r="W2161" s="96" t="str">
        <f>IF(U2159&gt;0,"xx",IF(P2159&gt;0,"xy",""))</f>
        <v/>
      </c>
      <c r="X2161" s="580" t="str">
        <f t="shared" si="1334"/>
        <v/>
      </c>
      <c r="Y2161" s="580" t="str">
        <f t="shared" si="1338"/>
        <v/>
      </c>
      <c r="Z2161" s="580" t="str">
        <f t="shared" si="1346"/>
        <v/>
      </c>
    </row>
    <row r="2162" spans="1:26" hidden="1" x14ac:dyDescent="0.2">
      <c r="A2162" s="97" t="s">
        <v>165</v>
      </c>
      <c r="B2162" s="1031" t="s">
        <v>165</v>
      </c>
      <c r="C2162" s="978"/>
      <c r="D2162" s="595" t="s">
        <v>261</v>
      </c>
      <c r="E2162" s="596"/>
      <c r="F2162" s="671">
        <v>20</v>
      </c>
      <c r="G2162" s="597">
        <f>VLOOKUP(D2159,'ENSAIOS DE ORÇAMENTO'!$C$3:$L$79,6,FALSE)</f>
        <v>3.0880200000000002</v>
      </c>
      <c r="H2162" s="682">
        <f>IF(F2162=0,0,IF(F2162&lt;=30,(0.7*F2162+1.45)*G2162,((0.7*30+1.45)+0.58*(F2162-30))*G2162))</f>
        <v>47.709909000000003</v>
      </c>
      <c r="I2162" s="592"/>
      <c r="J2162" s="592"/>
      <c r="K2162" s="593">
        <f t="shared" si="1343"/>
        <v>0</v>
      </c>
      <c r="L2162" s="594"/>
      <c r="M2162" s="92"/>
      <c r="N2162" s="92"/>
      <c r="O2162" s="93">
        <f t="shared" si="1350"/>
        <v>0</v>
      </c>
      <c r="P2162" s="93">
        <f t="shared" si="1351"/>
        <v>0</v>
      </c>
      <c r="Q2162" s="94"/>
      <c r="R2162" s="92">
        <f t="shared" si="1336"/>
        <v>0</v>
      </c>
      <c r="S2162" s="92">
        <f t="shared" si="1336"/>
        <v>0</v>
      </c>
      <c r="T2162" s="93">
        <f t="shared" si="1352"/>
        <v>0</v>
      </c>
      <c r="U2162" s="95">
        <f t="shared" si="1348"/>
        <v>0</v>
      </c>
      <c r="V2162" s="94"/>
      <c r="W2162" s="96" t="str">
        <f>IF(U2159&gt;0,"xx",IF(P2159&gt;0,"xy",""))</f>
        <v/>
      </c>
      <c r="X2162" s="580" t="str">
        <f t="shared" si="1334"/>
        <v/>
      </c>
      <c r="Y2162" s="580" t="str">
        <f t="shared" si="1338"/>
        <v/>
      </c>
      <c r="Z2162" s="580" t="str">
        <f t="shared" si="1346"/>
        <v/>
      </c>
    </row>
    <row r="2163" spans="1:26" hidden="1" x14ac:dyDescent="0.2">
      <c r="A2163" s="97" t="s">
        <v>165</v>
      </c>
      <c r="B2163" s="1031" t="s">
        <v>165</v>
      </c>
      <c r="C2163" s="978"/>
      <c r="D2163" s="595" t="s">
        <v>419</v>
      </c>
      <c r="E2163" s="596"/>
      <c r="F2163" s="671">
        <v>30</v>
      </c>
      <c r="G2163" s="597">
        <f>VLOOKUP(D2159,'ENSAIOS DE ORÇAMENTO'!$C$3:$L$79,3,FALSE)</f>
        <v>0</v>
      </c>
      <c r="H2163" s="682">
        <f>IF(F2163=0,0,IF(F2163&lt;=30,(0.7*F2163+1.45)*G2163,((0.7*30+1.45)+0.58*(F2163-30))*G2163))</f>
        <v>0</v>
      </c>
      <c r="I2163" s="592"/>
      <c r="J2163" s="592"/>
      <c r="K2163" s="593">
        <f t="shared" si="1343"/>
        <v>0</v>
      </c>
      <c r="L2163" s="594"/>
      <c r="M2163" s="92"/>
      <c r="N2163" s="92"/>
      <c r="O2163" s="93">
        <f t="shared" si="1350"/>
        <v>0</v>
      </c>
      <c r="P2163" s="93">
        <f t="shared" si="1351"/>
        <v>0</v>
      </c>
      <c r="Q2163" s="94"/>
      <c r="R2163" s="92">
        <f t="shared" si="1336"/>
        <v>0</v>
      </c>
      <c r="S2163" s="92">
        <f t="shared" si="1336"/>
        <v>0</v>
      </c>
      <c r="T2163" s="93">
        <f t="shared" si="1352"/>
        <v>0</v>
      </c>
      <c r="U2163" s="95">
        <f t="shared" si="1348"/>
        <v>0</v>
      </c>
      <c r="V2163" s="94"/>
      <c r="W2163" s="96" t="str">
        <f>IF(U2159&gt;0,"xx",IF(P2159&gt;0,"xy",""))</f>
        <v/>
      </c>
      <c r="X2163" s="580" t="str">
        <f t="shared" si="1334"/>
        <v/>
      </c>
      <c r="Y2163" s="580" t="str">
        <f t="shared" si="1338"/>
        <v/>
      </c>
      <c r="Z2163" s="580" t="str">
        <f t="shared" si="1346"/>
        <v/>
      </c>
    </row>
    <row r="2164" spans="1:26" hidden="1" x14ac:dyDescent="0.2">
      <c r="A2164" s="97" t="s">
        <v>165</v>
      </c>
      <c r="B2164" s="1031" t="s">
        <v>165</v>
      </c>
      <c r="C2164" s="978"/>
      <c r="D2164" s="595" t="s">
        <v>420</v>
      </c>
      <c r="E2164" s="596"/>
      <c r="F2164" s="671">
        <v>500</v>
      </c>
      <c r="G2164" s="597">
        <f>VLOOKUP(D2159,'ENSAIOS DE ORÇAMENTO'!$C$3:$L$79,10,FALSE)</f>
        <v>0</v>
      </c>
      <c r="H2164" s="682">
        <f>IF(F2164=0,0,IF(F2164&lt;=30,(0.7*F2164+1.45)*G2164,((0.7*30+1.45)+0.58*(F2164-30))*G2164))</f>
        <v>0</v>
      </c>
      <c r="I2164" s="592"/>
      <c r="J2164" s="592"/>
      <c r="K2164" s="593">
        <f t="shared" si="1343"/>
        <v>0</v>
      </c>
      <c r="L2164" s="594"/>
      <c r="M2164" s="92"/>
      <c r="N2164" s="92"/>
      <c r="O2164" s="93">
        <f t="shared" si="1350"/>
        <v>0</v>
      </c>
      <c r="P2164" s="93">
        <f t="shared" si="1351"/>
        <v>0</v>
      </c>
      <c r="Q2164" s="94"/>
      <c r="R2164" s="92">
        <f t="shared" si="1336"/>
        <v>0</v>
      </c>
      <c r="S2164" s="92">
        <f t="shared" si="1336"/>
        <v>0</v>
      </c>
      <c r="T2164" s="93">
        <f t="shared" si="1352"/>
        <v>0</v>
      </c>
      <c r="U2164" s="95">
        <f t="shared" si="1348"/>
        <v>0</v>
      </c>
      <c r="V2164" s="94"/>
      <c r="W2164" s="96" t="str">
        <f>IF(U2159&gt;0,"xx",IF(P2159&gt;0,"xy",""))</f>
        <v/>
      </c>
      <c r="X2164" s="580" t="str">
        <f t="shared" si="1334"/>
        <v/>
      </c>
      <c r="Y2164" s="580" t="str">
        <f t="shared" si="1338"/>
        <v/>
      </c>
      <c r="Z2164" s="580" t="str">
        <f t="shared" si="1346"/>
        <v/>
      </c>
    </row>
    <row r="2165" spans="1:26" hidden="1" x14ac:dyDescent="0.2">
      <c r="A2165" s="97" t="s">
        <v>28</v>
      </c>
      <c r="B2165" s="1031" t="s">
        <v>28</v>
      </c>
      <c r="C2165" s="978" t="s">
        <v>212</v>
      </c>
      <c r="D2165" s="595" t="s">
        <v>105</v>
      </c>
      <c r="E2165" s="596"/>
      <c r="F2165" s="671"/>
      <c r="G2165" s="597"/>
      <c r="H2165" s="682">
        <f>SUM(H2166:H2170)</f>
        <v>121.48272890000001</v>
      </c>
      <c r="I2165" s="592">
        <f>VLOOKUP(D2165,'ENSAIOS DE ORÇAMENTO'!$C$3:$L$79,8,FALSE)</f>
        <v>1723.0975800000001</v>
      </c>
      <c r="J2165" s="592">
        <f t="shared" ref="J2165" si="1355">IF(ISBLANK(I2165),"",SUM(H2165:I2165))</f>
        <v>1844.5803089000001</v>
      </c>
      <c r="K2165" s="593">
        <f t="shared" si="1343"/>
        <v>2245.04</v>
      </c>
      <c r="L2165" s="594" t="s">
        <v>21</v>
      </c>
      <c r="M2165" s="92"/>
      <c r="N2165" s="92"/>
      <c r="O2165" s="93">
        <f t="shared" si="1350"/>
        <v>0</v>
      </c>
      <c r="P2165" s="93">
        <f t="shared" si="1351"/>
        <v>0</v>
      </c>
      <c r="Q2165" s="94"/>
      <c r="R2165" s="92">
        <f t="shared" si="1336"/>
        <v>0</v>
      </c>
      <c r="S2165" s="92">
        <f t="shared" si="1336"/>
        <v>0</v>
      </c>
      <c r="T2165" s="93">
        <f t="shared" si="1352"/>
        <v>0</v>
      </c>
      <c r="U2165" s="95">
        <f t="shared" si="1348"/>
        <v>0</v>
      </c>
      <c r="V2165" s="94"/>
      <c r="X2165" s="580" t="str">
        <f t="shared" si="1334"/>
        <v/>
      </c>
      <c r="Y2165" s="580" t="str">
        <f t="shared" si="1338"/>
        <v/>
      </c>
      <c r="Z2165" s="580" t="str">
        <f t="shared" si="1346"/>
        <v/>
      </c>
    </row>
    <row r="2166" spans="1:26" hidden="1" x14ac:dyDescent="0.2">
      <c r="A2166" s="97" t="s">
        <v>165</v>
      </c>
      <c r="B2166" s="1031" t="s">
        <v>165</v>
      </c>
      <c r="C2166" s="978"/>
      <c r="D2166" s="595" t="s">
        <v>218</v>
      </c>
      <c r="E2166" s="596"/>
      <c r="F2166" s="671">
        <v>500</v>
      </c>
      <c r="G2166" s="597">
        <f>VLOOKUP(D2165,'ENSAIOS DE ORÇAMENTO'!$C$3:$L$79,4,FALSE)</f>
        <v>0.20478000000000002</v>
      </c>
      <c r="H2166" s="682">
        <f>IF(F2166&lt;=30,(0.51*F2166+4.28)*G2166,((0.51*30+4.28)+0.42*(F2166-30))*G2166)</f>
        <v>44.43316440000001</v>
      </c>
      <c r="I2166" s="592"/>
      <c r="J2166" s="592"/>
      <c r="K2166" s="593">
        <f t="shared" si="1343"/>
        <v>0</v>
      </c>
      <c r="L2166" s="594"/>
      <c r="M2166" s="92"/>
      <c r="N2166" s="92"/>
      <c r="O2166" s="93">
        <f t="shared" si="1350"/>
        <v>0</v>
      </c>
      <c r="P2166" s="93">
        <f t="shared" si="1351"/>
        <v>0</v>
      </c>
      <c r="Q2166" s="94"/>
      <c r="R2166" s="92">
        <f t="shared" si="1336"/>
        <v>0</v>
      </c>
      <c r="S2166" s="92">
        <f t="shared" si="1336"/>
        <v>0</v>
      </c>
      <c r="T2166" s="93">
        <f t="shared" si="1352"/>
        <v>0</v>
      </c>
      <c r="U2166" s="95">
        <f t="shared" si="1348"/>
        <v>0</v>
      </c>
      <c r="V2166" s="94"/>
      <c r="W2166" s="96" t="str">
        <f>IF(U2165&gt;0,"xx",IF(P2165&gt;0,"xy",""))</f>
        <v/>
      </c>
      <c r="X2166" s="580" t="str">
        <f t="shared" si="1334"/>
        <v/>
      </c>
      <c r="Y2166" s="580" t="str">
        <f t="shared" si="1338"/>
        <v/>
      </c>
      <c r="Z2166" s="580" t="str">
        <f t="shared" si="1346"/>
        <v/>
      </c>
    </row>
    <row r="2167" spans="1:26" hidden="1" x14ac:dyDescent="0.2">
      <c r="A2167" s="97" t="s">
        <v>165</v>
      </c>
      <c r="B2167" s="1031" t="s">
        <v>165</v>
      </c>
      <c r="C2167" s="978"/>
      <c r="D2167" s="595" t="s">
        <v>257</v>
      </c>
      <c r="E2167" s="596"/>
      <c r="F2167" s="671">
        <v>180</v>
      </c>
      <c r="G2167" s="597">
        <f>VLOOKUP(D2165,'ENSAIOS DE ORÇAMENTO'!$C$3:$L$79,5,FALSE)</f>
        <v>0.60275000000000001</v>
      </c>
      <c r="H2167" s="682">
        <f>IF(F2167=0,0,IF(F2167&lt;=30,(0.7*F2167+1.45)*G2167,((0.7*30+1.45)+0.58*(F2167-30))*G2167))</f>
        <v>65.970987500000007</v>
      </c>
      <c r="I2167" s="592"/>
      <c r="J2167" s="592"/>
      <c r="K2167" s="593">
        <f t="shared" si="1343"/>
        <v>0</v>
      </c>
      <c r="L2167" s="594"/>
      <c r="M2167" s="92"/>
      <c r="N2167" s="92"/>
      <c r="O2167" s="93">
        <f t="shared" si="1350"/>
        <v>0</v>
      </c>
      <c r="P2167" s="93">
        <f t="shared" si="1351"/>
        <v>0</v>
      </c>
      <c r="Q2167" s="94"/>
      <c r="R2167" s="92">
        <f t="shared" si="1336"/>
        <v>0</v>
      </c>
      <c r="S2167" s="92">
        <f t="shared" si="1336"/>
        <v>0</v>
      </c>
      <c r="T2167" s="93">
        <f t="shared" si="1352"/>
        <v>0</v>
      </c>
      <c r="U2167" s="95">
        <f t="shared" si="1348"/>
        <v>0</v>
      </c>
      <c r="V2167" s="94"/>
      <c r="W2167" s="96" t="str">
        <f>IF(U2165&gt;0,"xx",IF(P2165&gt;0,"xy",""))</f>
        <v/>
      </c>
      <c r="X2167" s="580" t="str">
        <f t="shared" si="1334"/>
        <v/>
      </c>
      <c r="Y2167" s="580" t="str">
        <f t="shared" si="1338"/>
        <v/>
      </c>
      <c r="Z2167" s="580" t="str">
        <f t="shared" si="1346"/>
        <v/>
      </c>
    </row>
    <row r="2168" spans="1:26" hidden="1" x14ac:dyDescent="0.2">
      <c r="A2168" s="97" t="s">
        <v>165</v>
      </c>
      <c r="B2168" s="1031" t="s">
        <v>165</v>
      </c>
      <c r="C2168" s="978"/>
      <c r="D2168" s="595" t="s">
        <v>261</v>
      </c>
      <c r="E2168" s="596"/>
      <c r="F2168" s="671">
        <v>20</v>
      </c>
      <c r="G2168" s="597">
        <f>VLOOKUP(D2165,'ENSAIOS DE ORÇAMENTO'!$C$3:$L$79,6,FALSE)</f>
        <v>0.71706000000000003</v>
      </c>
      <c r="H2168" s="682">
        <f>IF(F2168=0,0,IF(F2168&lt;=30,(0.7*F2168+1.45)*G2168,((0.7*30+1.45)+0.58*(F2168-30))*G2168))</f>
        <v>11.078576999999999</v>
      </c>
      <c r="I2168" s="592"/>
      <c r="J2168" s="592"/>
      <c r="K2168" s="593">
        <f t="shared" si="1343"/>
        <v>0</v>
      </c>
      <c r="L2168" s="594"/>
      <c r="M2168" s="92"/>
      <c r="N2168" s="92"/>
      <c r="O2168" s="93">
        <f t="shared" si="1350"/>
        <v>0</v>
      </c>
      <c r="P2168" s="93">
        <f t="shared" si="1351"/>
        <v>0</v>
      </c>
      <c r="Q2168" s="94"/>
      <c r="R2168" s="92">
        <f t="shared" ref="R2168:S2231" si="1356">M2168</f>
        <v>0</v>
      </c>
      <c r="S2168" s="92">
        <f t="shared" si="1356"/>
        <v>0</v>
      </c>
      <c r="T2168" s="93">
        <f t="shared" si="1352"/>
        <v>0</v>
      </c>
      <c r="U2168" s="95">
        <f t="shared" si="1348"/>
        <v>0</v>
      </c>
      <c r="V2168" s="94"/>
      <c r="W2168" s="96" t="str">
        <f>IF(U2165&gt;0,"xx",IF(P2165&gt;0,"xy",""))</f>
        <v/>
      </c>
      <c r="X2168" s="580" t="str">
        <f t="shared" si="1334"/>
        <v/>
      </c>
      <c r="Y2168" s="580" t="str">
        <f t="shared" si="1338"/>
        <v/>
      </c>
      <c r="Z2168" s="580" t="str">
        <f t="shared" si="1346"/>
        <v/>
      </c>
    </row>
    <row r="2169" spans="1:26" hidden="1" x14ac:dyDescent="0.2">
      <c r="A2169" s="97" t="s">
        <v>165</v>
      </c>
      <c r="B2169" s="1031" t="s">
        <v>165</v>
      </c>
      <c r="C2169" s="978"/>
      <c r="D2169" s="595" t="s">
        <v>419</v>
      </c>
      <c r="E2169" s="596"/>
      <c r="F2169" s="671">
        <v>30</v>
      </c>
      <c r="G2169" s="597">
        <f>VLOOKUP(D2165,'ENSAIOS DE ORÇAMENTO'!$C$3:$L$79,3,FALSE)</f>
        <v>0</v>
      </c>
      <c r="H2169" s="682">
        <f>IF(F2169=0,0,IF(F2169&lt;=30,(0.7*F2169+1.45)*G2169,((0.7*30+1.45)+0.58*(F2169-30))*G2169))</f>
        <v>0</v>
      </c>
      <c r="I2169" s="592"/>
      <c r="J2169" s="592"/>
      <c r="K2169" s="593">
        <f t="shared" si="1343"/>
        <v>0</v>
      </c>
      <c r="L2169" s="594"/>
      <c r="M2169" s="92"/>
      <c r="N2169" s="92"/>
      <c r="O2169" s="93">
        <f t="shared" si="1350"/>
        <v>0</v>
      </c>
      <c r="P2169" s="93">
        <f t="shared" si="1351"/>
        <v>0</v>
      </c>
      <c r="Q2169" s="94"/>
      <c r="R2169" s="92">
        <f t="shared" si="1356"/>
        <v>0</v>
      </c>
      <c r="S2169" s="92">
        <f t="shared" si="1356"/>
        <v>0</v>
      </c>
      <c r="T2169" s="93">
        <f t="shared" si="1352"/>
        <v>0</v>
      </c>
      <c r="U2169" s="95">
        <f t="shared" si="1348"/>
        <v>0</v>
      </c>
      <c r="V2169" s="94"/>
      <c r="W2169" s="96" t="str">
        <f>IF(U2165&gt;0,"xx",IF(P2165&gt;0,"xy",""))</f>
        <v/>
      </c>
      <c r="X2169" s="580" t="str">
        <f t="shared" si="1334"/>
        <v/>
      </c>
      <c r="Y2169" s="580" t="str">
        <f t="shared" si="1338"/>
        <v/>
      </c>
      <c r="Z2169" s="580" t="str">
        <f t="shared" si="1346"/>
        <v/>
      </c>
    </row>
    <row r="2170" spans="1:26" hidden="1" x14ac:dyDescent="0.2">
      <c r="A2170" s="97" t="s">
        <v>165</v>
      </c>
      <c r="B2170" s="1031" t="s">
        <v>165</v>
      </c>
      <c r="C2170" s="978"/>
      <c r="D2170" s="595" t="s">
        <v>420</v>
      </c>
      <c r="E2170" s="596"/>
      <c r="F2170" s="671">
        <v>500</v>
      </c>
      <c r="G2170" s="597">
        <f>VLOOKUP(D2165,'ENSAIOS DE ORÇAMENTO'!$C$3:$L$79,10,FALSE)</f>
        <v>0</v>
      </c>
      <c r="H2170" s="682">
        <f>IF(F2170=0,0,IF(F2170&lt;=30,(0.7*F2170+1.45)*G2170,((0.7*30+1.45)+0.58*(F2170-30))*G2170))</f>
        <v>0</v>
      </c>
      <c r="I2170" s="592"/>
      <c r="J2170" s="592"/>
      <c r="K2170" s="593">
        <f t="shared" si="1343"/>
        <v>0</v>
      </c>
      <c r="L2170" s="594"/>
      <c r="M2170" s="92"/>
      <c r="N2170" s="92"/>
      <c r="O2170" s="93">
        <f t="shared" si="1350"/>
        <v>0</v>
      </c>
      <c r="P2170" s="93">
        <f t="shared" si="1351"/>
        <v>0</v>
      </c>
      <c r="Q2170" s="94"/>
      <c r="R2170" s="92">
        <f t="shared" si="1356"/>
        <v>0</v>
      </c>
      <c r="S2170" s="92">
        <f t="shared" si="1356"/>
        <v>0</v>
      </c>
      <c r="T2170" s="93">
        <f t="shared" si="1352"/>
        <v>0</v>
      </c>
      <c r="U2170" s="95">
        <f t="shared" si="1348"/>
        <v>0</v>
      </c>
      <c r="V2170" s="94"/>
      <c r="W2170" s="96" t="str">
        <f>IF(U2165&gt;0,"xx",IF(P2165&gt;0,"xy",""))</f>
        <v/>
      </c>
      <c r="X2170" s="580" t="str">
        <f t="shared" si="1334"/>
        <v/>
      </c>
      <c r="Y2170" s="580" t="str">
        <f t="shared" si="1338"/>
        <v/>
      </c>
      <c r="Z2170" s="580" t="str">
        <f t="shared" si="1346"/>
        <v/>
      </c>
    </row>
    <row r="2171" spans="1:26" hidden="1" x14ac:dyDescent="0.2">
      <c r="A2171" s="97" t="s">
        <v>29</v>
      </c>
      <c r="B2171" s="1031" t="s">
        <v>29</v>
      </c>
      <c r="C2171" s="978" t="s">
        <v>212</v>
      </c>
      <c r="D2171" s="595" t="s">
        <v>102</v>
      </c>
      <c r="E2171" s="596"/>
      <c r="F2171" s="671"/>
      <c r="G2171" s="597"/>
      <c r="H2171" s="682">
        <f>SUM(H2172:H2176)</f>
        <v>151.81174489999998</v>
      </c>
      <c r="I2171" s="592">
        <f>VLOOKUP(D2171,'ENSAIOS DE ORÇAMENTO'!$C$3:$L$79,8,FALSE)</f>
        <v>2109.5135799999998</v>
      </c>
      <c r="J2171" s="592">
        <f t="shared" ref="J2171" si="1357">IF(ISBLANK(I2171),"",SUM(H2171:I2171))</f>
        <v>2261.3253248999999</v>
      </c>
      <c r="K2171" s="593">
        <f t="shared" si="1343"/>
        <v>2752.26</v>
      </c>
      <c r="L2171" s="594" t="s">
        <v>21</v>
      </c>
      <c r="M2171" s="92"/>
      <c r="N2171" s="92"/>
      <c r="O2171" s="93">
        <f t="shared" si="1350"/>
        <v>0</v>
      </c>
      <c r="P2171" s="93">
        <f t="shared" si="1351"/>
        <v>0</v>
      </c>
      <c r="Q2171" s="94"/>
      <c r="R2171" s="92">
        <f t="shared" si="1356"/>
        <v>0</v>
      </c>
      <c r="S2171" s="92">
        <f t="shared" si="1356"/>
        <v>0</v>
      </c>
      <c r="T2171" s="93">
        <f t="shared" si="1352"/>
        <v>0</v>
      </c>
      <c r="U2171" s="95">
        <f t="shared" si="1348"/>
        <v>0</v>
      </c>
      <c r="V2171" s="94"/>
      <c r="X2171" s="580" t="str">
        <f t="shared" si="1334"/>
        <v/>
      </c>
      <c r="Y2171" s="580" t="str">
        <f t="shared" si="1338"/>
        <v/>
      </c>
      <c r="Z2171" s="580" t="str">
        <f t="shared" si="1346"/>
        <v/>
      </c>
    </row>
    <row r="2172" spans="1:26" hidden="1" x14ac:dyDescent="0.2">
      <c r="A2172" s="97" t="s">
        <v>165</v>
      </c>
      <c r="B2172" s="1031" t="s">
        <v>165</v>
      </c>
      <c r="C2172" s="978"/>
      <c r="D2172" s="595" t="s">
        <v>218</v>
      </c>
      <c r="E2172" s="596"/>
      <c r="F2172" s="671">
        <v>500</v>
      </c>
      <c r="G2172" s="597">
        <f>VLOOKUP(D2171,'ENSAIOS DE ORÇAMENTO'!$C$3:$L$79,4,FALSE)</f>
        <v>0.25757999999999998</v>
      </c>
      <c r="H2172" s="682">
        <f>IF(F2172&lt;=30,(0.51*F2172+4.28)*G2172,((0.51*30+4.28)+0.42*(F2172-30))*G2172)</f>
        <v>55.889708399999996</v>
      </c>
      <c r="I2172" s="592"/>
      <c r="J2172" s="592"/>
      <c r="K2172" s="593">
        <f t="shared" si="1343"/>
        <v>0</v>
      </c>
      <c r="L2172" s="594"/>
      <c r="M2172" s="92"/>
      <c r="N2172" s="92"/>
      <c r="O2172" s="93">
        <f t="shared" si="1350"/>
        <v>0</v>
      </c>
      <c r="P2172" s="93">
        <f t="shared" si="1351"/>
        <v>0</v>
      </c>
      <c r="Q2172" s="94"/>
      <c r="R2172" s="92">
        <f t="shared" si="1356"/>
        <v>0</v>
      </c>
      <c r="S2172" s="92">
        <f t="shared" si="1356"/>
        <v>0</v>
      </c>
      <c r="T2172" s="93">
        <f t="shared" si="1352"/>
        <v>0</v>
      </c>
      <c r="U2172" s="95">
        <f t="shared" si="1348"/>
        <v>0</v>
      </c>
      <c r="V2172" s="94"/>
      <c r="W2172" s="96" t="str">
        <f>IF(U2171&gt;0,"xx",IF(P2171&gt;0,"xy",""))</f>
        <v/>
      </c>
      <c r="X2172" s="580" t="str">
        <f t="shared" si="1334"/>
        <v/>
      </c>
      <c r="Y2172" s="580" t="str">
        <f t="shared" si="1338"/>
        <v/>
      </c>
      <c r="Z2172" s="580" t="str">
        <f t="shared" si="1346"/>
        <v/>
      </c>
    </row>
    <row r="2173" spans="1:26" hidden="1" x14ac:dyDescent="0.2">
      <c r="A2173" s="97" t="s">
        <v>165</v>
      </c>
      <c r="B2173" s="1031" t="s">
        <v>165</v>
      </c>
      <c r="C2173" s="978"/>
      <c r="D2173" s="595" t="s">
        <v>257</v>
      </c>
      <c r="E2173" s="596"/>
      <c r="F2173" s="671">
        <v>180</v>
      </c>
      <c r="G2173" s="597">
        <f>VLOOKUP(D2171,'ENSAIOS DE ORÇAMENTO'!$C$3:$L$79,5,FALSE)</f>
        <v>0.75010999999999994</v>
      </c>
      <c r="H2173" s="682">
        <f>IF(F2173=0,0,IF(F2173&lt;=30,(0.7*F2173+1.45)*G2173,((0.7*30+1.45)+0.58*(F2173-30))*G2173))</f>
        <v>82.099539499999992</v>
      </c>
      <c r="I2173" s="592"/>
      <c r="J2173" s="592"/>
      <c r="K2173" s="593">
        <f t="shared" si="1343"/>
        <v>0</v>
      </c>
      <c r="L2173" s="594"/>
      <c r="M2173" s="92"/>
      <c r="N2173" s="92"/>
      <c r="O2173" s="93">
        <f t="shared" si="1350"/>
        <v>0</v>
      </c>
      <c r="P2173" s="93">
        <f t="shared" si="1351"/>
        <v>0</v>
      </c>
      <c r="Q2173" s="94"/>
      <c r="R2173" s="92">
        <f t="shared" si="1356"/>
        <v>0</v>
      </c>
      <c r="S2173" s="92">
        <f t="shared" si="1356"/>
        <v>0</v>
      </c>
      <c r="T2173" s="93">
        <f t="shared" si="1352"/>
        <v>0</v>
      </c>
      <c r="U2173" s="95">
        <f t="shared" si="1348"/>
        <v>0</v>
      </c>
      <c r="V2173" s="94"/>
      <c r="W2173" s="96" t="str">
        <f>IF(U2171&gt;0,"xx",IF(P2171&gt;0,"xy",""))</f>
        <v/>
      </c>
      <c r="X2173" s="580" t="str">
        <f t="shared" si="1334"/>
        <v/>
      </c>
      <c r="Y2173" s="580" t="str">
        <f t="shared" si="1338"/>
        <v/>
      </c>
      <c r="Z2173" s="580" t="str">
        <f t="shared" si="1346"/>
        <v/>
      </c>
    </row>
    <row r="2174" spans="1:26" hidden="1" x14ac:dyDescent="0.2">
      <c r="A2174" s="97" t="s">
        <v>165</v>
      </c>
      <c r="B2174" s="1031" t="s">
        <v>165</v>
      </c>
      <c r="C2174" s="978"/>
      <c r="D2174" s="595" t="s">
        <v>261</v>
      </c>
      <c r="E2174" s="596"/>
      <c r="F2174" s="671">
        <v>20</v>
      </c>
      <c r="G2174" s="597">
        <f>VLOOKUP(D2171,'ENSAIOS DE ORÇAMENTO'!$C$3:$L$79,6,FALSE)</f>
        <v>0.89466000000000001</v>
      </c>
      <c r="H2174" s="682">
        <f>IF(F2174=0,0,IF(F2174&lt;=30,(0.7*F2174+1.45)*G2174,((0.7*30+1.45)+0.58*(F2174-30))*G2174))</f>
        <v>13.822497</v>
      </c>
      <c r="I2174" s="592"/>
      <c r="J2174" s="592"/>
      <c r="K2174" s="593">
        <f t="shared" si="1343"/>
        <v>0</v>
      </c>
      <c r="L2174" s="594"/>
      <c r="M2174" s="92"/>
      <c r="N2174" s="92"/>
      <c r="O2174" s="93">
        <f t="shared" si="1350"/>
        <v>0</v>
      </c>
      <c r="P2174" s="93">
        <f t="shared" si="1351"/>
        <v>0</v>
      </c>
      <c r="Q2174" s="94"/>
      <c r="R2174" s="92">
        <f t="shared" si="1356"/>
        <v>0</v>
      </c>
      <c r="S2174" s="92">
        <f t="shared" si="1356"/>
        <v>0</v>
      </c>
      <c r="T2174" s="93">
        <f t="shared" si="1352"/>
        <v>0</v>
      </c>
      <c r="U2174" s="95">
        <f t="shared" si="1348"/>
        <v>0</v>
      </c>
      <c r="V2174" s="94"/>
      <c r="W2174" s="96" t="str">
        <f>IF(U2171&gt;0,"xx",IF(P2171&gt;0,"xy",""))</f>
        <v/>
      </c>
      <c r="X2174" s="580" t="str">
        <f t="shared" si="1334"/>
        <v/>
      </c>
      <c r="Y2174" s="580" t="str">
        <f t="shared" si="1338"/>
        <v/>
      </c>
      <c r="Z2174" s="580" t="str">
        <f t="shared" si="1346"/>
        <v/>
      </c>
    </row>
    <row r="2175" spans="1:26" hidden="1" x14ac:dyDescent="0.2">
      <c r="A2175" s="97" t="s">
        <v>165</v>
      </c>
      <c r="B2175" s="1031" t="s">
        <v>165</v>
      </c>
      <c r="C2175" s="978"/>
      <c r="D2175" s="595" t="s">
        <v>419</v>
      </c>
      <c r="E2175" s="596"/>
      <c r="F2175" s="671">
        <v>30</v>
      </c>
      <c r="G2175" s="597">
        <f>VLOOKUP(D2171,'ENSAIOS DE ORÇAMENTO'!$C$3:$L$79,3,FALSE)</f>
        <v>0</v>
      </c>
      <c r="H2175" s="682">
        <f>IF(F2175=0,0,IF(F2175&lt;=30,(0.7*F2175+1.45)*G2175,((0.7*30+1.45)+0.58*(F2175-30))*G2175))</f>
        <v>0</v>
      </c>
      <c r="I2175" s="592"/>
      <c r="J2175" s="592"/>
      <c r="K2175" s="593">
        <f t="shared" si="1343"/>
        <v>0</v>
      </c>
      <c r="L2175" s="594"/>
      <c r="M2175" s="92"/>
      <c r="N2175" s="92"/>
      <c r="O2175" s="93">
        <f t="shared" si="1350"/>
        <v>0</v>
      </c>
      <c r="P2175" s="93">
        <f t="shared" si="1351"/>
        <v>0</v>
      </c>
      <c r="Q2175" s="94"/>
      <c r="R2175" s="92">
        <f t="shared" si="1356"/>
        <v>0</v>
      </c>
      <c r="S2175" s="92">
        <f t="shared" si="1356"/>
        <v>0</v>
      </c>
      <c r="T2175" s="93">
        <f t="shared" si="1352"/>
        <v>0</v>
      </c>
      <c r="U2175" s="95">
        <f t="shared" si="1348"/>
        <v>0</v>
      </c>
      <c r="V2175" s="94"/>
      <c r="W2175" s="96" t="str">
        <f>IF(U2171&gt;0,"xx",IF(P2171&gt;0,"xy",""))</f>
        <v/>
      </c>
      <c r="X2175" s="580" t="str">
        <f t="shared" si="1334"/>
        <v/>
      </c>
      <c r="Y2175" s="580" t="str">
        <f t="shared" si="1338"/>
        <v/>
      </c>
      <c r="Z2175" s="580" t="str">
        <f t="shared" si="1346"/>
        <v/>
      </c>
    </row>
    <row r="2176" spans="1:26" hidden="1" x14ac:dyDescent="0.2">
      <c r="A2176" s="97" t="s">
        <v>165</v>
      </c>
      <c r="B2176" s="1031" t="s">
        <v>165</v>
      </c>
      <c r="C2176" s="978"/>
      <c r="D2176" s="595" t="s">
        <v>420</v>
      </c>
      <c r="E2176" s="596"/>
      <c r="F2176" s="671">
        <v>500</v>
      </c>
      <c r="G2176" s="597">
        <f>VLOOKUP(D2171,'ENSAIOS DE ORÇAMENTO'!$C$3:$L$79,10,FALSE)</f>
        <v>0</v>
      </c>
      <c r="H2176" s="682">
        <f>IF(F2176=0,0,IF(F2176&lt;=30,(0.7*F2176+1.45)*G2176,((0.7*30+1.45)+0.58*(F2176-30))*G2176))</f>
        <v>0</v>
      </c>
      <c r="I2176" s="592"/>
      <c r="J2176" s="592"/>
      <c r="K2176" s="593">
        <f t="shared" si="1343"/>
        <v>0</v>
      </c>
      <c r="L2176" s="594"/>
      <c r="M2176" s="92"/>
      <c r="N2176" s="92"/>
      <c r="O2176" s="93">
        <f t="shared" si="1350"/>
        <v>0</v>
      </c>
      <c r="P2176" s="93">
        <f t="shared" si="1351"/>
        <v>0</v>
      </c>
      <c r="Q2176" s="94"/>
      <c r="R2176" s="92">
        <f t="shared" si="1356"/>
        <v>0</v>
      </c>
      <c r="S2176" s="92">
        <f t="shared" si="1356"/>
        <v>0</v>
      </c>
      <c r="T2176" s="93">
        <f t="shared" si="1352"/>
        <v>0</v>
      </c>
      <c r="U2176" s="95">
        <f t="shared" si="1348"/>
        <v>0</v>
      </c>
      <c r="V2176" s="94"/>
      <c r="W2176" s="96" t="str">
        <f>IF(U2171&gt;0,"xx",IF(P2171&gt;0,"xy",""))</f>
        <v/>
      </c>
      <c r="X2176" s="580" t="str">
        <f t="shared" si="1334"/>
        <v/>
      </c>
      <c r="Y2176" s="580" t="str">
        <f t="shared" si="1338"/>
        <v/>
      </c>
      <c r="Z2176" s="580" t="str">
        <f t="shared" si="1346"/>
        <v/>
      </c>
    </row>
    <row r="2177" spans="1:26" hidden="1" x14ac:dyDescent="0.2">
      <c r="A2177" s="97" t="s">
        <v>30</v>
      </c>
      <c r="B2177" s="1031" t="s">
        <v>30</v>
      </c>
      <c r="C2177" s="978" t="s">
        <v>212</v>
      </c>
      <c r="D2177" s="595" t="s">
        <v>103</v>
      </c>
      <c r="E2177" s="596"/>
      <c r="F2177" s="671"/>
      <c r="G2177" s="597"/>
      <c r="H2177" s="682">
        <f>SUM(H2178:H2182)</f>
        <v>201.0963959</v>
      </c>
      <c r="I2177" s="592">
        <f>VLOOKUP(D2177,'ENSAIOS DE ORÇAMENTO'!$C$3:$L$79,8,FALSE)</f>
        <v>2317.3229799999999</v>
      </c>
      <c r="J2177" s="592">
        <f t="shared" ref="J2177" si="1358">IF(ISBLANK(I2177),"",SUM(H2177:I2177))</f>
        <v>2518.4193759</v>
      </c>
      <c r="K2177" s="593">
        <f t="shared" si="1343"/>
        <v>3065.17</v>
      </c>
      <c r="L2177" s="594" t="s">
        <v>21</v>
      </c>
      <c r="M2177" s="92"/>
      <c r="N2177" s="92"/>
      <c r="O2177" s="93">
        <f t="shared" si="1350"/>
        <v>0</v>
      </c>
      <c r="P2177" s="93">
        <f t="shared" si="1351"/>
        <v>0</v>
      </c>
      <c r="Q2177" s="94"/>
      <c r="R2177" s="92">
        <f t="shared" si="1356"/>
        <v>0</v>
      </c>
      <c r="S2177" s="92">
        <f t="shared" si="1356"/>
        <v>0</v>
      </c>
      <c r="T2177" s="93">
        <f t="shared" si="1352"/>
        <v>0</v>
      </c>
      <c r="U2177" s="95">
        <f t="shared" si="1348"/>
        <v>0</v>
      </c>
      <c r="V2177" s="94"/>
      <c r="X2177" s="580" t="str">
        <f t="shared" si="1334"/>
        <v/>
      </c>
      <c r="Y2177" s="580" t="str">
        <f t="shared" si="1338"/>
        <v/>
      </c>
      <c r="Z2177" s="580" t="str">
        <f t="shared" si="1346"/>
        <v/>
      </c>
    </row>
    <row r="2178" spans="1:26" hidden="1" x14ac:dyDescent="0.2">
      <c r="A2178" s="97" t="s">
        <v>165</v>
      </c>
      <c r="B2178" s="1031" t="s">
        <v>165</v>
      </c>
      <c r="C2178" s="978"/>
      <c r="D2178" s="595" t="s">
        <v>218</v>
      </c>
      <c r="E2178" s="596"/>
      <c r="F2178" s="671">
        <v>500</v>
      </c>
      <c r="G2178" s="597">
        <f>VLOOKUP(D2177,'ENSAIOS DE ORÇAMENTO'!$C$3:$L$79,4,FALSE)</f>
        <v>0.34338000000000002</v>
      </c>
      <c r="H2178" s="682">
        <f>IF(F2178&lt;=30,(0.51*F2178+4.28)*G2178,((0.51*30+4.28)+0.42*(F2178-30))*G2178)</f>
        <v>74.506592400000017</v>
      </c>
      <c r="I2178" s="592"/>
      <c r="J2178" s="592"/>
      <c r="K2178" s="593">
        <f t="shared" si="1343"/>
        <v>0</v>
      </c>
      <c r="L2178" s="594"/>
      <c r="M2178" s="92"/>
      <c r="N2178" s="92"/>
      <c r="O2178" s="93">
        <f t="shared" si="1350"/>
        <v>0</v>
      </c>
      <c r="P2178" s="93">
        <f t="shared" si="1351"/>
        <v>0</v>
      </c>
      <c r="Q2178" s="94"/>
      <c r="R2178" s="92">
        <f t="shared" si="1356"/>
        <v>0</v>
      </c>
      <c r="S2178" s="92">
        <f t="shared" si="1356"/>
        <v>0</v>
      </c>
      <c r="T2178" s="93">
        <f t="shared" si="1352"/>
        <v>0</v>
      </c>
      <c r="U2178" s="95">
        <f t="shared" si="1348"/>
        <v>0</v>
      </c>
      <c r="V2178" s="94"/>
      <c r="W2178" s="96" t="str">
        <f>IF(U2177&gt;0,"xx",IF(P2177&gt;0,"xy",""))</f>
        <v/>
      </c>
      <c r="X2178" s="580" t="str">
        <f t="shared" si="1334"/>
        <v/>
      </c>
      <c r="Y2178" s="580" t="str">
        <f t="shared" si="1338"/>
        <v/>
      </c>
      <c r="Z2178" s="580" t="str">
        <f t="shared" si="1346"/>
        <v/>
      </c>
    </row>
    <row r="2179" spans="1:26" hidden="1" x14ac:dyDescent="0.2">
      <c r="A2179" s="97" t="s">
        <v>165</v>
      </c>
      <c r="B2179" s="1031" t="s">
        <v>165</v>
      </c>
      <c r="C2179" s="978"/>
      <c r="D2179" s="595" t="s">
        <v>257</v>
      </c>
      <c r="E2179" s="596"/>
      <c r="F2179" s="671">
        <v>180</v>
      </c>
      <c r="G2179" s="597">
        <f>VLOOKUP(D2177,'ENSAIOS DE ORÇAMENTO'!$C$3:$L$79,5,FALSE)</f>
        <v>0.98957000000000006</v>
      </c>
      <c r="H2179" s="682">
        <f>IF(F2179=0,0,IF(F2179&lt;=30,(0.7*F2179+1.45)*G2179,((0.7*30+1.45)+0.58*(F2179-30))*G2179))</f>
        <v>108.30843650000001</v>
      </c>
      <c r="I2179" s="592"/>
      <c r="J2179" s="592"/>
      <c r="K2179" s="593">
        <f t="shared" si="1343"/>
        <v>0</v>
      </c>
      <c r="L2179" s="594"/>
      <c r="M2179" s="92"/>
      <c r="N2179" s="92"/>
      <c r="O2179" s="93">
        <f t="shared" si="1350"/>
        <v>0</v>
      </c>
      <c r="P2179" s="93">
        <f t="shared" si="1351"/>
        <v>0</v>
      </c>
      <c r="Q2179" s="94"/>
      <c r="R2179" s="92">
        <f t="shared" si="1356"/>
        <v>0</v>
      </c>
      <c r="S2179" s="92">
        <f t="shared" si="1356"/>
        <v>0</v>
      </c>
      <c r="T2179" s="93">
        <f t="shared" si="1352"/>
        <v>0</v>
      </c>
      <c r="U2179" s="95">
        <f t="shared" si="1348"/>
        <v>0</v>
      </c>
      <c r="V2179" s="94"/>
      <c r="W2179" s="96" t="str">
        <f>IF(U2177&gt;0,"xx",IF(P2177&gt;0,"xy",""))</f>
        <v/>
      </c>
      <c r="X2179" s="580" t="str">
        <f t="shared" si="1334"/>
        <v/>
      </c>
      <c r="Y2179" s="580" t="str">
        <f t="shared" si="1338"/>
        <v/>
      </c>
      <c r="Z2179" s="580" t="str">
        <f t="shared" si="1346"/>
        <v/>
      </c>
    </row>
    <row r="2180" spans="1:26" hidden="1" x14ac:dyDescent="0.2">
      <c r="A2180" s="97" t="s">
        <v>165</v>
      </c>
      <c r="B2180" s="1031" t="s">
        <v>165</v>
      </c>
      <c r="C2180" s="978"/>
      <c r="D2180" s="595" t="s">
        <v>261</v>
      </c>
      <c r="E2180" s="596"/>
      <c r="F2180" s="671">
        <v>20</v>
      </c>
      <c r="G2180" s="597">
        <f>VLOOKUP(D2177,'ENSAIOS DE ORÇAMENTO'!$C$3:$L$79,6,FALSE)</f>
        <v>1.1832600000000002</v>
      </c>
      <c r="H2180" s="682">
        <f>IF(F2180=0,0,IF(F2180&lt;=30,(0.7*F2180+1.45)*G2180,((0.7*30+1.45)+0.58*(F2180-30))*G2180))</f>
        <v>18.281367000000003</v>
      </c>
      <c r="I2180" s="592"/>
      <c r="J2180" s="592"/>
      <c r="K2180" s="593">
        <f t="shared" si="1343"/>
        <v>0</v>
      </c>
      <c r="L2180" s="594"/>
      <c r="M2180" s="92"/>
      <c r="N2180" s="92"/>
      <c r="O2180" s="93">
        <f t="shared" si="1350"/>
        <v>0</v>
      </c>
      <c r="P2180" s="93">
        <f t="shared" si="1351"/>
        <v>0</v>
      </c>
      <c r="Q2180" s="94"/>
      <c r="R2180" s="92">
        <f t="shared" si="1356"/>
        <v>0</v>
      </c>
      <c r="S2180" s="92">
        <f t="shared" si="1356"/>
        <v>0</v>
      </c>
      <c r="T2180" s="93">
        <f t="shared" si="1352"/>
        <v>0</v>
      </c>
      <c r="U2180" s="95">
        <f t="shared" si="1348"/>
        <v>0</v>
      </c>
      <c r="V2180" s="94"/>
      <c r="W2180" s="96" t="str">
        <f>IF(U2177&gt;0,"xx",IF(P2177&gt;0,"xy",""))</f>
        <v/>
      </c>
      <c r="X2180" s="580" t="str">
        <f t="shared" si="1334"/>
        <v/>
      </c>
      <c r="Y2180" s="580" t="str">
        <f t="shared" si="1338"/>
        <v/>
      </c>
      <c r="Z2180" s="580" t="str">
        <f t="shared" si="1346"/>
        <v/>
      </c>
    </row>
    <row r="2181" spans="1:26" hidden="1" x14ac:dyDescent="0.2">
      <c r="A2181" s="97" t="s">
        <v>165</v>
      </c>
      <c r="B2181" s="1031" t="s">
        <v>165</v>
      </c>
      <c r="C2181" s="978"/>
      <c r="D2181" s="595" t="s">
        <v>419</v>
      </c>
      <c r="E2181" s="596"/>
      <c r="F2181" s="671">
        <v>30</v>
      </c>
      <c r="G2181" s="597">
        <f>VLOOKUP(D2177,'ENSAIOS DE ORÇAMENTO'!$C$3:$L$79,3,FALSE)</f>
        <v>0</v>
      </c>
      <c r="H2181" s="682">
        <f>IF(F2181=0,0,IF(F2181&lt;=30,(0.7*F2181+1.45)*G2181,((0.7*30+1.45)+0.58*(F2181-30))*G2181))</f>
        <v>0</v>
      </c>
      <c r="I2181" s="592"/>
      <c r="J2181" s="592"/>
      <c r="K2181" s="593">
        <f t="shared" si="1343"/>
        <v>0</v>
      </c>
      <c r="L2181" s="594"/>
      <c r="M2181" s="92"/>
      <c r="N2181" s="92"/>
      <c r="O2181" s="93">
        <f t="shared" si="1350"/>
        <v>0</v>
      </c>
      <c r="P2181" s="93">
        <f t="shared" si="1351"/>
        <v>0</v>
      </c>
      <c r="Q2181" s="94"/>
      <c r="R2181" s="92">
        <f t="shared" si="1356"/>
        <v>0</v>
      </c>
      <c r="S2181" s="92">
        <f t="shared" si="1356"/>
        <v>0</v>
      </c>
      <c r="T2181" s="93">
        <f t="shared" si="1352"/>
        <v>0</v>
      </c>
      <c r="U2181" s="95">
        <f t="shared" si="1348"/>
        <v>0</v>
      </c>
      <c r="V2181" s="94"/>
      <c r="W2181" s="96" t="str">
        <f>IF(U2177&gt;0,"xx",IF(P2177&gt;0,"xy",""))</f>
        <v/>
      </c>
      <c r="X2181" s="580" t="str">
        <f t="shared" si="1334"/>
        <v/>
      </c>
      <c r="Y2181" s="580" t="str">
        <f t="shared" si="1338"/>
        <v/>
      </c>
      <c r="Z2181" s="580" t="str">
        <f t="shared" si="1346"/>
        <v/>
      </c>
    </row>
    <row r="2182" spans="1:26" hidden="1" x14ac:dyDescent="0.2">
      <c r="A2182" s="97" t="s">
        <v>165</v>
      </c>
      <c r="B2182" s="1031" t="s">
        <v>165</v>
      </c>
      <c r="C2182" s="978"/>
      <c r="D2182" s="595" t="s">
        <v>420</v>
      </c>
      <c r="E2182" s="596"/>
      <c r="F2182" s="671">
        <v>500</v>
      </c>
      <c r="G2182" s="597">
        <f>VLOOKUP(D2177,'ENSAIOS DE ORÇAMENTO'!$C$3:$L$79,10,FALSE)</f>
        <v>0</v>
      </c>
      <c r="H2182" s="682">
        <f>IF(F2182=0,0,IF(F2182&lt;=30,(0.7*F2182+1.45)*G2182,((0.7*30+1.45)+0.58*(F2182-30))*G2182))</f>
        <v>0</v>
      </c>
      <c r="I2182" s="592"/>
      <c r="J2182" s="592"/>
      <c r="K2182" s="593">
        <f t="shared" si="1343"/>
        <v>0</v>
      </c>
      <c r="L2182" s="594"/>
      <c r="M2182" s="92"/>
      <c r="N2182" s="92"/>
      <c r="O2182" s="93">
        <f t="shared" si="1350"/>
        <v>0</v>
      </c>
      <c r="P2182" s="93">
        <f t="shared" si="1351"/>
        <v>0</v>
      </c>
      <c r="Q2182" s="94"/>
      <c r="R2182" s="92">
        <f t="shared" si="1356"/>
        <v>0</v>
      </c>
      <c r="S2182" s="92">
        <f t="shared" si="1356"/>
        <v>0</v>
      </c>
      <c r="T2182" s="93">
        <f t="shared" si="1352"/>
        <v>0</v>
      </c>
      <c r="U2182" s="95">
        <f t="shared" si="1348"/>
        <v>0</v>
      </c>
      <c r="V2182" s="94"/>
      <c r="W2182" s="96" t="str">
        <f>IF(U2177&gt;0,"xx",IF(P2177&gt;0,"xy",""))</f>
        <v/>
      </c>
      <c r="X2182" s="580" t="str">
        <f t="shared" ref="X2182:X2250" si="1359">IF(W2182="X","x",IF(W2182="xx","x",IF(W2182="xy","x",IF(W2182="y","x",IF(OR(P2182&gt;0,U2182&gt;0),"x","")))))</f>
        <v/>
      </c>
      <c r="Y2182" s="580" t="str">
        <f t="shared" si="1338"/>
        <v/>
      </c>
      <c r="Z2182" s="580" t="str">
        <f t="shared" si="1346"/>
        <v/>
      </c>
    </row>
    <row r="2183" spans="1:26" hidden="1" x14ac:dyDescent="0.2">
      <c r="A2183" s="97" t="s">
        <v>31</v>
      </c>
      <c r="B2183" s="1031" t="s">
        <v>31</v>
      </c>
      <c r="C2183" s="978" t="s">
        <v>212</v>
      </c>
      <c r="D2183" s="595" t="s">
        <v>104</v>
      </c>
      <c r="E2183" s="596"/>
      <c r="F2183" s="671"/>
      <c r="G2183" s="597"/>
      <c r="H2183" s="682">
        <f>SUM(H2184:H2188)</f>
        <v>250.38104690000003</v>
      </c>
      <c r="I2183" s="592">
        <f>VLOOKUP(D2183,'ENSAIOS DE ORÇAMENTO'!$C$3:$L$79,8,FALSE)</f>
        <v>2847.14338</v>
      </c>
      <c r="J2183" s="592">
        <f t="shared" ref="J2183" si="1360">IF(ISBLANK(I2183),"",SUM(H2183:I2183))</f>
        <v>3097.5244269</v>
      </c>
      <c r="K2183" s="593">
        <f t="shared" si="1343"/>
        <v>3770</v>
      </c>
      <c r="L2183" s="594" t="s">
        <v>21</v>
      </c>
      <c r="M2183" s="92"/>
      <c r="N2183" s="92"/>
      <c r="O2183" s="93">
        <f t="shared" si="1350"/>
        <v>0</v>
      </c>
      <c r="P2183" s="93">
        <f t="shared" si="1351"/>
        <v>0</v>
      </c>
      <c r="Q2183" s="94"/>
      <c r="R2183" s="92">
        <f t="shared" si="1356"/>
        <v>0</v>
      </c>
      <c r="S2183" s="92">
        <f t="shared" si="1356"/>
        <v>0</v>
      </c>
      <c r="T2183" s="93">
        <f t="shared" si="1352"/>
        <v>0</v>
      </c>
      <c r="U2183" s="95">
        <f t="shared" si="1348"/>
        <v>0</v>
      </c>
      <c r="V2183" s="94"/>
      <c r="X2183" s="580" t="str">
        <f t="shared" si="1359"/>
        <v/>
      </c>
      <c r="Y2183" s="580" t="str">
        <f t="shared" si="1338"/>
        <v/>
      </c>
      <c r="Z2183" s="580" t="str">
        <f t="shared" si="1346"/>
        <v/>
      </c>
    </row>
    <row r="2184" spans="1:26" hidden="1" x14ac:dyDescent="0.2">
      <c r="A2184" s="97" t="s">
        <v>165</v>
      </c>
      <c r="B2184" s="1031" t="s">
        <v>165</v>
      </c>
      <c r="C2184" s="978"/>
      <c r="D2184" s="595" t="s">
        <v>218</v>
      </c>
      <c r="E2184" s="596"/>
      <c r="F2184" s="671">
        <v>500</v>
      </c>
      <c r="G2184" s="597">
        <f>VLOOKUP(D2183,'ENSAIOS DE ORÇAMENTO'!$C$3:$L$79,4,FALSE)</f>
        <v>0.42918000000000001</v>
      </c>
      <c r="H2184" s="682">
        <f>IF(F2184&lt;=30,(0.51*F2184+4.28)*G2184,((0.51*30+4.28)+0.42*(F2184-30))*G2184)</f>
        <v>93.123476400000015</v>
      </c>
      <c r="I2184" s="592"/>
      <c r="J2184" s="592"/>
      <c r="K2184" s="593">
        <f t="shared" si="1343"/>
        <v>0</v>
      </c>
      <c r="L2184" s="594"/>
      <c r="M2184" s="92"/>
      <c r="N2184" s="92"/>
      <c r="O2184" s="93">
        <f t="shared" si="1350"/>
        <v>0</v>
      </c>
      <c r="P2184" s="93">
        <f t="shared" si="1351"/>
        <v>0</v>
      </c>
      <c r="Q2184" s="94"/>
      <c r="R2184" s="92">
        <f t="shared" si="1356"/>
        <v>0</v>
      </c>
      <c r="S2184" s="92">
        <f t="shared" si="1356"/>
        <v>0</v>
      </c>
      <c r="T2184" s="93">
        <f t="shared" si="1352"/>
        <v>0</v>
      </c>
      <c r="U2184" s="95">
        <f t="shared" si="1348"/>
        <v>0</v>
      </c>
      <c r="V2184" s="94"/>
      <c r="W2184" s="96" t="str">
        <f>IF(U2183&gt;0,"xx",IF(P2183&gt;0,"xy",""))</f>
        <v/>
      </c>
      <c r="X2184" s="580" t="str">
        <f t="shared" si="1359"/>
        <v/>
      </c>
      <c r="Y2184" s="580" t="str">
        <f t="shared" si="1338"/>
        <v/>
      </c>
      <c r="Z2184" s="580" t="str">
        <f t="shared" si="1346"/>
        <v/>
      </c>
    </row>
    <row r="2185" spans="1:26" hidden="1" x14ac:dyDescent="0.2">
      <c r="A2185" s="97" t="s">
        <v>165</v>
      </c>
      <c r="B2185" s="1031" t="s">
        <v>165</v>
      </c>
      <c r="C2185" s="978"/>
      <c r="D2185" s="595" t="s">
        <v>257</v>
      </c>
      <c r="E2185" s="596"/>
      <c r="F2185" s="671">
        <v>180</v>
      </c>
      <c r="G2185" s="597">
        <f>VLOOKUP(D2183,'ENSAIOS DE ORÇAMENTO'!$C$3:$L$79,5,FALSE)</f>
        <v>1.2290300000000001</v>
      </c>
      <c r="H2185" s="682">
        <f>IF(F2185=0,0,IF(F2185&lt;=30,(0.7*F2185+1.45)*G2185,((0.7*30+1.45)+0.58*(F2185-30))*G2185))</f>
        <v>134.51733350000001</v>
      </c>
      <c r="I2185" s="592"/>
      <c r="J2185" s="592"/>
      <c r="K2185" s="593">
        <f t="shared" si="1343"/>
        <v>0</v>
      </c>
      <c r="L2185" s="594"/>
      <c r="M2185" s="92"/>
      <c r="N2185" s="92"/>
      <c r="O2185" s="93">
        <f t="shared" si="1350"/>
        <v>0</v>
      </c>
      <c r="P2185" s="93">
        <f t="shared" si="1351"/>
        <v>0</v>
      </c>
      <c r="Q2185" s="94"/>
      <c r="R2185" s="92">
        <f t="shared" si="1356"/>
        <v>0</v>
      </c>
      <c r="S2185" s="92">
        <f t="shared" si="1356"/>
        <v>0</v>
      </c>
      <c r="T2185" s="93">
        <f t="shared" si="1352"/>
        <v>0</v>
      </c>
      <c r="U2185" s="95">
        <f t="shared" si="1348"/>
        <v>0</v>
      </c>
      <c r="V2185" s="94"/>
      <c r="W2185" s="96" t="str">
        <f>IF(U2183&gt;0,"xx",IF(P2183&gt;0,"xy",""))</f>
        <v/>
      </c>
      <c r="X2185" s="580" t="str">
        <f t="shared" si="1359"/>
        <v/>
      </c>
      <c r="Y2185" s="580" t="str">
        <f t="shared" si="1338"/>
        <v/>
      </c>
      <c r="Z2185" s="580" t="str">
        <f t="shared" si="1346"/>
        <v/>
      </c>
    </row>
    <row r="2186" spans="1:26" hidden="1" x14ac:dyDescent="0.2">
      <c r="A2186" s="97" t="s">
        <v>165</v>
      </c>
      <c r="B2186" s="1031" t="s">
        <v>165</v>
      </c>
      <c r="C2186" s="978"/>
      <c r="D2186" s="595" t="s">
        <v>261</v>
      </c>
      <c r="E2186" s="596"/>
      <c r="F2186" s="671">
        <v>20</v>
      </c>
      <c r="G2186" s="597">
        <f>VLOOKUP(D2183,'ENSAIOS DE ORÇAMENTO'!$C$3:$L$79,6,FALSE)</f>
        <v>1.4718600000000002</v>
      </c>
      <c r="H2186" s="682">
        <f>IF(F2186=0,0,IF(F2186&lt;=30,(0.7*F2186+1.45)*G2186,((0.7*30+1.45)+0.58*(F2186-30))*G2186))</f>
        <v>22.740237</v>
      </c>
      <c r="I2186" s="592"/>
      <c r="J2186" s="592"/>
      <c r="K2186" s="593">
        <f t="shared" si="1343"/>
        <v>0</v>
      </c>
      <c r="L2186" s="594"/>
      <c r="M2186" s="92"/>
      <c r="N2186" s="92"/>
      <c r="O2186" s="93">
        <f t="shared" si="1350"/>
        <v>0</v>
      </c>
      <c r="P2186" s="93">
        <f t="shared" si="1351"/>
        <v>0</v>
      </c>
      <c r="Q2186" s="94"/>
      <c r="R2186" s="92">
        <f t="shared" si="1356"/>
        <v>0</v>
      </c>
      <c r="S2186" s="92">
        <f t="shared" si="1356"/>
        <v>0</v>
      </c>
      <c r="T2186" s="93">
        <f t="shared" si="1352"/>
        <v>0</v>
      </c>
      <c r="U2186" s="95">
        <f t="shared" si="1348"/>
        <v>0</v>
      </c>
      <c r="V2186" s="94"/>
      <c r="W2186" s="96" t="str">
        <f>IF(U2183&gt;0,"xx",IF(P2183&gt;0,"xy",""))</f>
        <v/>
      </c>
      <c r="X2186" s="580" t="str">
        <f t="shared" si="1359"/>
        <v/>
      </c>
      <c r="Y2186" s="580" t="str">
        <f t="shared" si="1338"/>
        <v/>
      </c>
      <c r="Z2186" s="580" t="str">
        <f t="shared" si="1346"/>
        <v/>
      </c>
    </row>
    <row r="2187" spans="1:26" hidden="1" x14ac:dyDescent="0.2">
      <c r="A2187" s="97" t="s">
        <v>165</v>
      </c>
      <c r="B2187" s="1031" t="s">
        <v>165</v>
      </c>
      <c r="C2187" s="978"/>
      <c r="D2187" s="595" t="s">
        <v>419</v>
      </c>
      <c r="E2187" s="596"/>
      <c r="F2187" s="671">
        <v>30</v>
      </c>
      <c r="G2187" s="597">
        <f>VLOOKUP(D2183,'ENSAIOS DE ORÇAMENTO'!$C$3:$L$79,3,FALSE)</f>
        <v>0</v>
      </c>
      <c r="H2187" s="682">
        <f>IF(F2187=0,0,IF(F2187&lt;=30,(0.7*F2187+1.45)*G2187,((0.7*30+1.45)+0.58*(F2187-30))*G2187))</f>
        <v>0</v>
      </c>
      <c r="I2187" s="592"/>
      <c r="J2187" s="592"/>
      <c r="K2187" s="593">
        <f t="shared" si="1343"/>
        <v>0</v>
      </c>
      <c r="L2187" s="594"/>
      <c r="M2187" s="92"/>
      <c r="N2187" s="92"/>
      <c r="O2187" s="93">
        <f t="shared" si="1350"/>
        <v>0</v>
      </c>
      <c r="P2187" s="93">
        <f t="shared" si="1351"/>
        <v>0</v>
      </c>
      <c r="Q2187" s="94"/>
      <c r="R2187" s="92">
        <f t="shared" si="1356"/>
        <v>0</v>
      </c>
      <c r="S2187" s="92">
        <f t="shared" si="1356"/>
        <v>0</v>
      </c>
      <c r="T2187" s="93">
        <f t="shared" si="1352"/>
        <v>0</v>
      </c>
      <c r="U2187" s="95">
        <f t="shared" si="1348"/>
        <v>0</v>
      </c>
      <c r="V2187" s="94"/>
      <c r="W2187" s="96" t="str">
        <f>IF(U2183&gt;0,"xx",IF(P2183&gt;0,"xy",""))</f>
        <v/>
      </c>
      <c r="X2187" s="580" t="str">
        <f t="shared" si="1359"/>
        <v/>
      </c>
      <c r="Y2187" s="580" t="str">
        <f t="shared" si="1338"/>
        <v/>
      </c>
      <c r="Z2187" s="580" t="str">
        <f t="shared" si="1346"/>
        <v/>
      </c>
    </row>
    <row r="2188" spans="1:26" hidden="1" x14ac:dyDescent="0.2">
      <c r="A2188" s="97" t="s">
        <v>165</v>
      </c>
      <c r="B2188" s="1031" t="s">
        <v>165</v>
      </c>
      <c r="C2188" s="978"/>
      <c r="D2188" s="595" t="s">
        <v>420</v>
      </c>
      <c r="E2188" s="596"/>
      <c r="F2188" s="671">
        <v>500</v>
      </c>
      <c r="G2188" s="597">
        <f>VLOOKUP(D2183,'ENSAIOS DE ORÇAMENTO'!$C$3:$L$79,10,FALSE)</f>
        <v>0</v>
      </c>
      <c r="H2188" s="682">
        <f>IF(F2188=0,0,IF(F2188&lt;=30,(0.7*F2188+1.45)*G2188,((0.7*30+1.45)+0.58*(F2188-30))*G2188))</f>
        <v>0</v>
      </c>
      <c r="I2188" s="592"/>
      <c r="J2188" s="592"/>
      <c r="K2188" s="593">
        <f t="shared" si="1343"/>
        <v>0</v>
      </c>
      <c r="L2188" s="594"/>
      <c r="M2188" s="92"/>
      <c r="N2188" s="92"/>
      <c r="O2188" s="93">
        <f t="shared" si="1350"/>
        <v>0</v>
      </c>
      <c r="P2188" s="93">
        <f t="shared" si="1351"/>
        <v>0</v>
      </c>
      <c r="Q2188" s="94"/>
      <c r="R2188" s="92">
        <f t="shared" si="1356"/>
        <v>0</v>
      </c>
      <c r="S2188" s="92">
        <f t="shared" si="1356"/>
        <v>0</v>
      </c>
      <c r="T2188" s="93">
        <f t="shared" si="1352"/>
        <v>0</v>
      </c>
      <c r="U2188" s="95">
        <f t="shared" si="1348"/>
        <v>0</v>
      </c>
      <c r="V2188" s="94"/>
      <c r="W2188" s="96" t="str">
        <f>IF(U2183&gt;0,"xx",IF(P2183&gt;0,"xy",""))</f>
        <v/>
      </c>
      <c r="X2188" s="580" t="str">
        <f t="shared" si="1359"/>
        <v/>
      </c>
      <c r="Y2188" s="580" t="str">
        <f t="shared" ref="Y2188:Y2256" si="1361">IF(W2188="X","x",IF(W2188="y","x",IF(W2188="xx","x",IF(U2188&gt;0,"x",""))))</f>
        <v/>
      </c>
      <c r="Z2188" s="580" t="str">
        <f t="shared" si="1346"/>
        <v/>
      </c>
    </row>
    <row r="2189" spans="1:26" hidden="1" x14ac:dyDescent="0.2">
      <c r="A2189" s="97" t="s">
        <v>32</v>
      </c>
      <c r="B2189" s="1031" t="s">
        <v>32</v>
      </c>
      <c r="C2189" s="978" t="s">
        <v>212</v>
      </c>
      <c r="D2189" s="595" t="s">
        <v>98</v>
      </c>
      <c r="E2189" s="596"/>
      <c r="F2189" s="671"/>
      <c r="G2189" s="597"/>
      <c r="H2189" s="682">
        <f>SUM(H2190:H2194)</f>
        <v>227.99868417400006</v>
      </c>
      <c r="I2189" s="592">
        <f>VLOOKUP(D2189,'ENSAIOS DE ORÇAMENTO'!$C$3:$L$79,8,FALSE)</f>
        <v>2111.4143779999999</v>
      </c>
      <c r="J2189" s="592">
        <f t="shared" ref="J2189" si="1362">IF(ISBLANK(I2189),"",SUM(H2189:I2189))</f>
        <v>2339.4130621740001</v>
      </c>
      <c r="K2189" s="593">
        <f t="shared" ref="K2189:K2252" si="1363">IF(ISBLANK(I2189),0,ROUND(J2189*(1+$F$10)*(1+$F$11*E2189),2))</f>
        <v>2847.3</v>
      </c>
      <c r="L2189" s="594" t="s">
        <v>21</v>
      </c>
      <c r="M2189" s="92"/>
      <c r="N2189" s="92"/>
      <c r="O2189" s="93">
        <f t="shared" si="1350"/>
        <v>0</v>
      </c>
      <c r="P2189" s="93">
        <f t="shared" si="1351"/>
        <v>0</v>
      </c>
      <c r="Q2189" s="94"/>
      <c r="R2189" s="92">
        <f t="shared" si="1356"/>
        <v>0</v>
      </c>
      <c r="S2189" s="92">
        <f t="shared" si="1356"/>
        <v>0</v>
      </c>
      <c r="T2189" s="93">
        <f t="shared" si="1352"/>
        <v>0</v>
      </c>
      <c r="U2189" s="95">
        <f t="shared" si="1348"/>
        <v>0</v>
      </c>
      <c r="V2189" s="94"/>
      <c r="X2189" s="580" t="str">
        <f t="shared" si="1359"/>
        <v/>
      </c>
      <c r="Y2189" s="580" t="str">
        <f t="shared" si="1361"/>
        <v/>
      </c>
      <c r="Z2189" s="580" t="str">
        <f t="shared" si="1346"/>
        <v/>
      </c>
    </row>
    <row r="2190" spans="1:26" hidden="1" x14ac:dyDescent="0.2">
      <c r="A2190" s="97" t="s">
        <v>165</v>
      </c>
      <c r="B2190" s="1031" t="s">
        <v>165</v>
      </c>
      <c r="C2190" s="978"/>
      <c r="D2190" s="595" t="s">
        <v>218</v>
      </c>
      <c r="E2190" s="596"/>
      <c r="F2190" s="671">
        <v>500</v>
      </c>
      <c r="G2190" s="597">
        <f>VLOOKUP(D2189,'ENSAIOS DE ORÇAMENTO'!$C$3:$L$79,4,FALSE)</f>
        <v>0.2047668</v>
      </c>
      <c r="H2190" s="682">
        <f>IF(F2190&lt;=30,(0.51*F2190+4.28)*G2190,((0.51*30+4.28)+0.42*(F2190-30))*G2190)</f>
        <v>44.430300264000003</v>
      </c>
      <c r="I2190" s="592"/>
      <c r="J2190" s="592"/>
      <c r="K2190" s="593">
        <f t="shared" si="1363"/>
        <v>0</v>
      </c>
      <c r="L2190" s="594"/>
      <c r="M2190" s="92"/>
      <c r="N2190" s="92"/>
      <c r="O2190" s="93">
        <f t="shared" si="1350"/>
        <v>0</v>
      </c>
      <c r="P2190" s="93">
        <f t="shared" si="1351"/>
        <v>0</v>
      </c>
      <c r="Q2190" s="94"/>
      <c r="R2190" s="92">
        <f t="shared" si="1356"/>
        <v>0</v>
      </c>
      <c r="S2190" s="92">
        <f t="shared" si="1356"/>
        <v>0</v>
      </c>
      <c r="T2190" s="93">
        <f t="shared" si="1352"/>
        <v>0</v>
      </c>
      <c r="U2190" s="95">
        <f t="shared" si="1348"/>
        <v>0</v>
      </c>
      <c r="V2190" s="94"/>
      <c r="W2190" s="96" t="str">
        <f>IF(U2189&gt;0,"xx",IF(P2189&gt;0,"xy",""))</f>
        <v/>
      </c>
      <c r="X2190" s="580" t="str">
        <f t="shared" si="1359"/>
        <v/>
      </c>
      <c r="Y2190" s="580" t="str">
        <f t="shared" si="1361"/>
        <v/>
      </c>
      <c r="Z2190" s="580" t="str">
        <f t="shared" si="1346"/>
        <v/>
      </c>
    </row>
    <row r="2191" spans="1:26" hidden="1" x14ac:dyDescent="0.2">
      <c r="A2191" s="97" t="s">
        <v>165</v>
      </c>
      <c r="B2191" s="1031" t="s">
        <v>165</v>
      </c>
      <c r="C2191" s="978"/>
      <c r="D2191" s="595" t="s">
        <v>257</v>
      </c>
      <c r="E2191" s="596"/>
      <c r="F2191" s="671">
        <v>180</v>
      </c>
      <c r="G2191" s="597">
        <f>VLOOKUP(D2189,'ENSAIOS DE ORÇAMENTO'!$C$3:$L$79,5,FALSE)</f>
        <v>1.1293030000000002</v>
      </c>
      <c r="H2191" s="682">
        <f>IF(F2191=0,0,IF(F2191&lt;=30,(0.7*F2191+1.45)*G2191,((0.7*30+1.45)+0.58*(F2191-30))*G2191))</f>
        <v>123.60221335000003</v>
      </c>
      <c r="I2191" s="592"/>
      <c r="J2191" s="592"/>
      <c r="K2191" s="593">
        <f t="shared" si="1363"/>
        <v>0</v>
      </c>
      <c r="L2191" s="594"/>
      <c r="M2191" s="92"/>
      <c r="N2191" s="92"/>
      <c r="O2191" s="93">
        <f t="shared" si="1350"/>
        <v>0</v>
      </c>
      <c r="P2191" s="93">
        <f t="shared" si="1351"/>
        <v>0</v>
      </c>
      <c r="Q2191" s="94"/>
      <c r="R2191" s="92">
        <f t="shared" si="1356"/>
        <v>0</v>
      </c>
      <c r="S2191" s="92">
        <f t="shared" si="1356"/>
        <v>0</v>
      </c>
      <c r="T2191" s="93">
        <f t="shared" si="1352"/>
        <v>0</v>
      </c>
      <c r="U2191" s="95">
        <f t="shared" si="1348"/>
        <v>0</v>
      </c>
      <c r="V2191" s="94"/>
      <c r="W2191" s="96" t="str">
        <f>IF(U2189&gt;0,"xx",IF(P2189&gt;0,"xy",""))</f>
        <v/>
      </c>
      <c r="X2191" s="580" t="str">
        <f t="shared" si="1359"/>
        <v/>
      </c>
      <c r="Y2191" s="580" t="str">
        <f t="shared" si="1361"/>
        <v/>
      </c>
      <c r="Z2191" s="580" t="str">
        <f t="shared" si="1346"/>
        <v/>
      </c>
    </row>
    <row r="2192" spans="1:26" hidden="1" x14ac:dyDescent="0.2">
      <c r="A2192" s="97" t="s">
        <v>165</v>
      </c>
      <c r="B2192" s="1031" t="s">
        <v>165</v>
      </c>
      <c r="C2192" s="978"/>
      <c r="D2192" s="595" t="s">
        <v>261</v>
      </c>
      <c r="E2192" s="596"/>
      <c r="F2192" s="671">
        <v>20</v>
      </c>
      <c r="G2192" s="597">
        <f>VLOOKUP(D2189,'ENSAIOS DE ORÇAMENTO'!$C$3:$L$79,6,FALSE)</f>
        <v>0.38805600000000001</v>
      </c>
      <c r="H2192" s="682">
        <f>IF(F2192=0,0,IF(F2192&lt;=30,(0.7*F2192+1.45)*G2192,((0.7*30+1.45)+0.58*(F2192-30))*G2192))</f>
        <v>5.9954651999999999</v>
      </c>
      <c r="I2192" s="592"/>
      <c r="J2192" s="592"/>
      <c r="K2192" s="593">
        <f t="shared" si="1363"/>
        <v>0</v>
      </c>
      <c r="L2192" s="594"/>
      <c r="M2192" s="92"/>
      <c r="N2192" s="92"/>
      <c r="O2192" s="93">
        <f t="shared" si="1350"/>
        <v>0</v>
      </c>
      <c r="P2192" s="93">
        <f t="shared" si="1351"/>
        <v>0</v>
      </c>
      <c r="Q2192" s="94"/>
      <c r="R2192" s="92">
        <f t="shared" si="1356"/>
        <v>0</v>
      </c>
      <c r="S2192" s="92">
        <f t="shared" si="1356"/>
        <v>0</v>
      </c>
      <c r="T2192" s="93">
        <f t="shared" si="1352"/>
        <v>0</v>
      </c>
      <c r="U2192" s="95">
        <f t="shared" si="1348"/>
        <v>0</v>
      </c>
      <c r="V2192" s="94"/>
      <c r="W2192" s="96" t="str">
        <f>IF(U2189&gt;0,"xx",IF(P2189&gt;0,"xy",""))</f>
        <v/>
      </c>
      <c r="X2192" s="580" t="str">
        <f t="shared" si="1359"/>
        <v/>
      </c>
      <c r="Y2192" s="580" t="str">
        <f t="shared" si="1361"/>
        <v/>
      </c>
      <c r="Z2192" s="580" t="str">
        <f t="shared" si="1346"/>
        <v/>
      </c>
    </row>
    <row r="2193" spans="1:26" hidden="1" x14ac:dyDescent="0.2">
      <c r="A2193" s="97" t="s">
        <v>165</v>
      </c>
      <c r="B2193" s="1031" t="s">
        <v>165</v>
      </c>
      <c r="C2193" s="978"/>
      <c r="D2193" s="595" t="s">
        <v>419</v>
      </c>
      <c r="E2193" s="596"/>
      <c r="F2193" s="671">
        <v>30</v>
      </c>
      <c r="G2193" s="597">
        <f>VLOOKUP(D2189,'ENSAIOS DE ORÇAMENTO'!$C$3:$L$79,3,FALSE)</f>
        <v>1.6716959999999998</v>
      </c>
      <c r="H2193" s="682">
        <f>IF(F2193=0,0,IF(F2193&lt;=30,(0.7*F2193+1.45)*G2193,((0.7*30+1.45)+0.58*(F2193-30))*G2193))</f>
        <v>37.529575199999996</v>
      </c>
      <c r="I2193" s="592"/>
      <c r="J2193" s="592"/>
      <c r="K2193" s="593">
        <f t="shared" si="1363"/>
        <v>0</v>
      </c>
      <c r="L2193" s="594"/>
      <c r="M2193" s="92"/>
      <c r="N2193" s="92"/>
      <c r="O2193" s="93">
        <f t="shared" si="1350"/>
        <v>0</v>
      </c>
      <c r="P2193" s="93">
        <f t="shared" si="1351"/>
        <v>0</v>
      </c>
      <c r="Q2193" s="94"/>
      <c r="R2193" s="92">
        <f t="shared" si="1356"/>
        <v>0</v>
      </c>
      <c r="S2193" s="92">
        <f t="shared" si="1356"/>
        <v>0</v>
      </c>
      <c r="T2193" s="93">
        <f t="shared" si="1352"/>
        <v>0</v>
      </c>
      <c r="U2193" s="95">
        <f t="shared" si="1348"/>
        <v>0</v>
      </c>
      <c r="V2193" s="94"/>
      <c r="W2193" s="96" t="str">
        <f>IF(U2189&gt;0,"xx",IF(P2189&gt;0,"xy",""))</f>
        <v/>
      </c>
      <c r="X2193" s="580" t="str">
        <f t="shared" si="1359"/>
        <v/>
      </c>
      <c r="Y2193" s="580" t="str">
        <f t="shared" si="1361"/>
        <v/>
      </c>
      <c r="Z2193" s="580" t="str">
        <f t="shared" si="1346"/>
        <v/>
      </c>
    </row>
    <row r="2194" spans="1:26" hidden="1" x14ac:dyDescent="0.2">
      <c r="A2194" s="97" t="s">
        <v>165</v>
      </c>
      <c r="B2194" s="1031" t="s">
        <v>165</v>
      </c>
      <c r="C2194" s="978"/>
      <c r="D2194" s="595" t="s">
        <v>420</v>
      </c>
      <c r="E2194" s="596"/>
      <c r="F2194" s="671">
        <v>500</v>
      </c>
      <c r="G2194" s="597">
        <f>VLOOKUP(D2189,'ENSAIOS DE ORÇAMENTO'!$C$3:$L$79,10,FALSE)</f>
        <v>5.5723200000000001E-2</v>
      </c>
      <c r="H2194" s="682">
        <f>IF(F2194=0,0,IF(F2194&lt;=30,(0.7*F2194+1.45)*G2194,((0.7*30+1.45)+0.58*(F2194-30))*G2194))</f>
        <v>16.441130159999997</v>
      </c>
      <c r="I2194" s="592"/>
      <c r="J2194" s="592"/>
      <c r="K2194" s="593">
        <f t="shared" si="1363"/>
        <v>0</v>
      </c>
      <c r="L2194" s="594"/>
      <c r="M2194" s="92"/>
      <c r="N2194" s="92"/>
      <c r="O2194" s="93">
        <f t="shared" si="1350"/>
        <v>0</v>
      </c>
      <c r="P2194" s="93">
        <f t="shared" si="1351"/>
        <v>0</v>
      </c>
      <c r="Q2194" s="94"/>
      <c r="R2194" s="92">
        <f t="shared" si="1356"/>
        <v>0</v>
      </c>
      <c r="S2194" s="92">
        <f t="shared" si="1356"/>
        <v>0</v>
      </c>
      <c r="T2194" s="93">
        <f t="shared" si="1352"/>
        <v>0</v>
      </c>
      <c r="U2194" s="95">
        <f t="shared" si="1348"/>
        <v>0</v>
      </c>
      <c r="V2194" s="94"/>
      <c r="W2194" s="96" t="str">
        <f>IF(U2189&gt;0,"xx",IF(P2189&gt;0,"xy",""))</f>
        <v/>
      </c>
      <c r="X2194" s="580" t="str">
        <f t="shared" si="1359"/>
        <v/>
      </c>
      <c r="Y2194" s="580" t="str">
        <f t="shared" si="1361"/>
        <v/>
      </c>
      <c r="Z2194" s="580" t="str">
        <f t="shared" si="1346"/>
        <v/>
      </c>
    </row>
    <row r="2195" spans="1:26" hidden="1" x14ac:dyDescent="0.2">
      <c r="A2195" s="97" t="s">
        <v>33</v>
      </c>
      <c r="B2195" s="1031" t="s">
        <v>33</v>
      </c>
      <c r="C2195" s="978" t="s">
        <v>212</v>
      </c>
      <c r="D2195" s="595" t="s">
        <v>99</v>
      </c>
      <c r="E2195" s="596"/>
      <c r="F2195" s="671"/>
      <c r="G2195" s="597"/>
      <c r="H2195" s="682">
        <f>SUM(H2196:H2200)</f>
        <v>269.20506877000003</v>
      </c>
      <c r="I2195" s="592">
        <f>VLOOKUP(D2195,'ENSAIOS DE ORÇAMENTO'!$C$3:$L$79,8,FALSE)</f>
        <v>2327.7863779999998</v>
      </c>
      <c r="J2195" s="592">
        <f t="shared" ref="J2195" si="1364">IF(ISBLANK(I2195),"",SUM(H2195:I2195))</f>
        <v>2596.99144677</v>
      </c>
      <c r="K2195" s="593">
        <f t="shared" si="1363"/>
        <v>3160.8</v>
      </c>
      <c r="L2195" s="594" t="s">
        <v>21</v>
      </c>
      <c r="M2195" s="92"/>
      <c r="N2195" s="92"/>
      <c r="O2195" s="93">
        <f t="shared" si="1350"/>
        <v>0</v>
      </c>
      <c r="P2195" s="93">
        <f t="shared" si="1351"/>
        <v>0</v>
      </c>
      <c r="Q2195" s="94"/>
      <c r="R2195" s="92">
        <f t="shared" si="1356"/>
        <v>0</v>
      </c>
      <c r="S2195" s="92">
        <f t="shared" si="1356"/>
        <v>0</v>
      </c>
      <c r="T2195" s="93">
        <f t="shared" si="1352"/>
        <v>0</v>
      </c>
      <c r="U2195" s="95">
        <f t="shared" si="1348"/>
        <v>0</v>
      </c>
      <c r="V2195" s="94"/>
      <c r="X2195" s="580" t="str">
        <f t="shared" si="1359"/>
        <v/>
      </c>
      <c r="Y2195" s="580" t="str">
        <f t="shared" si="1361"/>
        <v/>
      </c>
      <c r="Z2195" s="580" t="str">
        <f t="shared" si="1346"/>
        <v/>
      </c>
    </row>
    <row r="2196" spans="1:26" hidden="1" x14ac:dyDescent="0.2">
      <c r="A2196" s="97" t="s">
        <v>165</v>
      </c>
      <c r="B2196" s="1031" t="s">
        <v>165</v>
      </c>
      <c r="C2196" s="978"/>
      <c r="D2196" s="595" t="s">
        <v>218</v>
      </c>
      <c r="E2196" s="596"/>
      <c r="F2196" s="671">
        <v>500</v>
      </c>
      <c r="G2196" s="597">
        <f>VLOOKUP(D2195,'ENSAIOS DE ORÇAMENTO'!$C$3:$L$79,4,FALSE)</f>
        <v>0.23381399999999999</v>
      </c>
      <c r="H2196" s="682">
        <f>IF(F2196&lt;=30,(0.51*F2196+4.28)*G2196,((0.51*30+4.28)+0.42*(F2196-30))*G2196)</f>
        <v>50.732961720000006</v>
      </c>
      <c r="I2196" s="592"/>
      <c r="J2196" s="592"/>
      <c r="K2196" s="593">
        <f t="shared" si="1363"/>
        <v>0</v>
      </c>
      <c r="L2196" s="594"/>
      <c r="M2196" s="92"/>
      <c r="N2196" s="92"/>
      <c r="O2196" s="93">
        <f t="shared" si="1350"/>
        <v>0</v>
      </c>
      <c r="P2196" s="93">
        <f t="shared" si="1351"/>
        <v>0</v>
      </c>
      <c r="Q2196" s="94"/>
      <c r="R2196" s="92">
        <f t="shared" si="1356"/>
        <v>0</v>
      </c>
      <c r="S2196" s="92">
        <f t="shared" si="1356"/>
        <v>0</v>
      </c>
      <c r="T2196" s="93">
        <f t="shared" si="1352"/>
        <v>0</v>
      </c>
      <c r="U2196" s="95">
        <f t="shared" si="1348"/>
        <v>0</v>
      </c>
      <c r="V2196" s="94"/>
      <c r="W2196" s="96" t="str">
        <f>IF(U2195&gt;0,"xx",IF(P2195&gt;0,"xy",""))</f>
        <v/>
      </c>
      <c r="X2196" s="580" t="str">
        <f t="shared" si="1359"/>
        <v/>
      </c>
      <c r="Y2196" s="580" t="str">
        <f t="shared" si="1361"/>
        <v/>
      </c>
      <c r="Z2196" s="580" t="str">
        <f t="shared" si="1346"/>
        <v/>
      </c>
    </row>
    <row r="2197" spans="1:26" hidden="1" x14ac:dyDescent="0.2">
      <c r="A2197" s="97" t="s">
        <v>165</v>
      </c>
      <c r="B2197" s="1031" t="s">
        <v>165</v>
      </c>
      <c r="C2197" s="978"/>
      <c r="D2197" s="595" t="s">
        <v>257</v>
      </c>
      <c r="E2197" s="596"/>
      <c r="F2197" s="671">
        <v>180</v>
      </c>
      <c r="G2197" s="597">
        <f>VLOOKUP(D2195,'ENSAIOS DE ORÇAMENTO'!$C$3:$L$79,5,FALSE)</f>
        <v>1.324927</v>
      </c>
      <c r="H2197" s="682">
        <f>IF(F2197=0,0,IF(F2197&lt;=30,(0.7*F2197+1.45)*G2197,((0.7*30+1.45)+0.58*(F2197-30))*G2197))</f>
        <v>145.01326015000001</v>
      </c>
      <c r="I2197" s="592"/>
      <c r="J2197" s="592"/>
      <c r="K2197" s="593">
        <f t="shared" si="1363"/>
        <v>0</v>
      </c>
      <c r="L2197" s="594"/>
      <c r="M2197" s="92"/>
      <c r="N2197" s="92"/>
      <c r="O2197" s="93">
        <f t="shared" si="1350"/>
        <v>0</v>
      </c>
      <c r="P2197" s="93">
        <f t="shared" si="1351"/>
        <v>0</v>
      </c>
      <c r="Q2197" s="94"/>
      <c r="R2197" s="92">
        <f t="shared" si="1356"/>
        <v>0</v>
      </c>
      <c r="S2197" s="92">
        <f t="shared" si="1356"/>
        <v>0</v>
      </c>
      <c r="T2197" s="93">
        <f t="shared" si="1352"/>
        <v>0</v>
      </c>
      <c r="U2197" s="95">
        <f t="shared" si="1348"/>
        <v>0</v>
      </c>
      <c r="V2197" s="94"/>
      <c r="W2197" s="96" t="str">
        <f>IF(U2195&gt;0,"xx",IF(P2195&gt;0,"xy",""))</f>
        <v/>
      </c>
      <c r="X2197" s="580" t="str">
        <f t="shared" si="1359"/>
        <v/>
      </c>
      <c r="Y2197" s="580" t="str">
        <f t="shared" si="1361"/>
        <v/>
      </c>
      <c r="Z2197" s="580" t="str">
        <f t="shared" si="1346"/>
        <v/>
      </c>
    </row>
    <row r="2198" spans="1:26" hidden="1" x14ac:dyDescent="0.2">
      <c r="A2198" s="97" t="s">
        <v>165</v>
      </c>
      <c r="B2198" s="1031" t="s">
        <v>165</v>
      </c>
      <c r="C2198" s="978"/>
      <c r="D2198" s="595" t="s">
        <v>261</v>
      </c>
      <c r="E2198" s="596"/>
      <c r="F2198" s="671">
        <v>20</v>
      </c>
      <c r="G2198" s="597">
        <f>VLOOKUP(D2195,'ENSAIOS DE ORÇAMENTO'!$C$3:$L$79,6,FALSE)</f>
        <v>0.38805600000000001</v>
      </c>
      <c r="H2198" s="682">
        <f>IF(F2198=0,0,IF(F2198&lt;=30,(0.7*F2198+1.45)*G2198,((0.7*30+1.45)+0.58*(F2198-30))*G2198))</f>
        <v>5.9954651999999999</v>
      </c>
      <c r="I2198" s="592"/>
      <c r="J2198" s="592"/>
      <c r="K2198" s="593">
        <f t="shared" si="1363"/>
        <v>0</v>
      </c>
      <c r="L2198" s="594"/>
      <c r="M2198" s="92"/>
      <c r="N2198" s="92"/>
      <c r="O2198" s="93">
        <f t="shared" si="1350"/>
        <v>0</v>
      </c>
      <c r="P2198" s="93">
        <f t="shared" si="1351"/>
        <v>0</v>
      </c>
      <c r="Q2198" s="94"/>
      <c r="R2198" s="92">
        <f t="shared" si="1356"/>
        <v>0</v>
      </c>
      <c r="S2198" s="92">
        <f t="shared" si="1356"/>
        <v>0</v>
      </c>
      <c r="T2198" s="93">
        <f t="shared" si="1352"/>
        <v>0</v>
      </c>
      <c r="U2198" s="95">
        <f t="shared" si="1348"/>
        <v>0</v>
      </c>
      <c r="V2198" s="94"/>
      <c r="W2198" s="96" t="str">
        <f>IF(U2195&gt;0,"xx",IF(P2195&gt;0,"xy",""))</f>
        <v/>
      </c>
      <c r="X2198" s="580" t="str">
        <f t="shared" si="1359"/>
        <v/>
      </c>
      <c r="Y2198" s="580" t="str">
        <f t="shared" si="1361"/>
        <v/>
      </c>
      <c r="Z2198" s="580" t="str">
        <f t="shared" si="1346"/>
        <v/>
      </c>
    </row>
    <row r="2199" spans="1:26" hidden="1" x14ac:dyDescent="0.2">
      <c r="A2199" s="97" t="s">
        <v>165</v>
      </c>
      <c r="B2199" s="1031" t="s">
        <v>165</v>
      </c>
      <c r="C2199" s="978"/>
      <c r="D2199" s="595" t="s">
        <v>419</v>
      </c>
      <c r="E2199" s="596"/>
      <c r="F2199" s="671">
        <v>30</v>
      </c>
      <c r="G2199" s="597">
        <f>VLOOKUP(D2195,'ENSAIOS DE ORÇAMENTO'!$C$3:$L$79,3,FALSE)</f>
        <v>2.0896199999999996</v>
      </c>
      <c r="H2199" s="682">
        <f>IF(F2199=0,0,IF(F2199&lt;=30,(0.7*F2199+1.45)*G2199,((0.7*30+1.45)+0.58*(F2199-30))*G2199))</f>
        <v>46.911968999999992</v>
      </c>
      <c r="I2199" s="592"/>
      <c r="J2199" s="592"/>
      <c r="K2199" s="593">
        <f t="shared" si="1363"/>
        <v>0</v>
      </c>
      <c r="L2199" s="594"/>
      <c r="M2199" s="92"/>
      <c r="N2199" s="92"/>
      <c r="O2199" s="93">
        <f t="shared" si="1350"/>
        <v>0</v>
      </c>
      <c r="P2199" s="93">
        <f t="shared" si="1351"/>
        <v>0</v>
      </c>
      <c r="Q2199" s="94"/>
      <c r="R2199" s="92">
        <f t="shared" si="1356"/>
        <v>0</v>
      </c>
      <c r="S2199" s="92">
        <f t="shared" si="1356"/>
        <v>0</v>
      </c>
      <c r="T2199" s="93">
        <f t="shared" si="1352"/>
        <v>0</v>
      </c>
      <c r="U2199" s="95">
        <f t="shared" si="1348"/>
        <v>0</v>
      </c>
      <c r="V2199" s="94"/>
      <c r="W2199" s="96" t="str">
        <f>IF(U2195&gt;0,"xx",IF(P2195&gt;0,"xy",""))</f>
        <v/>
      </c>
      <c r="X2199" s="580" t="str">
        <f t="shared" si="1359"/>
        <v/>
      </c>
      <c r="Y2199" s="580" t="str">
        <f t="shared" si="1361"/>
        <v/>
      </c>
      <c r="Z2199" s="580" t="str">
        <f t="shared" ref="Z2199:Z2262" si="1365">IF(W2199="X","x",IF(U2199&gt;0,"x",""))</f>
        <v/>
      </c>
    </row>
    <row r="2200" spans="1:26" hidden="1" x14ac:dyDescent="0.2">
      <c r="A2200" s="97" t="s">
        <v>165</v>
      </c>
      <c r="B2200" s="1031" t="s">
        <v>165</v>
      </c>
      <c r="C2200" s="978"/>
      <c r="D2200" s="595" t="s">
        <v>420</v>
      </c>
      <c r="E2200" s="596"/>
      <c r="F2200" s="671">
        <v>500</v>
      </c>
      <c r="G2200" s="597">
        <f>VLOOKUP(D2195,'ENSAIOS DE ORÇAMENTO'!$C$3:$L$79,10,FALSE)</f>
        <v>6.9653999999999994E-2</v>
      </c>
      <c r="H2200" s="682">
        <f>IF(F2200=0,0,IF(F2200&lt;=30,(0.7*F2200+1.45)*G2200,((0.7*30+1.45)+0.58*(F2200-30))*G2200))</f>
        <v>20.551412699999997</v>
      </c>
      <c r="I2200" s="592"/>
      <c r="J2200" s="592"/>
      <c r="K2200" s="593">
        <f t="shared" si="1363"/>
        <v>0</v>
      </c>
      <c r="L2200" s="594"/>
      <c r="M2200" s="92"/>
      <c r="N2200" s="92"/>
      <c r="O2200" s="93">
        <f t="shared" si="1350"/>
        <v>0</v>
      </c>
      <c r="P2200" s="93">
        <f t="shared" si="1351"/>
        <v>0</v>
      </c>
      <c r="Q2200" s="94"/>
      <c r="R2200" s="92">
        <f t="shared" si="1356"/>
        <v>0</v>
      </c>
      <c r="S2200" s="92">
        <f t="shared" si="1356"/>
        <v>0</v>
      </c>
      <c r="T2200" s="93">
        <f t="shared" si="1352"/>
        <v>0</v>
      </c>
      <c r="U2200" s="95">
        <f t="shared" si="1348"/>
        <v>0</v>
      </c>
      <c r="V2200" s="94"/>
      <c r="W2200" s="96" t="str">
        <f>IF(U2195&gt;0,"xx",IF(P2195&gt;0,"xy",""))</f>
        <v/>
      </c>
      <c r="X2200" s="580" t="str">
        <f t="shared" si="1359"/>
        <v/>
      </c>
      <c r="Y2200" s="580" t="str">
        <f t="shared" si="1361"/>
        <v/>
      </c>
      <c r="Z2200" s="580" t="str">
        <f t="shared" si="1365"/>
        <v/>
      </c>
    </row>
    <row r="2201" spans="1:26" hidden="1" x14ac:dyDescent="0.2">
      <c r="A2201" s="97" t="s">
        <v>114</v>
      </c>
      <c r="B2201" s="1031" t="s">
        <v>114</v>
      </c>
      <c r="C2201" s="978" t="s">
        <v>212</v>
      </c>
      <c r="D2201" s="595" t="s">
        <v>100</v>
      </c>
      <c r="E2201" s="596"/>
      <c r="F2201" s="671"/>
      <c r="G2201" s="597"/>
      <c r="H2201" s="682">
        <f>SUM(H2202:H2206)</f>
        <v>337.35408944800002</v>
      </c>
      <c r="I2201" s="592">
        <f>VLOOKUP(D2201,'ENSAIOS DE ORÇAMENTO'!$C$3:$L$79,8,FALSE)</f>
        <v>2685.6323780000002</v>
      </c>
      <c r="J2201" s="592">
        <f>IF(ISBLANK(I2201),"",SUM(H2201:I2201))</f>
        <v>3022.9864674480004</v>
      </c>
      <c r="K2201" s="593">
        <f t="shared" si="1363"/>
        <v>3679.28</v>
      </c>
      <c r="L2201" s="594" t="s">
        <v>21</v>
      </c>
      <c r="M2201" s="92"/>
      <c r="N2201" s="92"/>
      <c r="O2201" s="93">
        <f t="shared" si="1350"/>
        <v>0</v>
      </c>
      <c r="P2201" s="93">
        <f t="shared" si="1351"/>
        <v>0</v>
      </c>
      <c r="Q2201" s="94"/>
      <c r="R2201" s="92">
        <f t="shared" si="1356"/>
        <v>0</v>
      </c>
      <c r="S2201" s="92">
        <f t="shared" si="1356"/>
        <v>0</v>
      </c>
      <c r="T2201" s="93">
        <f t="shared" si="1352"/>
        <v>0</v>
      </c>
      <c r="U2201" s="95">
        <f t="shared" si="1348"/>
        <v>0</v>
      </c>
      <c r="V2201" s="94"/>
      <c r="X2201" s="580" t="str">
        <f t="shared" si="1359"/>
        <v/>
      </c>
      <c r="Y2201" s="580" t="str">
        <f t="shared" si="1361"/>
        <v/>
      </c>
      <c r="Z2201" s="580" t="str">
        <f t="shared" si="1365"/>
        <v/>
      </c>
    </row>
    <row r="2202" spans="1:26" hidden="1" x14ac:dyDescent="0.2">
      <c r="A2202" s="97" t="s">
        <v>165</v>
      </c>
      <c r="B2202" s="1031" t="s">
        <v>165</v>
      </c>
      <c r="C2202" s="978"/>
      <c r="D2202" s="595" t="s">
        <v>218</v>
      </c>
      <c r="E2202" s="596"/>
      <c r="F2202" s="671">
        <v>500</v>
      </c>
      <c r="G2202" s="597">
        <f>VLOOKUP(D2201,'ENSAIOS DE ORÇAMENTO'!$C$3:$L$79,4,FALSE)</f>
        <v>0.28185359999999998</v>
      </c>
      <c r="H2202" s="682">
        <f>IF(F2202&lt;=30,(0.51*F2202+4.28)*G2202,((0.51*30+4.28)+0.42*(F2202-30))*G2202)</f>
        <v>61.156594128000002</v>
      </c>
      <c r="I2202" s="592"/>
      <c r="J2202" s="592"/>
      <c r="K2202" s="593">
        <f t="shared" si="1363"/>
        <v>0</v>
      </c>
      <c r="L2202" s="594"/>
      <c r="M2202" s="92"/>
      <c r="N2202" s="92"/>
      <c r="O2202" s="93">
        <f t="shared" si="1350"/>
        <v>0</v>
      </c>
      <c r="P2202" s="93">
        <f t="shared" si="1351"/>
        <v>0</v>
      </c>
      <c r="Q2202" s="94"/>
      <c r="R2202" s="92">
        <f t="shared" si="1356"/>
        <v>0</v>
      </c>
      <c r="S2202" s="92">
        <f t="shared" si="1356"/>
        <v>0</v>
      </c>
      <c r="T2202" s="93">
        <f t="shared" si="1352"/>
        <v>0</v>
      </c>
      <c r="U2202" s="95">
        <f t="shared" si="1348"/>
        <v>0</v>
      </c>
      <c r="V2202" s="94"/>
      <c r="W2202" s="96" t="str">
        <f>IF(U2201&gt;0,"xx",IF(P2201&gt;0,"xy",""))</f>
        <v/>
      </c>
      <c r="X2202" s="580" t="str">
        <f t="shared" si="1359"/>
        <v/>
      </c>
      <c r="Y2202" s="580" t="str">
        <f t="shared" si="1361"/>
        <v/>
      </c>
      <c r="Z2202" s="580" t="str">
        <f t="shared" si="1365"/>
        <v/>
      </c>
    </row>
    <row r="2203" spans="1:26" hidden="1" x14ac:dyDescent="0.2">
      <c r="A2203" s="97" t="s">
        <v>165</v>
      </c>
      <c r="B2203" s="1031" t="s">
        <v>165</v>
      </c>
      <c r="C2203" s="978"/>
      <c r="D2203" s="595" t="s">
        <v>257</v>
      </c>
      <c r="E2203" s="596"/>
      <c r="F2203" s="671">
        <v>180</v>
      </c>
      <c r="G2203" s="597">
        <f>VLOOKUP(D2201,'ENSAIOS DE ORÇAMENTO'!$C$3:$L$79,5,FALSE)</f>
        <v>1.6484590000000001</v>
      </c>
      <c r="H2203" s="682">
        <f>IF(F2203=0,0,IF(F2203&lt;=30,(0.7*F2203+1.45)*G2203,((0.7*30+1.45)+0.58*(F2203-30))*G2203))</f>
        <v>180.42383755000003</v>
      </c>
      <c r="I2203" s="592"/>
      <c r="J2203" s="592"/>
      <c r="K2203" s="593">
        <f t="shared" si="1363"/>
        <v>0</v>
      </c>
      <c r="L2203" s="594"/>
      <c r="M2203" s="92"/>
      <c r="N2203" s="92"/>
      <c r="O2203" s="93">
        <f t="shared" si="1350"/>
        <v>0</v>
      </c>
      <c r="P2203" s="93">
        <f t="shared" si="1351"/>
        <v>0</v>
      </c>
      <c r="Q2203" s="94"/>
      <c r="R2203" s="92">
        <f t="shared" si="1356"/>
        <v>0</v>
      </c>
      <c r="S2203" s="92">
        <f t="shared" si="1356"/>
        <v>0</v>
      </c>
      <c r="T2203" s="93">
        <f t="shared" si="1352"/>
        <v>0</v>
      </c>
      <c r="U2203" s="95">
        <f t="shared" si="1348"/>
        <v>0</v>
      </c>
      <c r="V2203" s="94"/>
      <c r="W2203" s="96" t="str">
        <f>IF(U2201&gt;0,"xx",IF(P2201&gt;0,"xy",""))</f>
        <v/>
      </c>
      <c r="X2203" s="580" t="str">
        <f t="shared" si="1359"/>
        <v/>
      </c>
      <c r="Y2203" s="580" t="str">
        <f t="shared" si="1361"/>
        <v/>
      </c>
      <c r="Z2203" s="580" t="str">
        <f t="shared" si="1365"/>
        <v/>
      </c>
    </row>
    <row r="2204" spans="1:26" hidden="1" x14ac:dyDescent="0.2">
      <c r="A2204" s="97" t="s">
        <v>165</v>
      </c>
      <c r="B2204" s="1031" t="s">
        <v>165</v>
      </c>
      <c r="C2204" s="978"/>
      <c r="D2204" s="595" t="s">
        <v>261</v>
      </c>
      <c r="E2204" s="596"/>
      <c r="F2204" s="671">
        <v>20</v>
      </c>
      <c r="G2204" s="597">
        <f>VLOOKUP(D2201,'ENSAIOS DE ORÇAMENTO'!$C$3:$L$79,6,FALSE)</f>
        <v>0.38805600000000001</v>
      </c>
      <c r="H2204" s="682">
        <f>IF(F2204=0,0,IF(F2204&lt;=30,(0.7*F2204+1.45)*G2204,((0.7*30+1.45)+0.58*(F2204-30))*G2204))</f>
        <v>5.9954651999999999</v>
      </c>
      <c r="I2204" s="592"/>
      <c r="J2204" s="592"/>
      <c r="K2204" s="593">
        <f t="shared" si="1363"/>
        <v>0</v>
      </c>
      <c r="L2204" s="594"/>
      <c r="M2204" s="92"/>
      <c r="N2204" s="92"/>
      <c r="O2204" s="93">
        <f t="shared" si="1350"/>
        <v>0</v>
      </c>
      <c r="P2204" s="93">
        <f t="shared" si="1351"/>
        <v>0</v>
      </c>
      <c r="Q2204" s="94"/>
      <c r="R2204" s="92">
        <f t="shared" si="1356"/>
        <v>0</v>
      </c>
      <c r="S2204" s="92">
        <f t="shared" si="1356"/>
        <v>0</v>
      </c>
      <c r="T2204" s="93">
        <f t="shared" si="1352"/>
        <v>0</v>
      </c>
      <c r="U2204" s="95">
        <f t="shared" si="1348"/>
        <v>0</v>
      </c>
      <c r="V2204" s="94"/>
      <c r="W2204" s="96" t="str">
        <f>IF(U2201&gt;0,"xx",IF(P2201&gt;0,"xy",""))</f>
        <v/>
      </c>
      <c r="X2204" s="580" t="str">
        <f t="shared" si="1359"/>
        <v/>
      </c>
      <c r="Y2204" s="580" t="str">
        <f t="shared" si="1361"/>
        <v/>
      </c>
      <c r="Z2204" s="580" t="str">
        <f t="shared" si="1365"/>
        <v/>
      </c>
    </row>
    <row r="2205" spans="1:26" hidden="1" x14ac:dyDescent="0.2">
      <c r="A2205" s="97" t="s">
        <v>165</v>
      </c>
      <c r="B2205" s="1031" t="s">
        <v>165</v>
      </c>
      <c r="C2205" s="978"/>
      <c r="D2205" s="595" t="s">
        <v>419</v>
      </c>
      <c r="E2205" s="596"/>
      <c r="F2205" s="671">
        <v>30</v>
      </c>
      <c r="G2205" s="597">
        <f>VLOOKUP(D2201,'ENSAIOS DE ORÇAMENTO'!$C$3:$L$79,3,FALSE)</f>
        <v>2.780802</v>
      </c>
      <c r="H2205" s="682">
        <f>IF(F2205=0,0,IF(F2205&lt;=30,(0.7*F2205+1.45)*G2205,((0.7*30+1.45)+0.58*(F2205-30))*G2205))</f>
        <v>62.429004899999995</v>
      </c>
      <c r="I2205" s="592"/>
      <c r="J2205" s="592"/>
      <c r="K2205" s="593">
        <f t="shared" si="1363"/>
        <v>0</v>
      </c>
      <c r="L2205" s="594"/>
      <c r="M2205" s="92"/>
      <c r="N2205" s="92"/>
      <c r="O2205" s="93">
        <f t="shared" si="1350"/>
        <v>0</v>
      </c>
      <c r="P2205" s="93">
        <f t="shared" si="1351"/>
        <v>0</v>
      </c>
      <c r="Q2205" s="94"/>
      <c r="R2205" s="92">
        <f t="shared" si="1356"/>
        <v>0</v>
      </c>
      <c r="S2205" s="92">
        <f t="shared" si="1356"/>
        <v>0</v>
      </c>
      <c r="T2205" s="93">
        <f t="shared" si="1352"/>
        <v>0</v>
      </c>
      <c r="U2205" s="95">
        <f t="shared" si="1348"/>
        <v>0</v>
      </c>
      <c r="V2205" s="94"/>
      <c r="W2205" s="96" t="str">
        <f>IF(U2201&gt;0,"xx",IF(P2201&gt;0,"xy",""))</f>
        <v/>
      </c>
      <c r="X2205" s="580" t="str">
        <f t="shared" si="1359"/>
        <v/>
      </c>
      <c r="Y2205" s="580" t="str">
        <f t="shared" si="1361"/>
        <v/>
      </c>
      <c r="Z2205" s="580" t="str">
        <f t="shared" si="1365"/>
        <v/>
      </c>
    </row>
    <row r="2206" spans="1:26" hidden="1" x14ac:dyDescent="0.2">
      <c r="A2206" s="97" t="s">
        <v>165</v>
      </c>
      <c r="B2206" s="1031" t="s">
        <v>165</v>
      </c>
      <c r="C2206" s="978"/>
      <c r="D2206" s="595" t="s">
        <v>420</v>
      </c>
      <c r="E2206" s="596"/>
      <c r="F2206" s="671">
        <v>500</v>
      </c>
      <c r="G2206" s="597">
        <f>VLOOKUP(D2201,'ENSAIOS DE ORÇAMENTO'!$C$3:$L$79,10,FALSE)</f>
        <v>9.2693399999999995E-2</v>
      </c>
      <c r="H2206" s="682">
        <f>IF(F2206=0,0,IF(F2206&lt;=30,(0.7*F2206+1.45)*G2206,((0.7*30+1.45)+0.58*(F2206-30))*G2206))</f>
        <v>27.349187669999996</v>
      </c>
      <c r="I2206" s="592"/>
      <c r="J2206" s="592"/>
      <c r="K2206" s="593">
        <f t="shared" si="1363"/>
        <v>0</v>
      </c>
      <c r="L2206" s="594"/>
      <c r="M2206" s="92"/>
      <c r="N2206" s="92"/>
      <c r="O2206" s="93">
        <f t="shared" si="1350"/>
        <v>0</v>
      </c>
      <c r="P2206" s="93">
        <f t="shared" si="1351"/>
        <v>0</v>
      </c>
      <c r="Q2206" s="94"/>
      <c r="R2206" s="92">
        <f t="shared" si="1356"/>
        <v>0</v>
      </c>
      <c r="S2206" s="92">
        <f t="shared" si="1356"/>
        <v>0</v>
      </c>
      <c r="T2206" s="93">
        <f t="shared" si="1352"/>
        <v>0</v>
      </c>
      <c r="U2206" s="95">
        <f t="shared" si="1348"/>
        <v>0</v>
      </c>
      <c r="V2206" s="94"/>
      <c r="W2206" s="96" t="str">
        <f>IF(U2201&gt;0,"xx",IF(P2201&gt;0,"xy",""))</f>
        <v/>
      </c>
      <c r="X2206" s="580" t="str">
        <f t="shared" si="1359"/>
        <v/>
      </c>
      <c r="Y2206" s="580" t="str">
        <f t="shared" si="1361"/>
        <v/>
      </c>
      <c r="Z2206" s="580" t="str">
        <f t="shared" si="1365"/>
        <v/>
      </c>
    </row>
    <row r="2207" spans="1:26" hidden="1" x14ac:dyDescent="0.2">
      <c r="A2207" s="97" t="s">
        <v>115</v>
      </c>
      <c r="B2207" s="1031" t="s">
        <v>115</v>
      </c>
      <c r="C2207" s="978" t="s">
        <v>212</v>
      </c>
      <c r="D2207" s="595" t="s">
        <v>101</v>
      </c>
      <c r="E2207" s="596"/>
      <c r="F2207" s="671"/>
      <c r="G2207" s="597"/>
      <c r="H2207" s="682">
        <f>SUM(H2208:H2212)</f>
        <v>407.08797107200002</v>
      </c>
      <c r="I2207" s="592">
        <f>VLOOKUP(D2207,'ENSAIOS DE ORÇAMENTO'!$C$3:$L$79,8,FALSE)</f>
        <v>3051.8003779999999</v>
      </c>
      <c r="J2207" s="592">
        <f>IF(ISBLANK(I2207),"",SUM(H2207:I2207))</f>
        <v>3458.888349072</v>
      </c>
      <c r="K2207" s="593">
        <f t="shared" si="1363"/>
        <v>4209.8100000000004</v>
      </c>
      <c r="L2207" s="594" t="s">
        <v>21</v>
      </c>
      <c r="M2207" s="92"/>
      <c r="N2207" s="92"/>
      <c r="O2207" s="93">
        <f t="shared" si="1350"/>
        <v>0</v>
      </c>
      <c r="P2207" s="93">
        <f t="shared" si="1351"/>
        <v>0</v>
      </c>
      <c r="Q2207" s="94"/>
      <c r="R2207" s="92">
        <f t="shared" si="1356"/>
        <v>0</v>
      </c>
      <c r="S2207" s="92">
        <f t="shared" si="1356"/>
        <v>0</v>
      </c>
      <c r="T2207" s="93">
        <f t="shared" si="1352"/>
        <v>0</v>
      </c>
      <c r="U2207" s="95">
        <f t="shared" ref="U2207:U2270" si="1366">IF(ISBLANK(R2207),0,ROUND(R2207*S2207,2))</f>
        <v>0</v>
      </c>
      <c r="V2207" s="94"/>
      <c r="X2207" s="580" t="str">
        <f t="shared" si="1359"/>
        <v/>
      </c>
      <c r="Y2207" s="580" t="str">
        <f t="shared" si="1361"/>
        <v/>
      </c>
      <c r="Z2207" s="580" t="str">
        <f t="shared" si="1365"/>
        <v/>
      </c>
    </row>
    <row r="2208" spans="1:26" hidden="1" x14ac:dyDescent="0.2">
      <c r="A2208" s="97" t="s">
        <v>165</v>
      </c>
      <c r="B2208" s="1031" t="s">
        <v>165</v>
      </c>
      <c r="C2208" s="978"/>
      <c r="D2208" s="595" t="s">
        <v>218</v>
      </c>
      <c r="E2208" s="596"/>
      <c r="F2208" s="671">
        <v>500</v>
      </c>
      <c r="G2208" s="597">
        <f>VLOOKUP(D2207,'ENSAIOS DE ORÇAMENTO'!$C$3:$L$79,4,FALSE)</f>
        <v>0.33101039999999993</v>
      </c>
      <c r="H2208" s="682">
        <f>IF(F2208&lt;=30,(0.51*F2208+4.28)*G2208,((0.51*30+4.28)+0.42*(F2208-30))*G2208)</f>
        <v>71.822636591999995</v>
      </c>
      <c r="I2208" s="592"/>
      <c r="J2208" s="592"/>
      <c r="K2208" s="593">
        <f t="shared" si="1363"/>
        <v>0</v>
      </c>
      <c r="L2208" s="594"/>
      <c r="M2208" s="92"/>
      <c r="N2208" s="92"/>
      <c r="O2208" s="93">
        <f t="shared" si="1350"/>
        <v>0</v>
      </c>
      <c r="P2208" s="93">
        <f t="shared" si="1351"/>
        <v>0</v>
      </c>
      <c r="Q2208" s="94"/>
      <c r="R2208" s="92">
        <f t="shared" si="1356"/>
        <v>0</v>
      </c>
      <c r="S2208" s="92">
        <f t="shared" si="1356"/>
        <v>0</v>
      </c>
      <c r="T2208" s="93">
        <f t="shared" si="1352"/>
        <v>0</v>
      </c>
      <c r="U2208" s="95">
        <f t="shared" si="1366"/>
        <v>0</v>
      </c>
      <c r="V2208" s="94"/>
      <c r="W2208" s="96" t="str">
        <f>IF(U2207&gt;0,"xx",IF(P2207&gt;0,"xy",""))</f>
        <v/>
      </c>
      <c r="X2208" s="580" t="str">
        <f t="shared" si="1359"/>
        <v/>
      </c>
      <c r="Y2208" s="580" t="str">
        <f t="shared" si="1361"/>
        <v/>
      </c>
      <c r="Z2208" s="580" t="str">
        <f t="shared" si="1365"/>
        <v/>
      </c>
    </row>
    <row r="2209" spans="1:26" hidden="1" x14ac:dyDescent="0.2">
      <c r="A2209" s="97" t="s">
        <v>165</v>
      </c>
      <c r="B2209" s="1031" t="s">
        <v>165</v>
      </c>
      <c r="C2209" s="978"/>
      <c r="D2209" s="595" t="s">
        <v>257</v>
      </c>
      <c r="E2209" s="596"/>
      <c r="F2209" s="671">
        <v>180</v>
      </c>
      <c r="G2209" s="597">
        <f>VLOOKUP(D2207,'ENSAIOS DE ORÇAMENTO'!$C$3:$L$79,5,FALSE)</f>
        <v>1.9795149999999999</v>
      </c>
      <c r="H2209" s="682">
        <f>IF(F2209=0,0,IF(F2209&lt;=30,(0.7*F2209+1.45)*G2209,((0.7*30+1.45)+0.58*(F2209-30))*G2209))</f>
        <v>216.65791675</v>
      </c>
      <c r="I2209" s="592"/>
      <c r="J2209" s="592"/>
      <c r="K2209" s="593">
        <f t="shared" si="1363"/>
        <v>0</v>
      </c>
      <c r="L2209" s="594"/>
      <c r="M2209" s="92"/>
      <c r="N2209" s="92"/>
      <c r="O2209" s="93">
        <f t="shared" si="1350"/>
        <v>0</v>
      </c>
      <c r="P2209" s="93">
        <f t="shared" si="1351"/>
        <v>0</v>
      </c>
      <c r="Q2209" s="94"/>
      <c r="R2209" s="92">
        <f t="shared" si="1356"/>
        <v>0</v>
      </c>
      <c r="S2209" s="92">
        <f t="shared" si="1356"/>
        <v>0</v>
      </c>
      <c r="T2209" s="93">
        <f t="shared" si="1352"/>
        <v>0</v>
      </c>
      <c r="U2209" s="95">
        <f t="shared" si="1366"/>
        <v>0</v>
      </c>
      <c r="V2209" s="94"/>
      <c r="W2209" s="96" t="str">
        <f>IF(U2207&gt;0,"xx",IF(P2207&gt;0,"xy",""))</f>
        <v/>
      </c>
      <c r="X2209" s="580" t="str">
        <f t="shared" si="1359"/>
        <v/>
      </c>
      <c r="Y2209" s="580" t="str">
        <f t="shared" si="1361"/>
        <v/>
      </c>
      <c r="Z2209" s="580" t="str">
        <f t="shared" si="1365"/>
        <v/>
      </c>
    </row>
    <row r="2210" spans="1:26" hidden="1" x14ac:dyDescent="0.2">
      <c r="A2210" s="97" t="s">
        <v>165</v>
      </c>
      <c r="B2210" s="1031" t="s">
        <v>165</v>
      </c>
      <c r="C2210" s="978"/>
      <c r="D2210" s="595" t="s">
        <v>261</v>
      </c>
      <c r="E2210" s="596"/>
      <c r="F2210" s="671">
        <v>20</v>
      </c>
      <c r="G2210" s="597">
        <f>VLOOKUP(D2207,'ENSAIOS DE ORÇAMENTO'!$C$3:$L$79,6,FALSE)</f>
        <v>0.38805600000000001</v>
      </c>
      <c r="H2210" s="682">
        <f>IF(F2210=0,0,IF(F2210&lt;=30,(0.7*F2210+1.45)*G2210,((0.7*30+1.45)+0.58*(F2210-30))*G2210))</f>
        <v>5.9954651999999999</v>
      </c>
      <c r="I2210" s="592"/>
      <c r="J2210" s="592"/>
      <c r="K2210" s="593">
        <f t="shared" si="1363"/>
        <v>0</v>
      </c>
      <c r="L2210" s="594"/>
      <c r="M2210" s="92"/>
      <c r="N2210" s="92"/>
      <c r="O2210" s="93">
        <f t="shared" si="1350"/>
        <v>0</v>
      </c>
      <c r="P2210" s="93">
        <f t="shared" si="1351"/>
        <v>0</v>
      </c>
      <c r="Q2210" s="94"/>
      <c r="R2210" s="92">
        <f t="shared" si="1356"/>
        <v>0</v>
      </c>
      <c r="S2210" s="92">
        <f t="shared" si="1356"/>
        <v>0</v>
      </c>
      <c r="T2210" s="93">
        <f t="shared" si="1352"/>
        <v>0</v>
      </c>
      <c r="U2210" s="95">
        <f t="shared" si="1366"/>
        <v>0</v>
      </c>
      <c r="V2210" s="94"/>
      <c r="W2210" s="96" t="str">
        <f>IF(U2207&gt;0,"xx",IF(P2207&gt;0,"xy",""))</f>
        <v/>
      </c>
      <c r="X2210" s="580" t="str">
        <f t="shared" si="1359"/>
        <v/>
      </c>
      <c r="Y2210" s="580" t="str">
        <f t="shared" si="1361"/>
        <v/>
      </c>
      <c r="Z2210" s="580" t="str">
        <f t="shared" si="1365"/>
        <v/>
      </c>
    </row>
    <row r="2211" spans="1:26" hidden="1" x14ac:dyDescent="0.2">
      <c r="A2211" s="97" t="s">
        <v>165</v>
      </c>
      <c r="B2211" s="1031" t="s">
        <v>165</v>
      </c>
      <c r="C2211" s="978"/>
      <c r="D2211" s="595" t="s">
        <v>419</v>
      </c>
      <c r="E2211" s="596"/>
      <c r="F2211" s="671">
        <v>30</v>
      </c>
      <c r="G2211" s="597">
        <f>VLOOKUP(D2207,'ENSAIOS DE ORÇAMENTO'!$C$3:$L$79,3,FALSE)</f>
        <v>3.4880579999999992</v>
      </c>
      <c r="H2211" s="682">
        <f>IF(F2211=0,0,IF(F2211&lt;=30,(0.7*F2211+1.45)*G2211,((0.7*30+1.45)+0.58*(F2211-30))*G2211))</f>
        <v>78.306902099999974</v>
      </c>
      <c r="I2211" s="592"/>
      <c r="J2211" s="592"/>
      <c r="K2211" s="593">
        <f t="shared" si="1363"/>
        <v>0</v>
      </c>
      <c r="L2211" s="594"/>
      <c r="M2211" s="92"/>
      <c r="N2211" s="92"/>
      <c r="O2211" s="93">
        <f t="shared" si="1350"/>
        <v>0</v>
      </c>
      <c r="P2211" s="93">
        <f t="shared" si="1351"/>
        <v>0</v>
      </c>
      <c r="Q2211" s="94"/>
      <c r="R2211" s="92">
        <f t="shared" si="1356"/>
        <v>0</v>
      </c>
      <c r="S2211" s="92">
        <f t="shared" si="1356"/>
        <v>0</v>
      </c>
      <c r="T2211" s="93">
        <f t="shared" si="1352"/>
        <v>0</v>
      </c>
      <c r="U2211" s="95">
        <f t="shared" si="1366"/>
        <v>0</v>
      </c>
      <c r="V2211" s="94"/>
      <c r="W2211" s="96" t="str">
        <f>IF(U2207&gt;0,"xx",IF(P2207&gt;0,"xy",""))</f>
        <v/>
      </c>
      <c r="X2211" s="580" t="str">
        <f t="shared" si="1359"/>
        <v/>
      </c>
      <c r="Y2211" s="580" t="str">
        <f t="shared" si="1361"/>
        <v/>
      </c>
      <c r="Z2211" s="580" t="str">
        <f t="shared" si="1365"/>
        <v/>
      </c>
    </row>
    <row r="2212" spans="1:26" hidden="1" x14ac:dyDescent="0.2">
      <c r="A2212" s="97" t="s">
        <v>165</v>
      </c>
      <c r="B2212" s="1031" t="s">
        <v>165</v>
      </c>
      <c r="C2212" s="978"/>
      <c r="D2212" s="595" t="s">
        <v>420</v>
      </c>
      <c r="E2212" s="596"/>
      <c r="F2212" s="671">
        <v>500</v>
      </c>
      <c r="G2212" s="597">
        <f>VLOOKUP(D2207,'ENSAIOS DE ORÇAMENTO'!$C$3:$L$79,10,FALSE)</f>
        <v>0.11626859999999997</v>
      </c>
      <c r="H2212" s="682">
        <f>IF(F2212=0,0,IF(F2212&lt;=30,(0.7*F2212+1.45)*G2212,((0.7*30+1.45)+0.58*(F2212-30))*G2212))</f>
        <v>34.305050429999987</v>
      </c>
      <c r="I2212" s="592"/>
      <c r="J2212" s="592"/>
      <c r="K2212" s="593">
        <f t="shared" si="1363"/>
        <v>0</v>
      </c>
      <c r="L2212" s="594"/>
      <c r="M2212" s="92"/>
      <c r="N2212" s="92"/>
      <c r="O2212" s="93">
        <f t="shared" si="1350"/>
        <v>0</v>
      </c>
      <c r="P2212" s="93">
        <f t="shared" si="1351"/>
        <v>0</v>
      </c>
      <c r="Q2212" s="94"/>
      <c r="R2212" s="92">
        <f t="shared" si="1356"/>
        <v>0</v>
      </c>
      <c r="S2212" s="92">
        <f t="shared" si="1356"/>
        <v>0</v>
      </c>
      <c r="T2212" s="93">
        <f t="shared" si="1352"/>
        <v>0</v>
      </c>
      <c r="U2212" s="95">
        <f t="shared" si="1366"/>
        <v>0</v>
      </c>
      <c r="V2212" s="94"/>
      <c r="W2212" s="96" t="str">
        <f>IF(U2207&gt;0,"xx",IF(P2207&gt;0,"xy",""))</f>
        <v/>
      </c>
      <c r="X2212" s="580" t="str">
        <f t="shared" si="1359"/>
        <v/>
      </c>
      <c r="Y2212" s="580" t="str">
        <f t="shared" si="1361"/>
        <v/>
      </c>
      <c r="Z2212" s="580" t="str">
        <f t="shared" si="1365"/>
        <v/>
      </c>
    </row>
    <row r="2213" spans="1:26" hidden="1" x14ac:dyDescent="0.2">
      <c r="A2213" s="97" t="s">
        <v>116</v>
      </c>
      <c r="B2213" s="1031" t="s">
        <v>116</v>
      </c>
      <c r="C2213" s="978" t="s">
        <v>212</v>
      </c>
      <c r="D2213" s="595" t="s">
        <v>425</v>
      </c>
      <c r="E2213" s="596"/>
      <c r="F2213" s="671"/>
      <c r="G2213" s="597"/>
      <c r="H2213" s="682">
        <f>SUM(H2214:H2218)</f>
        <v>486.84536437000008</v>
      </c>
      <c r="I2213" s="592">
        <f>VLOOKUP(D2213,'ENSAIOS DE ORÇAMENTO'!$C$3:$L$79,8,FALSE)</f>
        <v>1725.4115939999999</v>
      </c>
      <c r="J2213" s="592">
        <f t="shared" ref="J2213" si="1367">IF(ISBLANK(I2213),"",SUM(H2213:I2213))</f>
        <v>2212.2569583700001</v>
      </c>
      <c r="K2213" s="593">
        <f t="shared" si="1363"/>
        <v>2692.54</v>
      </c>
      <c r="L2213" s="594" t="s">
        <v>21</v>
      </c>
      <c r="M2213" s="92"/>
      <c r="N2213" s="92"/>
      <c r="O2213" s="93">
        <f t="shared" si="1350"/>
        <v>0</v>
      </c>
      <c r="P2213" s="93">
        <f t="shared" si="1351"/>
        <v>0</v>
      </c>
      <c r="Q2213" s="94"/>
      <c r="R2213" s="92">
        <f t="shared" si="1356"/>
        <v>0</v>
      </c>
      <c r="S2213" s="92">
        <f t="shared" si="1356"/>
        <v>0</v>
      </c>
      <c r="T2213" s="93">
        <f t="shared" si="1352"/>
        <v>0</v>
      </c>
      <c r="U2213" s="95">
        <f t="shared" si="1366"/>
        <v>0</v>
      </c>
      <c r="V2213" s="94"/>
      <c r="X2213" s="580" t="str">
        <f t="shared" si="1359"/>
        <v/>
      </c>
      <c r="Y2213" s="580" t="str">
        <f t="shared" si="1361"/>
        <v/>
      </c>
      <c r="Z2213" s="580" t="str">
        <f t="shared" si="1365"/>
        <v/>
      </c>
    </row>
    <row r="2214" spans="1:26" hidden="1" x14ac:dyDescent="0.2">
      <c r="A2214" s="97" t="s">
        <v>165</v>
      </c>
      <c r="B2214" s="1031" t="s">
        <v>165</v>
      </c>
      <c r="C2214" s="978"/>
      <c r="D2214" s="595" t="s">
        <v>218</v>
      </c>
      <c r="E2214" s="596"/>
      <c r="F2214" s="671">
        <v>500</v>
      </c>
      <c r="G2214" s="597">
        <f>VLOOKUP(D2213,'ENSAIOS DE ORÇAMENTO'!$C$3:$L$79,4,FALSE)</f>
        <v>0.82205400000000006</v>
      </c>
      <c r="H2214" s="682">
        <f>IF(F2214&lt;=30,(0.51*F2214+4.28)*G2214,((0.51*30+4.28)+0.42*(F2214-30))*G2214)</f>
        <v>178.36927692000003</v>
      </c>
      <c r="I2214" s="592"/>
      <c r="J2214" s="592"/>
      <c r="K2214" s="593">
        <f t="shared" si="1363"/>
        <v>0</v>
      </c>
      <c r="L2214" s="594"/>
      <c r="M2214" s="92"/>
      <c r="N2214" s="92"/>
      <c r="O2214" s="93">
        <f t="shared" si="1350"/>
        <v>0</v>
      </c>
      <c r="P2214" s="93">
        <f t="shared" si="1351"/>
        <v>0</v>
      </c>
      <c r="Q2214" s="94"/>
      <c r="R2214" s="92">
        <f t="shared" si="1356"/>
        <v>0</v>
      </c>
      <c r="S2214" s="92">
        <f t="shared" si="1356"/>
        <v>0</v>
      </c>
      <c r="T2214" s="93">
        <f t="shared" si="1352"/>
        <v>0</v>
      </c>
      <c r="U2214" s="95">
        <f t="shared" si="1366"/>
        <v>0</v>
      </c>
      <c r="V2214" s="94"/>
      <c r="W2214" s="96" t="str">
        <f>IF(U2213&gt;0,"xx",IF(P2213&gt;0,"xy",""))</f>
        <v/>
      </c>
      <c r="X2214" s="580" t="str">
        <f t="shared" si="1359"/>
        <v/>
      </c>
      <c r="Y2214" s="580" t="str">
        <f t="shared" si="1361"/>
        <v/>
      </c>
      <c r="Z2214" s="580" t="str">
        <f t="shared" si="1365"/>
        <v/>
      </c>
    </row>
    <row r="2215" spans="1:26" hidden="1" x14ac:dyDescent="0.2">
      <c r="A2215" s="97" t="s">
        <v>165</v>
      </c>
      <c r="B2215" s="1031" t="s">
        <v>165</v>
      </c>
      <c r="C2215" s="978"/>
      <c r="D2215" s="595" t="s">
        <v>257</v>
      </c>
      <c r="E2215" s="596"/>
      <c r="F2215" s="671">
        <v>180</v>
      </c>
      <c r="G2215" s="597">
        <f>VLOOKUP(D2213,'ENSAIOS DE ORÇAMENTO'!$C$3:$L$79,5,FALSE)</f>
        <v>2.4129430000000003</v>
      </c>
      <c r="H2215" s="682">
        <f>IF(F2215=0,0,IF(F2215&lt;=30,(0.7*F2215+1.45)*G2215,((0.7*30+1.45)+0.58*(F2215-30))*G2215))</f>
        <v>264.09661135000005</v>
      </c>
      <c r="I2215" s="592"/>
      <c r="J2215" s="592"/>
      <c r="K2215" s="593">
        <f t="shared" si="1363"/>
        <v>0</v>
      </c>
      <c r="L2215" s="594"/>
      <c r="M2215" s="92"/>
      <c r="N2215" s="92"/>
      <c r="O2215" s="93">
        <f t="shared" si="1350"/>
        <v>0</v>
      </c>
      <c r="P2215" s="93">
        <f t="shared" si="1351"/>
        <v>0</v>
      </c>
      <c r="Q2215" s="94"/>
      <c r="R2215" s="92">
        <f t="shared" si="1356"/>
        <v>0</v>
      </c>
      <c r="S2215" s="92">
        <f t="shared" si="1356"/>
        <v>0</v>
      </c>
      <c r="T2215" s="93">
        <f t="shared" si="1352"/>
        <v>0</v>
      </c>
      <c r="U2215" s="95">
        <f t="shared" si="1366"/>
        <v>0</v>
      </c>
      <c r="V2215" s="94"/>
      <c r="W2215" s="96" t="str">
        <f>IF(U2213&gt;0,"xx",IF(P2213&gt;0,"xy",""))</f>
        <v/>
      </c>
      <c r="X2215" s="580" t="str">
        <f t="shared" si="1359"/>
        <v/>
      </c>
      <c r="Y2215" s="580" t="str">
        <f t="shared" si="1361"/>
        <v/>
      </c>
      <c r="Z2215" s="580" t="str">
        <f t="shared" si="1365"/>
        <v/>
      </c>
    </row>
    <row r="2216" spans="1:26" hidden="1" x14ac:dyDescent="0.2">
      <c r="A2216" s="97" t="s">
        <v>165</v>
      </c>
      <c r="B2216" s="1031" t="s">
        <v>165</v>
      </c>
      <c r="C2216" s="978"/>
      <c r="D2216" s="595" t="s">
        <v>261</v>
      </c>
      <c r="E2216" s="596"/>
      <c r="F2216" s="671">
        <v>20</v>
      </c>
      <c r="G2216" s="597">
        <f>VLOOKUP(D2213,'ENSAIOS DE ORÇAMENTO'!$C$3:$L$79,6,FALSE)</f>
        <v>2.8724580000000004</v>
      </c>
      <c r="H2216" s="682">
        <f>IF(F2216=0,0,IF(F2216&lt;=30,(0.7*F2216+1.45)*G2216,((0.7*30+1.45)+0.58*(F2216-30))*G2216))</f>
        <v>44.379476100000005</v>
      </c>
      <c r="I2216" s="592"/>
      <c r="J2216" s="592"/>
      <c r="K2216" s="593">
        <f t="shared" si="1363"/>
        <v>0</v>
      </c>
      <c r="L2216" s="594"/>
      <c r="M2216" s="92"/>
      <c r="N2216" s="92"/>
      <c r="O2216" s="93">
        <f t="shared" ref="O2216:O2279" si="1368">IF(ISBLANK(M2216),0,ROUND(K2216*M2216,2))</f>
        <v>0</v>
      </c>
      <c r="P2216" s="93">
        <f t="shared" ref="P2216:P2279" si="1369">IF(ISBLANK(N2216),0,ROUND(M2216*N2216,2))</f>
        <v>0</v>
      </c>
      <c r="Q2216" s="94"/>
      <c r="R2216" s="92">
        <f t="shared" si="1356"/>
        <v>0</v>
      </c>
      <c r="S2216" s="92">
        <f t="shared" si="1356"/>
        <v>0</v>
      </c>
      <c r="T2216" s="93">
        <f t="shared" ref="T2216:T2279" si="1370">IF(ISBLANK(R2216),0,ROUND(K2216*R2216,2))</f>
        <v>0</v>
      </c>
      <c r="U2216" s="95">
        <f t="shared" si="1366"/>
        <v>0</v>
      </c>
      <c r="V2216" s="94"/>
      <c r="W2216" s="96" t="str">
        <f>IF(U2213&gt;0,"xx",IF(P2213&gt;0,"xy",""))</f>
        <v/>
      </c>
      <c r="X2216" s="580" t="str">
        <f t="shared" si="1359"/>
        <v/>
      </c>
      <c r="Y2216" s="580" t="str">
        <f t="shared" si="1361"/>
        <v/>
      </c>
      <c r="Z2216" s="580" t="str">
        <f t="shared" si="1365"/>
        <v/>
      </c>
    </row>
    <row r="2217" spans="1:26" hidden="1" x14ac:dyDescent="0.2">
      <c r="A2217" s="97" t="s">
        <v>165</v>
      </c>
      <c r="B2217" s="1031" t="s">
        <v>165</v>
      </c>
      <c r="C2217" s="978"/>
      <c r="D2217" s="595" t="s">
        <v>419</v>
      </c>
      <c r="E2217" s="596"/>
      <c r="F2217" s="671">
        <v>30</v>
      </c>
      <c r="G2217" s="597">
        <f>VLOOKUP(D2213,'ENSAIOS DE ORÇAMENTO'!$C$3:$L$79,3,FALSE)</f>
        <v>0</v>
      </c>
      <c r="H2217" s="682">
        <f>IF(F2217=0,0,IF(F2217&lt;=30,(0.7*F2217+1.45)*G2217,((0.7*30+1.45)+0.58*(F2217-30))*G2217))</f>
        <v>0</v>
      </c>
      <c r="I2217" s="592"/>
      <c r="J2217" s="592"/>
      <c r="K2217" s="593">
        <f t="shared" si="1363"/>
        <v>0</v>
      </c>
      <c r="L2217" s="594"/>
      <c r="M2217" s="92"/>
      <c r="N2217" s="92"/>
      <c r="O2217" s="93">
        <f t="shared" si="1368"/>
        <v>0</v>
      </c>
      <c r="P2217" s="93">
        <f t="shared" si="1369"/>
        <v>0</v>
      </c>
      <c r="Q2217" s="94"/>
      <c r="R2217" s="92">
        <f t="shared" si="1356"/>
        <v>0</v>
      </c>
      <c r="S2217" s="92">
        <f t="shared" si="1356"/>
        <v>0</v>
      </c>
      <c r="T2217" s="93">
        <f t="shared" si="1370"/>
        <v>0</v>
      </c>
      <c r="U2217" s="95">
        <f t="shared" si="1366"/>
        <v>0</v>
      </c>
      <c r="V2217" s="94"/>
      <c r="W2217" s="96" t="str">
        <f>IF(U2213&gt;0,"xx",IF(P2213&gt;0,"xy",""))</f>
        <v/>
      </c>
      <c r="X2217" s="580" t="str">
        <f t="shared" si="1359"/>
        <v/>
      </c>
      <c r="Y2217" s="580" t="str">
        <f t="shared" si="1361"/>
        <v/>
      </c>
      <c r="Z2217" s="580" t="str">
        <f t="shared" si="1365"/>
        <v/>
      </c>
    </row>
    <row r="2218" spans="1:26" hidden="1" x14ac:dyDescent="0.2">
      <c r="A2218" s="97" t="s">
        <v>165</v>
      </c>
      <c r="B2218" s="1031" t="s">
        <v>165</v>
      </c>
      <c r="C2218" s="978"/>
      <c r="D2218" s="595" t="s">
        <v>420</v>
      </c>
      <c r="E2218" s="596"/>
      <c r="F2218" s="671">
        <v>500</v>
      </c>
      <c r="G2218" s="597">
        <f>VLOOKUP(D2213,'ENSAIOS DE ORÇAMENTO'!$C$3:$L$79,10,FALSE)</f>
        <v>0</v>
      </c>
      <c r="H2218" s="682">
        <f>IF(F2218=0,0,IF(F2218&lt;=30,(0.7*F2218+1.45)*G2218,((0.7*30+1.45)+0.58*(F2218-30))*G2218))</f>
        <v>0</v>
      </c>
      <c r="I2218" s="592"/>
      <c r="J2218" s="592"/>
      <c r="K2218" s="593">
        <f t="shared" si="1363"/>
        <v>0</v>
      </c>
      <c r="L2218" s="594"/>
      <c r="M2218" s="92"/>
      <c r="N2218" s="92"/>
      <c r="O2218" s="93">
        <f t="shared" si="1368"/>
        <v>0</v>
      </c>
      <c r="P2218" s="93">
        <f t="shared" si="1369"/>
        <v>0</v>
      </c>
      <c r="Q2218" s="94"/>
      <c r="R2218" s="92">
        <f t="shared" si="1356"/>
        <v>0</v>
      </c>
      <c r="S2218" s="92">
        <f t="shared" si="1356"/>
        <v>0</v>
      </c>
      <c r="T2218" s="93">
        <f t="shared" si="1370"/>
        <v>0</v>
      </c>
      <c r="U2218" s="95">
        <f t="shared" si="1366"/>
        <v>0</v>
      </c>
      <c r="V2218" s="94"/>
      <c r="W2218" s="96" t="str">
        <f>IF(U2213&gt;0,"xx",IF(P2213&gt;0,"xy",""))</f>
        <v/>
      </c>
      <c r="X2218" s="580" t="str">
        <f t="shared" si="1359"/>
        <v/>
      </c>
      <c r="Y2218" s="580" t="str">
        <f t="shared" si="1361"/>
        <v/>
      </c>
      <c r="Z2218" s="580" t="str">
        <f t="shared" si="1365"/>
        <v/>
      </c>
    </row>
    <row r="2219" spans="1:26" hidden="1" x14ac:dyDescent="0.2">
      <c r="A2219" s="97" t="s">
        <v>117</v>
      </c>
      <c r="B2219" s="1031" t="s">
        <v>117</v>
      </c>
      <c r="C2219" s="978" t="s">
        <v>212</v>
      </c>
      <c r="D2219" s="595" t="s">
        <v>426</v>
      </c>
      <c r="E2219" s="596"/>
      <c r="F2219" s="671"/>
      <c r="G2219" s="597"/>
      <c r="H2219" s="682">
        <f>SUM(H2220:H2224)</f>
        <v>605.69719581999993</v>
      </c>
      <c r="I2219" s="592">
        <f>VLOOKUP(D2219,'ENSAIOS DE ORÇAMENTO'!$C$3:$L$79,8,FALSE)</f>
        <v>2037.8584239999998</v>
      </c>
      <c r="J2219" s="592">
        <f t="shared" ref="J2219" si="1371">IF(ISBLANK(I2219),"",SUM(H2219:I2219))</f>
        <v>2643.5556198199997</v>
      </c>
      <c r="K2219" s="593">
        <f t="shared" si="1363"/>
        <v>3217.47</v>
      </c>
      <c r="L2219" s="594" t="s">
        <v>21</v>
      </c>
      <c r="M2219" s="92"/>
      <c r="N2219" s="92"/>
      <c r="O2219" s="93">
        <f t="shared" si="1368"/>
        <v>0</v>
      </c>
      <c r="P2219" s="93">
        <f t="shared" si="1369"/>
        <v>0</v>
      </c>
      <c r="Q2219" s="94"/>
      <c r="R2219" s="92">
        <f t="shared" si="1356"/>
        <v>0</v>
      </c>
      <c r="S2219" s="92">
        <f t="shared" si="1356"/>
        <v>0</v>
      </c>
      <c r="T2219" s="93">
        <f t="shared" si="1370"/>
        <v>0</v>
      </c>
      <c r="U2219" s="95">
        <f t="shared" si="1366"/>
        <v>0</v>
      </c>
      <c r="V2219" s="94"/>
      <c r="X2219" s="580" t="str">
        <f t="shared" si="1359"/>
        <v/>
      </c>
      <c r="Y2219" s="580" t="str">
        <f t="shared" si="1361"/>
        <v/>
      </c>
      <c r="Z2219" s="580" t="str">
        <f t="shared" si="1365"/>
        <v/>
      </c>
    </row>
    <row r="2220" spans="1:26" hidden="1" x14ac:dyDescent="0.2">
      <c r="A2220" s="97" t="s">
        <v>165</v>
      </c>
      <c r="B2220" s="1031" t="s">
        <v>165</v>
      </c>
      <c r="C2220" s="978"/>
      <c r="D2220" s="595" t="s">
        <v>218</v>
      </c>
      <c r="E2220" s="596"/>
      <c r="F2220" s="671">
        <v>500</v>
      </c>
      <c r="G2220" s="597">
        <f>VLOOKUP(D2219,'ENSAIOS DE ORÇAMENTO'!$C$3:$L$79,4,FALSE)</f>
        <v>1.028964</v>
      </c>
      <c r="H2220" s="682">
        <f>IF(F2220&lt;=30,(0.51*F2220+4.28)*G2220,((0.51*30+4.28)+0.42*(F2220-30))*G2220)</f>
        <v>223.26460872000001</v>
      </c>
      <c r="I2220" s="592"/>
      <c r="J2220" s="592"/>
      <c r="K2220" s="593">
        <f t="shared" si="1363"/>
        <v>0</v>
      </c>
      <c r="L2220" s="594"/>
      <c r="M2220" s="92"/>
      <c r="N2220" s="92"/>
      <c r="O2220" s="93">
        <f t="shared" si="1368"/>
        <v>0</v>
      </c>
      <c r="P2220" s="93">
        <f t="shared" si="1369"/>
        <v>0</v>
      </c>
      <c r="Q2220" s="94"/>
      <c r="R2220" s="92">
        <f t="shared" si="1356"/>
        <v>0</v>
      </c>
      <c r="S2220" s="92">
        <f t="shared" si="1356"/>
        <v>0</v>
      </c>
      <c r="T2220" s="93">
        <f t="shared" si="1370"/>
        <v>0</v>
      </c>
      <c r="U2220" s="95">
        <f t="shared" si="1366"/>
        <v>0</v>
      </c>
      <c r="V2220" s="94"/>
      <c r="W2220" s="96" t="str">
        <f>IF(U2219&gt;0,"xx",IF(P2219&gt;0,"xy",""))</f>
        <v/>
      </c>
      <c r="X2220" s="580" t="str">
        <f t="shared" si="1359"/>
        <v/>
      </c>
      <c r="Y2220" s="580" t="str">
        <f t="shared" si="1361"/>
        <v/>
      </c>
      <c r="Z2220" s="580" t="str">
        <f t="shared" si="1365"/>
        <v/>
      </c>
    </row>
    <row r="2221" spans="1:26" hidden="1" x14ac:dyDescent="0.2">
      <c r="A2221" s="97" t="s">
        <v>165</v>
      </c>
      <c r="B2221" s="1031" t="s">
        <v>165</v>
      </c>
      <c r="C2221" s="978"/>
      <c r="D2221" s="595" t="s">
        <v>257</v>
      </c>
      <c r="E2221" s="596"/>
      <c r="F2221" s="671">
        <v>180</v>
      </c>
      <c r="G2221" s="597">
        <f>VLOOKUP(D2219,'ENSAIOS DE ORÇAMENTO'!$C$3:$L$79,5,FALSE)</f>
        <v>2.9904099999999998</v>
      </c>
      <c r="H2221" s="682">
        <f>IF(F2221=0,0,IF(F2221&lt;=30,(0.7*F2221+1.45)*G2221,((0.7*30+1.45)+0.58*(F2221-30))*G2221))</f>
        <v>327.30037449999998</v>
      </c>
      <c r="I2221" s="592"/>
      <c r="J2221" s="592"/>
      <c r="K2221" s="593">
        <f t="shared" si="1363"/>
        <v>0</v>
      </c>
      <c r="L2221" s="594"/>
      <c r="M2221" s="92"/>
      <c r="N2221" s="92"/>
      <c r="O2221" s="93">
        <f t="shared" si="1368"/>
        <v>0</v>
      </c>
      <c r="P2221" s="93">
        <f t="shared" si="1369"/>
        <v>0</v>
      </c>
      <c r="Q2221" s="94"/>
      <c r="R2221" s="92">
        <f t="shared" si="1356"/>
        <v>0</v>
      </c>
      <c r="S2221" s="92">
        <f t="shared" si="1356"/>
        <v>0</v>
      </c>
      <c r="T2221" s="93">
        <f t="shared" si="1370"/>
        <v>0</v>
      </c>
      <c r="U2221" s="95">
        <f t="shared" si="1366"/>
        <v>0</v>
      </c>
      <c r="V2221" s="94"/>
      <c r="W2221" s="96" t="str">
        <f>IF(U2219&gt;0,"xx",IF(P2219&gt;0,"xy",""))</f>
        <v/>
      </c>
      <c r="X2221" s="580" t="str">
        <f t="shared" si="1359"/>
        <v/>
      </c>
      <c r="Y2221" s="580" t="str">
        <f t="shared" si="1361"/>
        <v/>
      </c>
      <c r="Z2221" s="580" t="str">
        <f t="shared" si="1365"/>
        <v/>
      </c>
    </row>
    <row r="2222" spans="1:26" hidden="1" x14ac:dyDescent="0.2">
      <c r="A2222" s="97" t="s">
        <v>165</v>
      </c>
      <c r="B2222" s="1031" t="s">
        <v>165</v>
      </c>
      <c r="C2222" s="978"/>
      <c r="D2222" s="595" t="s">
        <v>261</v>
      </c>
      <c r="E2222" s="596"/>
      <c r="F2222" s="671">
        <v>20</v>
      </c>
      <c r="G2222" s="597">
        <f>VLOOKUP(D2219,'ENSAIOS DE ORÇAMENTO'!$C$3:$L$79,6,FALSE)</f>
        <v>3.5684279999999999</v>
      </c>
      <c r="H2222" s="682">
        <f>IF(F2222=0,0,IF(F2222&lt;=30,(0.7*F2222+1.45)*G2222,((0.7*30+1.45)+0.58*(F2222-30))*G2222))</f>
        <v>55.132212599999995</v>
      </c>
      <c r="I2222" s="592"/>
      <c r="J2222" s="592"/>
      <c r="K2222" s="593">
        <f t="shared" si="1363"/>
        <v>0</v>
      </c>
      <c r="L2222" s="594"/>
      <c r="M2222" s="92"/>
      <c r="N2222" s="92"/>
      <c r="O2222" s="93">
        <f t="shared" si="1368"/>
        <v>0</v>
      </c>
      <c r="P2222" s="93">
        <f t="shared" si="1369"/>
        <v>0</v>
      </c>
      <c r="Q2222" s="94"/>
      <c r="R2222" s="92">
        <f t="shared" si="1356"/>
        <v>0</v>
      </c>
      <c r="S2222" s="92">
        <f t="shared" si="1356"/>
        <v>0</v>
      </c>
      <c r="T2222" s="93">
        <f t="shared" si="1370"/>
        <v>0</v>
      </c>
      <c r="U2222" s="95">
        <f t="shared" si="1366"/>
        <v>0</v>
      </c>
      <c r="V2222" s="94"/>
      <c r="W2222" s="96" t="str">
        <f>IF(U2219&gt;0,"xx",IF(P2219&gt;0,"xy",""))</f>
        <v/>
      </c>
      <c r="X2222" s="580" t="str">
        <f t="shared" si="1359"/>
        <v/>
      </c>
      <c r="Y2222" s="580" t="str">
        <f t="shared" si="1361"/>
        <v/>
      </c>
      <c r="Z2222" s="580" t="str">
        <f t="shared" si="1365"/>
        <v/>
      </c>
    </row>
    <row r="2223" spans="1:26" hidden="1" x14ac:dyDescent="0.2">
      <c r="A2223" s="97" t="s">
        <v>165</v>
      </c>
      <c r="B2223" s="1031" t="s">
        <v>165</v>
      </c>
      <c r="C2223" s="978"/>
      <c r="D2223" s="595" t="s">
        <v>419</v>
      </c>
      <c r="E2223" s="596"/>
      <c r="F2223" s="671">
        <v>30</v>
      </c>
      <c r="G2223" s="597">
        <f>VLOOKUP(D2219,'ENSAIOS DE ORÇAMENTO'!$C$3:$L$79,3,FALSE)</f>
        <v>0</v>
      </c>
      <c r="H2223" s="682">
        <f>IF(F2223=0,0,IF(F2223&lt;=30,(0.7*F2223+1.45)*G2223,((0.7*30+1.45)+0.58*(F2223-30))*G2223))</f>
        <v>0</v>
      </c>
      <c r="I2223" s="592"/>
      <c r="J2223" s="592"/>
      <c r="K2223" s="593">
        <f t="shared" si="1363"/>
        <v>0</v>
      </c>
      <c r="L2223" s="594"/>
      <c r="M2223" s="92"/>
      <c r="N2223" s="92"/>
      <c r="O2223" s="93">
        <f t="shared" si="1368"/>
        <v>0</v>
      </c>
      <c r="P2223" s="93">
        <f t="shared" si="1369"/>
        <v>0</v>
      </c>
      <c r="Q2223" s="94"/>
      <c r="R2223" s="92">
        <f t="shared" si="1356"/>
        <v>0</v>
      </c>
      <c r="S2223" s="92">
        <f t="shared" si="1356"/>
        <v>0</v>
      </c>
      <c r="T2223" s="93">
        <f t="shared" si="1370"/>
        <v>0</v>
      </c>
      <c r="U2223" s="95">
        <f t="shared" si="1366"/>
        <v>0</v>
      </c>
      <c r="V2223" s="94"/>
      <c r="W2223" s="96" t="str">
        <f>IF(U2219&gt;0,"xx",IF(P2219&gt;0,"xy",""))</f>
        <v/>
      </c>
      <c r="X2223" s="580" t="str">
        <f t="shared" si="1359"/>
        <v/>
      </c>
      <c r="Y2223" s="580" t="str">
        <f t="shared" si="1361"/>
        <v/>
      </c>
      <c r="Z2223" s="580" t="str">
        <f t="shared" si="1365"/>
        <v/>
      </c>
    </row>
    <row r="2224" spans="1:26" hidden="1" x14ac:dyDescent="0.2">
      <c r="A2224" s="97" t="s">
        <v>165</v>
      </c>
      <c r="B2224" s="1031" t="s">
        <v>165</v>
      </c>
      <c r="C2224" s="978"/>
      <c r="D2224" s="595" t="s">
        <v>420</v>
      </c>
      <c r="E2224" s="596"/>
      <c r="F2224" s="671">
        <v>500</v>
      </c>
      <c r="G2224" s="597">
        <f>VLOOKUP(D2219,'ENSAIOS DE ORÇAMENTO'!$C$3:$L$79,10,FALSE)</f>
        <v>0</v>
      </c>
      <c r="H2224" s="682">
        <f>IF(F2224=0,0,IF(F2224&lt;=30,(0.7*F2224+1.45)*G2224,((0.7*30+1.45)+0.58*(F2224-30))*G2224))</f>
        <v>0</v>
      </c>
      <c r="I2224" s="592"/>
      <c r="J2224" s="592"/>
      <c r="K2224" s="593">
        <f t="shared" si="1363"/>
        <v>0</v>
      </c>
      <c r="L2224" s="594"/>
      <c r="M2224" s="92"/>
      <c r="N2224" s="92"/>
      <c r="O2224" s="93">
        <f t="shared" si="1368"/>
        <v>0</v>
      </c>
      <c r="P2224" s="93">
        <f t="shared" si="1369"/>
        <v>0</v>
      </c>
      <c r="Q2224" s="94"/>
      <c r="R2224" s="92">
        <f t="shared" si="1356"/>
        <v>0</v>
      </c>
      <c r="S2224" s="92">
        <f t="shared" si="1356"/>
        <v>0</v>
      </c>
      <c r="T2224" s="93">
        <f t="shared" si="1370"/>
        <v>0</v>
      </c>
      <c r="U2224" s="95">
        <f t="shared" si="1366"/>
        <v>0</v>
      </c>
      <c r="V2224" s="94"/>
      <c r="W2224" s="96" t="str">
        <f>IF(U2219&gt;0,"xx",IF(P2219&gt;0,"xy",""))</f>
        <v/>
      </c>
      <c r="X2224" s="580" t="str">
        <f t="shared" si="1359"/>
        <v/>
      </c>
      <c r="Y2224" s="580" t="str">
        <f t="shared" si="1361"/>
        <v/>
      </c>
      <c r="Z2224" s="580" t="str">
        <f t="shared" si="1365"/>
        <v/>
      </c>
    </row>
    <row r="2225" spans="1:26" hidden="1" x14ac:dyDescent="0.2">
      <c r="A2225" s="97" t="s">
        <v>118</v>
      </c>
      <c r="B2225" s="1031" t="s">
        <v>118</v>
      </c>
      <c r="C2225" s="978" t="s">
        <v>212</v>
      </c>
      <c r="D2225" s="595" t="s">
        <v>427</v>
      </c>
      <c r="E2225" s="596"/>
      <c r="F2225" s="671"/>
      <c r="G2225" s="597"/>
      <c r="H2225" s="682">
        <f>SUM(H2226:H2230)</f>
        <v>800.18201091999993</v>
      </c>
      <c r="I2225" s="592">
        <f>VLOOKUP(D2225,'ENSAIOS DE ORÇAMENTO'!$C$3:$L$79,8,FALSE)</f>
        <v>2550.6243439999998</v>
      </c>
      <c r="J2225" s="592">
        <f t="shared" ref="J2225" si="1372">IF(ISBLANK(I2225),"",SUM(H2225:I2225))</f>
        <v>3350.8063549199996</v>
      </c>
      <c r="K2225" s="593">
        <f t="shared" si="1363"/>
        <v>4078.27</v>
      </c>
      <c r="L2225" s="594" t="s">
        <v>21</v>
      </c>
      <c r="M2225" s="92"/>
      <c r="N2225" s="92"/>
      <c r="O2225" s="93">
        <f t="shared" si="1368"/>
        <v>0</v>
      </c>
      <c r="P2225" s="93">
        <f t="shared" si="1369"/>
        <v>0</v>
      </c>
      <c r="Q2225" s="94"/>
      <c r="R2225" s="92">
        <f t="shared" si="1356"/>
        <v>0</v>
      </c>
      <c r="S2225" s="92">
        <f t="shared" si="1356"/>
        <v>0</v>
      </c>
      <c r="T2225" s="93">
        <f t="shared" si="1370"/>
        <v>0</v>
      </c>
      <c r="U2225" s="95">
        <f t="shared" si="1366"/>
        <v>0</v>
      </c>
      <c r="V2225" s="94"/>
      <c r="X2225" s="580" t="str">
        <f t="shared" si="1359"/>
        <v/>
      </c>
      <c r="Y2225" s="580" t="str">
        <f t="shared" si="1361"/>
        <v/>
      </c>
      <c r="Z2225" s="580" t="str">
        <f t="shared" si="1365"/>
        <v/>
      </c>
    </row>
    <row r="2226" spans="1:26" hidden="1" x14ac:dyDescent="0.2">
      <c r="A2226" s="97" t="s">
        <v>165</v>
      </c>
      <c r="B2226" s="1031" t="s">
        <v>165</v>
      </c>
      <c r="C2226" s="978"/>
      <c r="D2226" s="595" t="s">
        <v>218</v>
      </c>
      <c r="E2226" s="596"/>
      <c r="F2226" s="671">
        <v>500</v>
      </c>
      <c r="G2226" s="597">
        <f>VLOOKUP(D2225,'ENSAIOS DE ORÇAMENTO'!$C$3:$L$79,4,FALSE)</f>
        <v>1.3675439999999999</v>
      </c>
      <c r="H2226" s="682">
        <f>IF(F2226&lt;=30,(0.51*F2226+4.28)*G2226,((0.51*30+4.28)+0.42*(F2226-30))*G2226)</f>
        <v>296.72969711999997</v>
      </c>
      <c r="I2226" s="592"/>
      <c r="J2226" s="592"/>
      <c r="K2226" s="593">
        <f t="shared" si="1363"/>
        <v>0</v>
      </c>
      <c r="L2226" s="594"/>
      <c r="M2226" s="92"/>
      <c r="N2226" s="92"/>
      <c r="O2226" s="93">
        <f t="shared" si="1368"/>
        <v>0</v>
      </c>
      <c r="P2226" s="93">
        <f t="shared" si="1369"/>
        <v>0</v>
      </c>
      <c r="Q2226" s="94"/>
      <c r="R2226" s="92">
        <f t="shared" si="1356"/>
        <v>0</v>
      </c>
      <c r="S2226" s="92">
        <f t="shared" si="1356"/>
        <v>0</v>
      </c>
      <c r="T2226" s="93">
        <f t="shared" si="1370"/>
        <v>0</v>
      </c>
      <c r="U2226" s="95">
        <f t="shared" si="1366"/>
        <v>0</v>
      </c>
      <c r="V2226" s="94"/>
      <c r="W2226" s="96" t="str">
        <f>IF(U2225&gt;0,"xx",IF(P2225&gt;0,"xy",""))</f>
        <v/>
      </c>
      <c r="X2226" s="580" t="str">
        <f t="shared" si="1359"/>
        <v/>
      </c>
      <c r="Y2226" s="580" t="str">
        <f t="shared" si="1361"/>
        <v/>
      </c>
      <c r="Z2226" s="580" t="str">
        <f t="shared" si="1365"/>
        <v/>
      </c>
    </row>
    <row r="2227" spans="1:26" hidden="1" x14ac:dyDescent="0.2">
      <c r="A2227" s="97" t="s">
        <v>165</v>
      </c>
      <c r="B2227" s="1031" t="s">
        <v>165</v>
      </c>
      <c r="C2227" s="978"/>
      <c r="D2227" s="595" t="s">
        <v>257</v>
      </c>
      <c r="E2227" s="596"/>
      <c r="F2227" s="671">
        <v>180</v>
      </c>
      <c r="G2227" s="597">
        <f>VLOOKUP(D2225,'ENSAIOS DE ORÇAMENTO'!$C$3:$L$79,5,FALSE)</f>
        <v>3.9353559999999996</v>
      </c>
      <c r="H2227" s="682">
        <f>IF(F2227=0,0,IF(F2227&lt;=30,(0.7*F2227+1.45)*G2227,((0.7*30+1.45)+0.58*(F2227-30))*G2227))</f>
        <v>430.72471419999999</v>
      </c>
      <c r="I2227" s="592"/>
      <c r="J2227" s="592"/>
      <c r="K2227" s="593">
        <f t="shared" si="1363"/>
        <v>0</v>
      </c>
      <c r="L2227" s="594"/>
      <c r="M2227" s="92"/>
      <c r="N2227" s="92"/>
      <c r="O2227" s="93">
        <f t="shared" si="1368"/>
        <v>0</v>
      </c>
      <c r="P2227" s="93">
        <f t="shared" si="1369"/>
        <v>0</v>
      </c>
      <c r="Q2227" s="94"/>
      <c r="R2227" s="92">
        <f t="shared" si="1356"/>
        <v>0</v>
      </c>
      <c r="S2227" s="92">
        <f t="shared" si="1356"/>
        <v>0</v>
      </c>
      <c r="T2227" s="93">
        <f t="shared" si="1370"/>
        <v>0</v>
      </c>
      <c r="U2227" s="95">
        <f t="shared" si="1366"/>
        <v>0</v>
      </c>
      <c r="V2227" s="94"/>
      <c r="W2227" s="96" t="str">
        <f>IF(U2225&gt;0,"xx",IF(P2225&gt;0,"xy",""))</f>
        <v/>
      </c>
      <c r="X2227" s="580" t="str">
        <f t="shared" si="1359"/>
        <v/>
      </c>
      <c r="Y2227" s="580" t="str">
        <f t="shared" si="1361"/>
        <v/>
      </c>
      <c r="Z2227" s="580" t="str">
        <f t="shared" si="1365"/>
        <v/>
      </c>
    </row>
    <row r="2228" spans="1:26" hidden="1" x14ac:dyDescent="0.2">
      <c r="A2228" s="97" t="s">
        <v>165</v>
      </c>
      <c r="B2228" s="1031" t="s">
        <v>165</v>
      </c>
      <c r="C2228" s="978"/>
      <c r="D2228" s="595" t="s">
        <v>261</v>
      </c>
      <c r="E2228" s="596"/>
      <c r="F2228" s="671">
        <v>20</v>
      </c>
      <c r="G2228" s="597">
        <f>VLOOKUP(D2225,'ENSAIOS DE ORÇAMENTO'!$C$3:$L$79,6,FALSE)</f>
        <v>4.7072880000000001</v>
      </c>
      <c r="H2228" s="682">
        <f>IF(F2228=0,0,IF(F2228&lt;=30,(0.7*F2228+1.45)*G2228,((0.7*30+1.45)+0.58*(F2228-30))*G2228))</f>
        <v>72.727599600000005</v>
      </c>
      <c r="I2228" s="592"/>
      <c r="J2228" s="592"/>
      <c r="K2228" s="593">
        <f t="shared" si="1363"/>
        <v>0</v>
      </c>
      <c r="L2228" s="594"/>
      <c r="M2228" s="92"/>
      <c r="N2228" s="92"/>
      <c r="O2228" s="93">
        <f t="shared" si="1368"/>
        <v>0</v>
      </c>
      <c r="P2228" s="93">
        <f t="shared" si="1369"/>
        <v>0</v>
      </c>
      <c r="Q2228" s="94"/>
      <c r="R2228" s="92">
        <f t="shared" si="1356"/>
        <v>0</v>
      </c>
      <c r="S2228" s="92">
        <f t="shared" si="1356"/>
        <v>0</v>
      </c>
      <c r="T2228" s="93">
        <f t="shared" si="1370"/>
        <v>0</v>
      </c>
      <c r="U2228" s="95">
        <f t="shared" si="1366"/>
        <v>0</v>
      </c>
      <c r="V2228" s="94"/>
      <c r="W2228" s="96" t="str">
        <f>IF(U2225&gt;0,"xx",IF(P2225&gt;0,"xy",""))</f>
        <v/>
      </c>
      <c r="X2228" s="580" t="str">
        <f t="shared" si="1359"/>
        <v/>
      </c>
      <c r="Y2228" s="580" t="str">
        <f t="shared" si="1361"/>
        <v/>
      </c>
      <c r="Z2228" s="580" t="str">
        <f t="shared" si="1365"/>
        <v/>
      </c>
    </row>
    <row r="2229" spans="1:26" hidden="1" x14ac:dyDescent="0.2">
      <c r="A2229" s="97" t="s">
        <v>165</v>
      </c>
      <c r="B2229" s="1031" t="s">
        <v>165</v>
      </c>
      <c r="C2229" s="978"/>
      <c r="D2229" s="595" t="s">
        <v>419</v>
      </c>
      <c r="E2229" s="596"/>
      <c r="F2229" s="671">
        <v>30</v>
      </c>
      <c r="G2229" s="597">
        <f>VLOOKUP(D2225,'ENSAIOS DE ORÇAMENTO'!$C$3:$L$79,3,FALSE)</f>
        <v>0</v>
      </c>
      <c r="H2229" s="682">
        <f>IF(F2229=0,0,IF(F2229&lt;=30,(0.7*F2229+1.45)*G2229,((0.7*30+1.45)+0.58*(F2229-30))*G2229))</f>
        <v>0</v>
      </c>
      <c r="I2229" s="592"/>
      <c r="J2229" s="592"/>
      <c r="K2229" s="593">
        <f t="shared" si="1363"/>
        <v>0</v>
      </c>
      <c r="L2229" s="594"/>
      <c r="M2229" s="92"/>
      <c r="N2229" s="92"/>
      <c r="O2229" s="93">
        <f t="shared" si="1368"/>
        <v>0</v>
      </c>
      <c r="P2229" s="93">
        <f t="shared" si="1369"/>
        <v>0</v>
      </c>
      <c r="Q2229" s="94"/>
      <c r="R2229" s="92">
        <f t="shared" si="1356"/>
        <v>0</v>
      </c>
      <c r="S2229" s="92">
        <f t="shared" si="1356"/>
        <v>0</v>
      </c>
      <c r="T2229" s="93">
        <f t="shared" si="1370"/>
        <v>0</v>
      </c>
      <c r="U2229" s="95">
        <f t="shared" si="1366"/>
        <v>0</v>
      </c>
      <c r="V2229" s="94"/>
      <c r="W2229" s="96" t="str">
        <f>IF(U2225&gt;0,"xx",IF(P2225&gt;0,"xy",""))</f>
        <v/>
      </c>
      <c r="X2229" s="580" t="str">
        <f t="shared" si="1359"/>
        <v/>
      </c>
      <c r="Y2229" s="580" t="str">
        <f t="shared" si="1361"/>
        <v/>
      </c>
      <c r="Z2229" s="580" t="str">
        <f t="shared" si="1365"/>
        <v/>
      </c>
    </row>
    <row r="2230" spans="1:26" hidden="1" x14ac:dyDescent="0.2">
      <c r="A2230" s="97" t="s">
        <v>165</v>
      </c>
      <c r="B2230" s="1031" t="s">
        <v>165</v>
      </c>
      <c r="C2230" s="978"/>
      <c r="D2230" s="595" t="s">
        <v>420</v>
      </c>
      <c r="E2230" s="596"/>
      <c r="F2230" s="671">
        <v>500</v>
      </c>
      <c r="G2230" s="597">
        <f>VLOOKUP(D2225,'ENSAIOS DE ORÇAMENTO'!$C$3:$L$79,10,FALSE)</f>
        <v>0</v>
      </c>
      <c r="H2230" s="682">
        <f>IF(F2230=0,0,IF(F2230&lt;=30,(0.7*F2230+1.45)*G2230,((0.7*30+1.45)+0.58*(F2230-30))*G2230))</f>
        <v>0</v>
      </c>
      <c r="I2230" s="592"/>
      <c r="J2230" s="592"/>
      <c r="K2230" s="593">
        <f t="shared" si="1363"/>
        <v>0</v>
      </c>
      <c r="L2230" s="594"/>
      <c r="M2230" s="92"/>
      <c r="N2230" s="92"/>
      <c r="O2230" s="93">
        <f t="shared" si="1368"/>
        <v>0</v>
      </c>
      <c r="P2230" s="93">
        <f t="shared" si="1369"/>
        <v>0</v>
      </c>
      <c r="Q2230" s="94"/>
      <c r="R2230" s="92">
        <f t="shared" si="1356"/>
        <v>0</v>
      </c>
      <c r="S2230" s="92">
        <f t="shared" si="1356"/>
        <v>0</v>
      </c>
      <c r="T2230" s="93">
        <f t="shared" si="1370"/>
        <v>0</v>
      </c>
      <c r="U2230" s="95">
        <f t="shared" si="1366"/>
        <v>0</v>
      </c>
      <c r="V2230" s="94"/>
      <c r="W2230" s="96" t="str">
        <f>IF(U2225&gt;0,"xx",IF(P2225&gt;0,"xy",""))</f>
        <v/>
      </c>
      <c r="X2230" s="580" t="str">
        <f t="shared" si="1359"/>
        <v/>
      </c>
      <c r="Y2230" s="580" t="str">
        <f t="shared" si="1361"/>
        <v/>
      </c>
      <c r="Z2230" s="580" t="str">
        <f t="shared" si="1365"/>
        <v/>
      </c>
    </row>
    <row r="2231" spans="1:26" hidden="1" x14ac:dyDescent="0.2">
      <c r="A2231" s="97" t="s">
        <v>119</v>
      </c>
      <c r="B2231" s="1031" t="s">
        <v>119</v>
      </c>
      <c r="C2231" s="978" t="s">
        <v>212</v>
      </c>
      <c r="D2231" s="595" t="s">
        <v>428</v>
      </c>
      <c r="E2231" s="596"/>
      <c r="F2231" s="671"/>
      <c r="G2231" s="597"/>
      <c r="H2231" s="682">
        <f>SUM(H2232:H2236)</f>
        <v>998.2683966699999</v>
      </c>
      <c r="I2231" s="592">
        <f>VLOOKUP(D2231,'ENSAIOS DE ORÇAMENTO'!$C$3:$L$79,8,FALSE)</f>
        <v>3071.0816539999996</v>
      </c>
      <c r="J2231" s="592">
        <f t="shared" ref="J2231" si="1373">IF(ISBLANK(I2231),"",SUM(H2231:I2231))</f>
        <v>4069.3500506699993</v>
      </c>
      <c r="K2231" s="593">
        <f t="shared" si="1363"/>
        <v>4952.8100000000004</v>
      </c>
      <c r="L2231" s="594" t="s">
        <v>21</v>
      </c>
      <c r="M2231" s="92"/>
      <c r="N2231" s="92"/>
      <c r="O2231" s="93">
        <f t="shared" si="1368"/>
        <v>0</v>
      </c>
      <c r="P2231" s="93">
        <f t="shared" si="1369"/>
        <v>0</v>
      </c>
      <c r="Q2231" s="94"/>
      <c r="R2231" s="92">
        <f t="shared" si="1356"/>
        <v>0</v>
      </c>
      <c r="S2231" s="92">
        <f t="shared" si="1356"/>
        <v>0</v>
      </c>
      <c r="T2231" s="93">
        <f t="shared" si="1370"/>
        <v>0</v>
      </c>
      <c r="U2231" s="95">
        <f t="shared" si="1366"/>
        <v>0</v>
      </c>
      <c r="V2231" s="94"/>
      <c r="X2231" s="580" t="str">
        <f t="shared" si="1359"/>
        <v/>
      </c>
      <c r="Y2231" s="580" t="str">
        <f t="shared" si="1361"/>
        <v/>
      </c>
      <c r="Z2231" s="580" t="str">
        <f t="shared" si="1365"/>
        <v/>
      </c>
    </row>
    <row r="2232" spans="1:26" hidden="1" x14ac:dyDescent="0.2">
      <c r="A2232" s="97" t="s">
        <v>165</v>
      </c>
      <c r="B2232" s="1031" t="s">
        <v>165</v>
      </c>
      <c r="C2232" s="978"/>
      <c r="D2232" s="595" t="s">
        <v>218</v>
      </c>
      <c r="E2232" s="596"/>
      <c r="F2232" s="671">
        <v>500</v>
      </c>
      <c r="G2232" s="597">
        <f>VLOOKUP(D2231,'ENSAIOS DE ORÇAMENTO'!$C$3:$L$79,4,FALSE)</f>
        <v>1.7123939999999997</v>
      </c>
      <c r="H2232" s="682">
        <f>IF(F2232&lt;=30,(0.51*F2232+4.28)*G2232,((0.51*30+4.28)+0.42*(F2232-30))*G2232)</f>
        <v>371.55525011999998</v>
      </c>
      <c r="I2232" s="592"/>
      <c r="J2232" s="592"/>
      <c r="K2232" s="593">
        <f t="shared" si="1363"/>
        <v>0</v>
      </c>
      <c r="L2232" s="594"/>
      <c r="M2232" s="92"/>
      <c r="N2232" s="92"/>
      <c r="O2232" s="93">
        <f t="shared" si="1368"/>
        <v>0</v>
      </c>
      <c r="P2232" s="93">
        <f t="shared" si="1369"/>
        <v>0</v>
      </c>
      <c r="Q2232" s="94"/>
      <c r="R2232" s="92">
        <f t="shared" ref="R2232:S2294" si="1374">M2232</f>
        <v>0</v>
      </c>
      <c r="S2232" s="92">
        <f t="shared" si="1374"/>
        <v>0</v>
      </c>
      <c r="T2232" s="93">
        <f t="shared" si="1370"/>
        <v>0</v>
      </c>
      <c r="U2232" s="95">
        <f t="shared" si="1366"/>
        <v>0</v>
      </c>
      <c r="V2232" s="94"/>
      <c r="W2232" s="96" t="str">
        <f>IF(U2231&gt;0,"xx",IF(P2231&gt;0,"xy",""))</f>
        <v/>
      </c>
      <c r="X2232" s="580" t="str">
        <f t="shared" si="1359"/>
        <v/>
      </c>
      <c r="Y2232" s="580" t="str">
        <f t="shared" si="1361"/>
        <v/>
      </c>
      <c r="Z2232" s="580" t="str">
        <f t="shared" si="1365"/>
        <v/>
      </c>
    </row>
    <row r="2233" spans="1:26" hidden="1" x14ac:dyDescent="0.2">
      <c r="A2233" s="97" t="s">
        <v>165</v>
      </c>
      <c r="B2233" s="1031" t="s">
        <v>165</v>
      </c>
      <c r="C2233" s="978"/>
      <c r="D2233" s="595" t="s">
        <v>257</v>
      </c>
      <c r="E2233" s="596"/>
      <c r="F2233" s="671">
        <v>180</v>
      </c>
      <c r="G2233" s="597">
        <f>VLOOKUP(D2231,'ENSAIOS DE ORÇAMENTO'!$C$3:$L$79,5,FALSE)</f>
        <v>4.8978009999999994</v>
      </c>
      <c r="H2233" s="682">
        <f>IF(F2233=0,0,IF(F2233&lt;=30,(0.7*F2233+1.45)*G2233,((0.7*30+1.45)+0.58*(F2233-30))*G2233))</f>
        <v>536.06431944999997</v>
      </c>
      <c r="I2233" s="592"/>
      <c r="J2233" s="592"/>
      <c r="K2233" s="593">
        <f t="shared" si="1363"/>
        <v>0</v>
      </c>
      <c r="L2233" s="594"/>
      <c r="M2233" s="92"/>
      <c r="N2233" s="92"/>
      <c r="O2233" s="93">
        <f t="shared" si="1368"/>
        <v>0</v>
      </c>
      <c r="P2233" s="93">
        <f t="shared" si="1369"/>
        <v>0</v>
      </c>
      <c r="Q2233" s="94"/>
      <c r="R2233" s="92">
        <f t="shared" si="1374"/>
        <v>0</v>
      </c>
      <c r="S2233" s="92">
        <f t="shared" si="1374"/>
        <v>0</v>
      </c>
      <c r="T2233" s="93">
        <f t="shared" si="1370"/>
        <v>0</v>
      </c>
      <c r="U2233" s="95">
        <f t="shared" si="1366"/>
        <v>0</v>
      </c>
      <c r="V2233" s="94"/>
      <c r="W2233" s="96" t="str">
        <f>IF(U2231&gt;0,"xx",IF(P2231&gt;0,"xy",""))</f>
        <v/>
      </c>
      <c r="X2233" s="580" t="str">
        <f t="shared" si="1359"/>
        <v/>
      </c>
      <c r="Y2233" s="580" t="str">
        <f t="shared" si="1361"/>
        <v/>
      </c>
      <c r="Z2233" s="580" t="str">
        <f t="shared" si="1365"/>
        <v/>
      </c>
    </row>
    <row r="2234" spans="1:26" hidden="1" x14ac:dyDescent="0.2">
      <c r="A2234" s="97" t="s">
        <v>165</v>
      </c>
      <c r="B2234" s="1031" t="s">
        <v>165</v>
      </c>
      <c r="C2234" s="978"/>
      <c r="D2234" s="595" t="s">
        <v>261</v>
      </c>
      <c r="E2234" s="596"/>
      <c r="F2234" s="671">
        <v>20</v>
      </c>
      <c r="G2234" s="597">
        <f>VLOOKUP(D2231,'ENSAIOS DE ORÇAMENTO'!$C$3:$L$79,6,FALSE)</f>
        <v>5.8672380000000004</v>
      </c>
      <c r="H2234" s="682">
        <f>IF(F2234=0,0,IF(F2234&lt;=30,(0.7*F2234+1.45)*G2234,((0.7*30+1.45)+0.58*(F2234-30))*G2234))</f>
        <v>90.648827100000005</v>
      </c>
      <c r="I2234" s="592"/>
      <c r="J2234" s="592"/>
      <c r="K2234" s="593">
        <f t="shared" si="1363"/>
        <v>0</v>
      </c>
      <c r="L2234" s="594"/>
      <c r="M2234" s="92"/>
      <c r="N2234" s="92"/>
      <c r="O2234" s="93">
        <f t="shared" si="1368"/>
        <v>0</v>
      </c>
      <c r="P2234" s="93">
        <f t="shared" si="1369"/>
        <v>0</v>
      </c>
      <c r="Q2234" s="94"/>
      <c r="R2234" s="92">
        <f t="shared" si="1374"/>
        <v>0</v>
      </c>
      <c r="S2234" s="92">
        <f t="shared" si="1374"/>
        <v>0</v>
      </c>
      <c r="T2234" s="93">
        <f t="shared" si="1370"/>
        <v>0</v>
      </c>
      <c r="U2234" s="95">
        <f t="shared" si="1366"/>
        <v>0</v>
      </c>
      <c r="V2234" s="94"/>
      <c r="W2234" s="96" t="str">
        <f>IF(U2231&gt;0,"xx",IF(P2231&gt;0,"xy",""))</f>
        <v/>
      </c>
      <c r="X2234" s="580" t="str">
        <f t="shared" si="1359"/>
        <v/>
      </c>
      <c r="Y2234" s="580" t="str">
        <f t="shared" si="1361"/>
        <v/>
      </c>
      <c r="Z2234" s="580" t="str">
        <f t="shared" si="1365"/>
        <v/>
      </c>
    </row>
    <row r="2235" spans="1:26" hidden="1" x14ac:dyDescent="0.2">
      <c r="A2235" s="97" t="s">
        <v>165</v>
      </c>
      <c r="B2235" s="1031" t="s">
        <v>165</v>
      </c>
      <c r="C2235" s="978"/>
      <c r="D2235" s="595" t="s">
        <v>419</v>
      </c>
      <c r="E2235" s="596"/>
      <c r="F2235" s="671">
        <v>30</v>
      </c>
      <c r="G2235" s="597">
        <f>VLOOKUP(D2231,'ENSAIOS DE ORÇAMENTO'!$C$3:$L$79,3,FALSE)</f>
        <v>0</v>
      </c>
      <c r="H2235" s="682">
        <f>IF(F2235=0,0,IF(F2235&lt;=30,(0.7*F2235+1.45)*G2235,((0.7*30+1.45)+0.58*(F2235-30))*G2235))</f>
        <v>0</v>
      </c>
      <c r="I2235" s="592"/>
      <c r="J2235" s="592"/>
      <c r="K2235" s="593">
        <f t="shared" si="1363"/>
        <v>0</v>
      </c>
      <c r="L2235" s="594"/>
      <c r="M2235" s="92"/>
      <c r="N2235" s="92"/>
      <c r="O2235" s="93">
        <f t="shared" si="1368"/>
        <v>0</v>
      </c>
      <c r="P2235" s="93">
        <f t="shared" si="1369"/>
        <v>0</v>
      </c>
      <c r="Q2235" s="94"/>
      <c r="R2235" s="92">
        <f t="shared" si="1374"/>
        <v>0</v>
      </c>
      <c r="S2235" s="92">
        <f t="shared" si="1374"/>
        <v>0</v>
      </c>
      <c r="T2235" s="93">
        <f t="shared" si="1370"/>
        <v>0</v>
      </c>
      <c r="U2235" s="95">
        <f t="shared" si="1366"/>
        <v>0</v>
      </c>
      <c r="V2235" s="94"/>
      <c r="W2235" s="96" t="str">
        <f>IF(U2231&gt;0,"xx",IF(P2231&gt;0,"xy",""))</f>
        <v/>
      </c>
      <c r="X2235" s="580" t="str">
        <f t="shared" si="1359"/>
        <v/>
      </c>
      <c r="Y2235" s="580" t="str">
        <f t="shared" si="1361"/>
        <v/>
      </c>
      <c r="Z2235" s="580" t="str">
        <f t="shared" si="1365"/>
        <v/>
      </c>
    </row>
    <row r="2236" spans="1:26" hidden="1" x14ac:dyDescent="0.2">
      <c r="A2236" s="97" t="s">
        <v>165</v>
      </c>
      <c r="B2236" s="1031" t="s">
        <v>165</v>
      </c>
      <c r="C2236" s="978"/>
      <c r="D2236" s="595" t="s">
        <v>420</v>
      </c>
      <c r="E2236" s="596"/>
      <c r="F2236" s="671">
        <v>500</v>
      </c>
      <c r="G2236" s="597">
        <f>VLOOKUP(D2231,'ENSAIOS DE ORÇAMENTO'!$C$3:$L$79,10,FALSE)</f>
        <v>0</v>
      </c>
      <c r="H2236" s="682">
        <f>IF(F2236=0,0,IF(F2236&lt;=30,(0.7*F2236+1.45)*G2236,((0.7*30+1.45)+0.58*(F2236-30))*G2236))</f>
        <v>0</v>
      </c>
      <c r="I2236" s="592"/>
      <c r="J2236" s="592"/>
      <c r="K2236" s="593">
        <f t="shared" si="1363"/>
        <v>0</v>
      </c>
      <c r="L2236" s="594"/>
      <c r="M2236" s="92"/>
      <c r="N2236" s="92"/>
      <c r="O2236" s="93">
        <f t="shared" si="1368"/>
        <v>0</v>
      </c>
      <c r="P2236" s="93">
        <f t="shared" si="1369"/>
        <v>0</v>
      </c>
      <c r="Q2236" s="94"/>
      <c r="R2236" s="92">
        <f t="shared" si="1374"/>
        <v>0</v>
      </c>
      <c r="S2236" s="92">
        <f t="shared" si="1374"/>
        <v>0</v>
      </c>
      <c r="T2236" s="93">
        <f t="shared" si="1370"/>
        <v>0</v>
      </c>
      <c r="U2236" s="95">
        <f t="shared" si="1366"/>
        <v>0</v>
      </c>
      <c r="V2236" s="94"/>
      <c r="W2236" s="96" t="str">
        <f>IF(U2231&gt;0,"xx",IF(P2231&gt;0,"xy",""))</f>
        <v/>
      </c>
      <c r="X2236" s="580" t="str">
        <f t="shared" si="1359"/>
        <v/>
      </c>
      <c r="Y2236" s="580" t="str">
        <f t="shared" si="1361"/>
        <v/>
      </c>
      <c r="Z2236" s="580" t="str">
        <f t="shared" si="1365"/>
        <v/>
      </c>
    </row>
    <row r="2237" spans="1:26" hidden="1" x14ac:dyDescent="0.2">
      <c r="A2237" s="97" t="s">
        <v>34</v>
      </c>
      <c r="B2237" s="1031" t="s">
        <v>34</v>
      </c>
      <c r="C2237" s="978" t="s">
        <v>212</v>
      </c>
      <c r="D2237" s="595" t="s">
        <v>109</v>
      </c>
      <c r="E2237" s="596"/>
      <c r="F2237" s="671"/>
      <c r="G2237" s="597"/>
      <c r="H2237" s="682">
        <f>SUM(H2238:H2242)</f>
        <v>230.81718491000001</v>
      </c>
      <c r="I2237" s="592">
        <f>VLOOKUP(D2237,'ENSAIOS DE ORÇAMENTO'!$C$3:$L$79,8,FALSE)</f>
        <v>3297.2974020000001</v>
      </c>
      <c r="J2237" s="592">
        <f t="shared" ref="J2237" si="1375">IF(ISBLANK(I2237),"",SUM(H2237:I2237))</f>
        <v>3528.1145869100001</v>
      </c>
      <c r="K2237" s="593">
        <f t="shared" si="1363"/>
        <v>4294.07</v>
      </c>
      <c r="L2237" s="594" t="s">
        <v>21</v>
      </c>
      <c r="M2237" s="92"/>
      <c r="N2237" s="92"/>
      <c r="O2237" s="93">
        <f t="shared" si="1368"/>
        <v>0</v>
      </c>
      <c r="P2237" s="93">
        <f t="shared" si="1369"/>
        <v>0</v>
      </c>
      <c r="Q2237" s="94"/>
      <c r="R2237" s="92">
        <f t="shared" si="1374"/>
        <v>0</v>
      </c>
      <c r="S2237" s="92">
        <f t="shared" si="1374"/>
        <v>0</v>
      </c>
      <c r="T2237" s="93">
        <f t="shared" si="1370"/>
        <v>0</v>
      </c>
      <c r="U2237" s="95">
        <f t="shared" si="1366"/>
        <v>0</v>
      </c>
      <c r="V2237" s="94"/>
      <c r="X2237" s="580" t="str">
        <f t="shared" si="1359"/>
        <v/>
      </c>
      <c r="Y2237" s="580" t="str">
        <f t="shared" si="1361"/>
        <v/>
      </c>
      <c r="Z2237" s="580" t="str">
        <f t="shared" si="1365"/>
        <v/>
      </c>
    </row>
    <row r="2238" spans="1:26" hidden="1" x14ac:dyDescent="0.2">
      <c r="A2238" s="97" t="s">
        <v>165</v>
      </c>
      <c r="B2238" s="1031" t="s">
        <v>165</v>
      </c>
      <c r="C2238" s="978"/>
      <c r="D2238" s="595" t="s">
        <v>218</v>
      </c>
      <c r="E2238" s="596"/>
      <c r="F2238" s="671">
        <v>500</v>
      </c>
      <c r="G2238" s="597">
        <f>VLOOKUP(D2237,'ENSAIOS DE ORÇAMENTO'!$C$3:$L$79,4,FALSE)</f>
        <v>0.38908200000000004</v>
      </c>
      <c r="H2238" s="682">
        <f>IF(F2238&lt;=30,(0.51*F2238+4.28)*G2238,((0.51*30+4.28)+0.42*(F2238-30))*G2238)</f>
        <v>84.423012360000016</v>
      </c>
      <c r="I2238" s="592"/>
      <c r="J2238" s="592"/>
      <c r="K2238" s="593">
        <f t="shared" si="1363"/>
        <v>0</v>
      </c>
      <c r="L2238" s="594"/>
      <c r="M2238" s="92"/>
      <c r="N2238" s="92"/>
      <c r="O2238" s="93">
        <f t="shared" si="1368"/>
        <v>0</v>
      </c>
      <c r="P2238" s="93">
        <f t="shared" si="1369"/>
        <v>0</v>
      </c>
      <c r="Q2238" s="94"/>
      <c r="R2238" s="92">
        <f t="shared" si="1374"/>
        <v>0</v>
      </c>
      <c r="S2238" s="92">
        <f t="shared" si="1374"/>
        <v>0</v>
      </c>
      <c r="T2238" s="93">
        <f t="shared" si="1370"/>
        <v>0</v>
      </c>
      <c r="U2238" s="95">
        <f t="shared" si="1366"/>
        <v>0</v>
      </c>
      <c r="V2238" s="94"/>
      <c r="W2238" s="96" t="str">
        <f>IF(U2237&gt;0,"xx",IF(P2237&gt;0,"xy",""))</f>
        <v/>
      </c>
      <c r="X2238" s="580" t="str">
        <f t="shared" si="1359"/>
        <v/>
      </c>
      <c r="Y2238" s="580" t="str">
        <f t="shared" si="1361"/>
        <v/>
      </c>
      <c r="Z2238" s="580" t="str">
        <f t="shared" si="1365"/>
        <v/>
      </c>
    </row>
    <row r="2239" spans="1:26" hidden="1" x14ac:dyDescent="0.2">
      <c r="A2239" s="97" t="s">
        <v>165</v>
      </c>
      <c r="B2239" s="1031" t="s">
        <v>165</v>
      </c>
      <c r="C2239" s="978"/>
      <c r="D2239" s="595" t="s">
        <v>257</v>
      </c>
      <c r="E2239" s="596"/>
      <c r="F2239" s="671">
        <v>180</v>
      </c>
      <c r="G2239" s="597">
        <f>VLOOKUP(D2237,'ENSAIOS DE ORÇAMENTO'!$C$3:$L$79,5,FALSE)</f>
        <v>1.1452249999999999</v>
      </c>
      <c r="H2239" s="682">
        <f>IF(F2239=0,0,IF(F2239&lt;=30,(0.7*F2239+1.45)*G2239,((0.7*30+1.45)+0.58*(F2239-30))*G2239))</f>
        <v>125.34487625</v>
      </c>
      <c r="I2239" s="592"/>
      <c r="J2239" s="592"/>
      <c r="K2239" s="593">
        <f t="shared" si="1363"/>
        <v>0</v>
      </c>
      <c r="L2239" s="594"/>
      <c r="M2239" s="92"/>
      <c r="N2239" s="92"/>
      <c r="O2239" s="93">
        <f t="shared" si="1368"/>
        <v>0</v>
      </c>
      <c r="P2239" s="93">
        <f t="shared" si="1369"/>
        <v>0</v>
      </c>
      <c r="Q2239" s="94"/>
      <c r="R2239" s="92">
        <f t="shared" si="1374"/>
        <v>0</v>
      </c>
      <c r="S2239" s="92">
        <f t="shared" si="1374"/>
        <v>0</v>
      </c>
      <c r="T2239" s="93">
        <f t="shared" si="1370"/>
        <v>0</v>
      </c>
      <c r="U2239" s="95">
        <f t="shared" si="1366"/>
        <v>0</v>
      </c>
      <c r="V2239" s="94"/>
      <c r="W2239" s="96" t="str">
        <f>IF(U2237&gt;0,"xx",IF(P2237&gt;0,"xy",""))</f>
        <v/>
      </c>
      <c r="X2239" s="580" t="str">
        <f t="shared" si="1359"/>
        <v/>
      </c>
      <c r="Y2239" s="580" t="str">
        <f t="shared" si="1361"/>
        <v/>
      </c>
      <c r="Z2239" s="580" t="str">
        <f t="shared" si="1365"/>
        <v/>
      </c>
    </row>
    <row r="2240" spans="1:26" hidden="1" x14ac:dyDescent="0.2">
      <c r="A2240" s="97" t="s">
        <v>165</v>
      </c>
      <c r="B2240" s="1031" t="s">
        <v>165</v>
      </c>
      <c r="C2240" s="978"/>
      <c r="D2240" s="595" t="s">
        <v>261</v>
      </c>
      <c r="E2240" s="596"/>
      <c r="F2240" s="671">
        <v>20</v>
      </c>
      <c r="G2240" s="597">
        <f>VLOOKUP(D2237,'ENSAIOS DE ORÇAMENTO'!$C$3:$L$79,6,FALSE)</f>
        <v>1.362414</v>
      </c>
      <c r="H2240" s="682">
        <f>IF(F2240=0,0,IF(F2240&lt;=30,(0.7*F2240+1.45)*G2240,((0.7*30+1.45)+0.58*(F2240-30))*G2240))</f>
        <v>21.049296299999998</v>
      </c>
      <c r="I2240" s="592"/>
      <c r="J2240" s="592"/>
      <c r="K2240" s="593">
        <f t="shared" si="1363"/>
        <v>0</v>
      </c>
      <c r="L2240" s="594"/>
      <c r="M2240" s="92"/>
      <c r="N2240" s="92"/>
      <c r="O2240" s="93">
        <f t="shared" si="1368"/>
        <v>0</v>
      </c>
      <c r="P2240" s="93">
        <f t="shared" si="1369"/>
        <v>0</v>
      </c>
      <c r="Q2240" s="94"/>
      <c r="R2240" s="92">
        <f t="shared" si="1374"/>
        <v>0</v>
      </c>
      <c r="S2240" s="92">
        <f t="shared" si="1374"/>
        <v>0</v>
      </c>
      <c r="T2240" s="93">
        <f t="shared" si="1370"/>
        <v>0</v>
      </c>
      <c r="U2240" s="95">
        <f t="shared" si="1366"/>
        <v>0</v>
      </c>
      <c r="V2240" s="94"/>
      <c r="W2240" s="96" t="str">
        <f>IF(U2237&gt;0,"xx",IF(P2237&gt;0,"xy",""))</f>
        <v/>
      </c>
      <c r="X2240" s="580" t="str">
        <f t="shared" si="1359"/>
        <v/>
      </c>
      <c r="Y2240" s="580" t="str">
        <f t="shared" si="1361"/>
        <v/>
      </c>
      <c r="Z2240" s="580" t="str">
        <f t="shared" si="1365"/>
        <v/>
      </c>
    </row>
    <row r="2241" spans="1:26" hidden="1" x14ac:dyDescent="0.2">
      <c r="A2241" s="97" t="s">
        <v>165</v>
      </c>
      <c r="B2241" s="1031" t="s">
        <v>165</v>
      </c>
      <c r="C2241" s="978"/>
      <c r="D2241" s="595" t="s">
        <v>419</v>
      </c>
      <c r="E2241" s="596"/>
      <c r="F2241" s="671">
        <v>30</v>
      </c>
      <c r="G2241" s="597">
        <f>VLOOKUP(D2237,'ENSAIOS DE ORÇAMENTO'!$C$3:$L$79,3,FALSE)</f>
        <v>0</v>
      </c>
      <c r="H2241" s="682">
        <f>IF(F2241=0,0,IF(F2241&lt;=30,(0.7*F2241+1.45)*G2241,((0.7*30+1.45)+0.58*(F2241-30))*G2241))</f>
        <v>0</v>
      </c>
      <c r="I2241" s="592"/>
      <c r="J2241" s="592"/>
      <c r="K2241" s="593">
        <f t="shared" si="1363"/>
        <v>0</v>
      </c>
      <c r="L2241" s="594"/>
      <c r="M2241" s="92"/>
      <c r="N2241" s="92"/>
      <c r="O2241" s="93">
        <f t="shared" si="1368"/>
        <v>0</v>
      </c>
      <c r="P2241" s="93">
        <f t="shared" si="1369"/>
        <v>0</v>
      </c>
      <c r="Q2241" s="94"/>
      <c r="R2241" s="92">
        <f t="shared" si="1374"/>
        <v>0</v>
      </c>
      <c r="S2241" s="92">
        <f t="shared" si="1374"/>
        <v>0</v>
      </c>
      <c r="T2241" s="93">
        <f t="shared" si="1370"/>
        <v>0</v>
      </c>
      <c r="U2241" s="95">
        <f t="shared" si="1366"/>
        <v>0</v>
      </c>
      <c r="V2241" s="94"/>
      <c r="W2241" s="96" t="str">
        <f>IF(U2237&gt;0,"xx",IF(P2237&gt;0,"xy",""))</f>
        <v/>
      </c>
      <c r="X2241" s="580" t="str">
        <f t="shared" si="1359"/>
        <v/>
      </c>
      <c r="Y2241" s="580" t="str">
        <f t="shared" si="1361"/>
        <v/>
      </c>
      <c r="Z2241" s="580" t="str">
        <f t="shared" si="1365"/>
        <v/>
      </c>
    </row>
    <row r="2242" spans="1:26" hidden="1" x14ac:dyDescent="0.2">
      <c r="A2242" s="97" t="s">
        <v>165</v>
      </c>
      <c r="B2242" s="1031" t="s">
        <v>165</v>
      </c>
      <c r="C2242" s="978"/>
      <c r="D2242" s="595" t="s">
        <v>420</v>
      </c>
      <c r="E2242" s="596"/>
      <c r="F2242" s="671">
        <v>500</v>
      </c>
      <c r="G2242" s="597">
        <f>VLOOKUP(D2237,'ENSAIOS DE ORÇAMENTO'!$C$3:$L$79,10,FALSE)</f>
        <v>0</v>
      </c>
      <c r="H2242" s="682">
        <f>IF(F2242=0,0,IF(F2242&lt;=30,(0.7*F2242+1.45)*G2242,((0.7*30+1.45)+0.58*(F2242-30))*G2242))</f>
        <v>0</v>
      </c>
      <c r="I2242" s="592"/>
      <c r="J2242" s="592"/>
      <c r="K2242" s="593">
        <f t="shared" si="1363"/>
        <v>0</v>
      </c>
      <c r="L2242" s="594"/>
      <c r="M2242" s="92"/>
      <c r="N2242" s="92"/>
      <c r="O2242" s="93">
        <f t="shared" si="1368"/>
        <v>0</v>
      </c>
      <c r="P2242" s="93">
        <f t="shared" si="1369"/>
        <v>0</v>
      </c>
      <c r="Q2242" s="94"/>
      <c r="R2242" s="92">
        <f t="shared" si="1374"/>
        <v>0</v>
      </c>
      <c r="S2242" s="92">
        <f t="shared" si="1374"/>
        <v>0</v>
      </c>
      <c r="T2242" s="93">
        <f t="shared" si="1370"/>
        <v>0</v>
      </c>
      <c r="U2242" s="95">
        <f t="shared" si="1366"/>
        <v>0</v>
      </c>
      <c r="V2242" s="94"/>
      <c r="W2242" s="96" t="str">
        <f>IF(U2237&gt;0,"xx",IF(P2237&gt;0,"xy",""))</f>
        <v/>
      </c>
      <c r="X2242" s="580" t="str">
        <f t="shared" si="1359"/>
        <v/>
      </c>
      <c r="Y2242" s="580" t="str">
        <f t="shared" si="1361"/>
        <v/>
      </c>
      <c r="Z2242" s="580" t="str">
        <f t="shared" si="1365"/>
        <v/>
      </c>
    </row>
    <row r="2243" spans="1:26" hidden="1" x14ac:dyDescent="0.2">
      <c r="A2243" s="97" t="s">
        <v>35</v>
      </c>
      <c r="B2243" s="1031" t="s">
        <v>35</v>
      </c>
      <c r="C2243" s="978" t="s">
        <v>212</v>
      </c>
      <c r="D2243" s="595" t="s">
        <v>106</v>
      </c>
      <c r="E2243" s="596"/>
      <c r="F2243" s="671"/>
      <c r="G2243" s="597"/>
      <c r="H2243" s="682">
        <f>SUM(H2244:H2248)</f>
        <v>288.44231530999997</v>
      </c>
      <c r="I2243" s="592">
        <f>VLOOKUP(D2243,'ENSAIOS DE ORÇAMENTO'!$C$3:$L$79,8,FALSE)</f>
        <v>4031.4878019999996</v>
      </c>
      <c r="J2243" s="592">
        <f t="shared" ref="J2243" si="1376">IF(ISBLANK(I2243),"",SUM(H2243:I2243))</f>
        <v>4319.9301173099993</v>
      </c>
      <c r="K2243" s="593">
        <f t="shared" si="1363"/>
        <v>5257.79</v>
      </c>
      <c r="L2243" s="594" t="s">
        <v>21</v>
      </c>
      <c r="M2243" s="92"/>
      <c r="N2243" s="92"/>
      <c r="O2243" s="93">
        <f t="shared" si="1368"/>
        <v>0</v>
      </c>
      <c r="P2243" s="93">
        <f t="shared" si="1369"/>
        <v>0</v>
      </c>
      <c r="Q2243" s="94"/>
      <c r="R2243" s="92">
        <f t="shared" si="1374"/>
        <v>0</v>
      </c>
      <c r="S2243" s="92">
        <f t="shared" si="1374"/>
        <v>0</v>
      </c>
      <c r="T2243" s="93">
        <f t="shared" si="1370"/>
        <v>0</v>
      </c>
      <c r="U2243" s="95">
        <f t="shared" si="1366"/>
        <v>0</v>
      </c>
      <c r="V2243" s="94"/>
      <c r="X2243" s="580" t="str">
        <f t="shared" si="1359"/>
        <v/>
      </c>
      <c r="Y2243" s="580" t="str">
        <f t="shared" si="1361"/>
        <v/>
      </c>
      <c r="Z2243" s="580" t="str">
        <f t="shared" si="1365"/>
        <v/>
      </c>
    </row>
    <row r="2244" spans="1:26" hidden="1" x14ac:dyDescent="0.2">
      <c r="A2244" s="97" t="s">
        <v>165</v>
      </c>
      <c r="B2244" s="1031" t="s">
        <v>165</v>
      </c>
      <c r="C2244" s="978"/>
      <c r="D2244" s="595" t="s">
        <v>218</v>
      </c>
      <c r="E2244" s="596"/>
      <c r="F2244" s="671">
        <v>500</v>
      </c>
      <c r="G2244" s="597">
        <f>VLOOKUP(D2243,'ENSAIOS DE ORÇAMENTO'!$C$3:$L$79,4,FALSE)</f>
        <v>0.48940199999999995</v>
      </c>
      <c r="H2244" s="682">
        <f>IF(F2244&lt;=30,(0.51*F2244+4.28)*G2244,((0.51*30+4.28)+0.42*(F2244-30))*G2244)</f>
        <v>106.19044595999999</v>
      </c>
      <c r="I2244" s="592"/>
      <c r="J2244" s="592"/>
      <c r="K2244" s="593">
        <f t="shared" si="1363"/>
        <v>0</v>
      </c>
      <c r="L2244" s="594"/>
      <c r="M2244" s="92"/>
      <c r="N2244" s="92"/>
      <c r="O2244" s="93">
        <f t="shared" si="1368"/>
        <v>0</v>
      </c>
      <c r="P2244" s="93">
        <f t="shared" si="1369"/>
        <v>0</v>
      </c>
      <c r="Q2244" s="94"/>
      <c r="R2244" s="92">
        <f t="shared" si="1374"/>
        <v>0</v>
      </c>
      <c r="S2244" s="92">
        <f t="shared" si="1374"/>
        <v>0</v>
      </c>
      <c r="T2244" s="93">
        <f t="shared" si="1370"/>
        <v>0</v>
      </c>
      <c r="U2244" s="95">
        <f t="shared" si="1366"/>
        <v>0</v>
      </c>
      <c r="V2244" s="94"/>
      <c r="W2244" s="96" t="str">
        <f>IF(U2243&gt;0,"xx",IF(P2243&gt;0,"xy",""))</f>
        <v/>
      </c>
      <c r="X2244" s="580" t="str">
        <f t="shared" si="1359"/>
        <v/>
      </c>
      <c r="Y2244" s="580" t="str">
        <f t="shared" si="1361"/>
        <v/>
      </c>
      <c r="Z2244" s="580" t="str">
        <f t="shared" si="1365"/>
        <v/>
      </c>
    </row>
    <row r="2245" spans="1:26" hidden="1" x14ac:dyDescent="0.2">
      <c r="A2245" s="97" t="s">
        <v>165</v>
      </c>
      <c r="B2245" s="1031" t="s">
        <v>165</v>
      </c>
      <c r="C2245" s="978"/>
      <c r="D2245" s="595" t="s">
        <v>257</v>
      </c>
      <c r="E2245" s="596"/>
      <c r="F2245" s="671">
        <v>180</v>
      </c>
      <c r="G2245" s="597">
        <f>VLOOKUP(D2243,'ENSAIOS DE ORÇAMENTO'!$C$3:$L$79,5,FALSE)</f>
        <v>1.4252089999999999</v>
      </c>
      <c r="H2245" s="682">
        <f>IF(F2245=0,0,IF(F2245&lt;=30,(0.7*F2245+1.45)*G2245,((0.7*30+1.45)+0.58*(F2245-30))*G2245))</f>
        <v>155.98912504999998</v>
      </c>
      <c r="I2245" s="592"/>
      <c r="J2245" s="592"/>
      <c r="K2245" s="593">
        <f t="shared" si="1363"/>
        <v>0</v>
      </c>
      <c r="L2245" s="594"/>
      <c r="M2245" s="92"/>
      <c r="N2245" s="92"/>
      <c r="O2245" s="93">
        <f t="shared" si="1368"/>
        <v>0</v>
      </c>
      <c r="P2245" s="93">
        <f t="shared" si="1369"/>
        <v>0</v>
      </c>
      <c r="Q2245" s="94"/>
      <c r="R2245" s="92">
        <f t="shared" si="1374"/>
        <v>0</v>
      </c>
      <c r="S2245" s="92">
        <f t="shared" si="1374"/>
        <v>0</v>
      </c>
      <c r="T2245" s="93">
        <f t="shared" si="1370"/>
        <v>0</v>
      </c>
      <c r="U2245" s="95">
        <f t="shared" si="1366"/>
        <v>0</v>
      </c>
      <c r="V2245" s="94"/>
      <c r="W2245" s="96" t="str">
        <f>IF(U2243&gt;0,"xx",IF(P2243&gt;0,"xy",""))</f>
        <v/>
      </c>
      <c r="X2245" s="580" t="str">
        <f t="shared" si="1359"/>
        <v/>
      </c>
      <c r="Y2245" s="580" t="str">
        <f t="shared" si="1361"/>
        <v/>
      </c>
      <c r="Z2245" s="580" t="str">
        <f t="shared" si="1365"/>
        <v/>
      </c>
    </row>
    <row r="2246" spans="1:26" hidden="1" x14ac:dyDescent="0.2">
      <c r="A2246" s="97" t="s">
        <v>165</v>
      </c>
      <c r="B2246" s="1031" t="s">
        <v>165</v>
      </c>
      <c r="C2246" s="978"/>
      <c r="D2246" s="595" t="s">
        <v>261</v>
      </c>
      <c r="E2246" s="596"/>
      <c r="F2246" s="671">
        <v>20</v>
      </c>
      <c r="G2246" s="597">
        <f>VLOOKUP(D2243,'ENSAIOS DE ORÇAMENTO'!$C$3:$L$79,6,FALSE)</f>
        <v>1.699854</v>
      </c>
      <c r="H2246" s="682">
        <f>IF(F2246=0,0,IF(F2246&lt;=30,(0.7*F2246+1.45)*G2246,((0.7*30+1.45)+0.58*(F2246-30))*G2246))</f>
        <v>26.262744299999998</v>
      </c>
      <c r="I2246" s="592"/>
      <c r="J2246" s="592"/>
      <c r="K2246" s="593">
        <f t="shared" si="1363"/>
        <v>0</v>
      </c>
      <c r="L2246" s="594"/>
      <c r="M2246" s="92"/>
      <c r="N2246" s="92"/>
      <c r="O2246" s="93">
        <f t="shared" si="1368"/>
        <v>0</v>
      </c>
      <c r="P2246" s="93">
        <f t="shared" si="1369"/>
        <v>0</v>
      </c>
      <c r="Q2246" s="94"/>
      <c r="R2246" s="92">
        <f t="shared" si="1374"/>
        <v>0</v>
      </c>
      <c r="S2246" s="92">
        <f t="shared" si="1374"/>
        <v>0</v>
      </c>
      <c r="T2246" s="93">
        <f t="shared" si="1370"/>
        <v>0</v>
      </c>
      <c r="U2246" s="95">
        <f t="shared" si="1366"/>
        <v>0</v>
      </c>
      <c r="V2246" s="94"/>
      <c r="W2246" s="96" t="str">
        <f>IF(U2243&gt;0,"xx",IF(P2243&gt;0,"xy",""))</f>
        <v/>
      </c>
      <c r="X2246" s="580" t="str">
        <f t="shared" si="1359"/>
        <v/>
      </c>
      <c r="Y2246" s="580" t="str">
        <f t="shared" si="1361"/>
        <v/>
      </c>
      <c r="Z2246" s="580" t="str">
        <f t="shared" si="1365"/>
        <v/>
      </c>
    </row>
    <row r="2247" spans="1:26" hidden="1" x14ac:dyDescent="0.2">
      <c r="A2247" s="97" t="s">
        <v>165</v>
      </c>
      <c r="B2247" s="1031" t="s">
        <v>165</v>
      </c>
      <c r="C2247" s="978"/>
      <c r="D2247" s="595" t="s">
        <v>419</v>
      </c>
      <c r="E2247" s="596"/>
      <c r="F2247" s="671">
        <v>30</v>
      </c>
      <c r="G2247" s="597">
        <f>VLOOKUP(D2243,'ENSAIOS DE ORÇAMENTO'!$C$3:$L$79,3,FALSE)</f>
        <v>0</v>
      </c>
      <c r="H2247" s="682">
        <f>IF(F2247=0,0,IF(F2247&lt;=30,(0.7*F2247+1.45)*G2247,((0.7*30+1.45)+0.58*(F2247-30))*G2247))</f>
        <v>0</v>
      </c>
      <c r="I2247" s="592"/>
      <c r="J2247" s="592"/>
      <c r="K2247" s="593">
        <f t="shared" si="1363"/>
        <v>0</v>
      </c>
      <c r="L2247" s="594"/>
      <c r="M2247" s="92"/>
      <c r="N2247" s="92"/>
      <c r="O2247" s="93">
        <f t="shared" si="1368"/>
        <v>0</v>
      </c>
      <c r="P2247" s="93">
        <f t="shared" si="1369"/>
        <v>0</v>
      </c>
      <c r="Q2247" s="94"/>
      <c r="R2247" s="92">
        <f t="shared" si="1374"/>
        <v>0</v>
      </c>
      <c r="S2247" s="92">
        <f t="shared" si="1374"/>
        <v>0</v>
      </c>
      <c r="T2247" s="93">
        <f t="shared" si="1370"/>
        <v>0</v>
      </c>
      <c r="U2247" s="95">
        <f t="shared" si="1366"/>
        <v>0</v>
      </c>
      <c r="V2247" s="94"/>
      <c r="W2247" s="96" t="str">
        <f>IF(U2243&gt;0,"xx",IF(P2243&gt;0,"xy",""))</f>
        <v/>
      </c>
      <c r="X2247" s="580" t="str">
        <f t="shared" si="1359"/>
        <v/>
      </c>
      <c r="Y2247" s="580" t="str">
        <f t="shared" si="1361"/>
        <v/>
      </c>
      <c r="Z2247" s="580" t="str">
        <f t="shared" si="1365"/>
        <v/>
      </c>
    </row>
    <row r="2248" spans="1:26" hidden="1" x14ac:dyDescent="0.2">
      <c r="A2248" s="97" t="s">
        <v>165</v>
      </c>
      <c r="B2248" s="1031" t="s">
        <v>165</v>
      </c>
      <c r="C2248" s="978"/>
      <c r="D2248" s="595" t="s">
        <v>420</v>
      </c>
      <c r="E2248" s="596"/>
      <c r="F2248" s="671">
        <v>500</v>
      </c>
      <c r="G2248" s="597">
        <f>VLOOKUP(D2243,'ENSAIOS DE ORÇAMENTO'!$C$3:$L$79,10,FALSE)</f>
        <v>0</v>
      </c>
      <c r="H2248" s="682">
        <f>IF(F2248=0,0,IF(F2248&lt;=30,(0.7*F2248+1.45)*G2248,((0.7*30+1.45)+0.58*(F2248-30))*G2248))</f>
        <v>0</v>
      </c>
      <c r="I2248" s="592"/>
      <c r="J2248" s="592"/>
      <c r="K2248" s="593">
        <f t="shared" si="1363"/>
        <v>0</v>
      </c>
      <c r="L2248" s="594"/>
      <c r="M2248" s="92"/>
      <c r="N2248" s="92"/>
      <c r="O2248" s="93">
        <f t="shared" si="1368"/>
        <v>0</v>
      </c>
      <c r="P2248" s="93">
        <f t="shared" si="1369"/>
        <v>0</v>
      </c>
      <c r="Q2248" s="94"/>
      <c r="R2248" s="92">
        <f t="shared" si="1374"/>
        <v>0</v>
      </c>
      <c r="S2248" s="92">
        <f t="shared" si="1374"/>
        <v>0</v>
      </c>
      <c r="T2248" s="93">
        <f t="shared" si="1370"/>
        <v>0</v>
      </c>
      <c r="U2248" s="95">
        <f t="shared" si="1366"/>
        <v>0</v>
      </c>
      <c r="V2248" s="94"/>
      <c r="W2248" s="96" t="str">
        <f>IF(U2243&gt;0,"xx",IF(P2243&gt;0,"xy",""))</f>
        <v/>
      </c>
      <c r="X2248" s="580" t="str">
        <f t="shared" si="1359"/>
        <v/>
      </c>
      <c r="Y2248" s="580" t="str">
        <f t="shared" si="1361"/>
        <v/>
      </c>
      <c r="Z2248" s="580" t="str">
        <f t="shared" si="1365"/>
        <v/>
      </c>
    </row>
    <row r="2249" spans="1:26" hidden="1" x14ac:dyDescent="0.2">
      <c r="A2249" s="97" t="s">
        <v>120</v>
      </c>
      <c r="B2249" s="1031" t="s">
        <v>120</v>
      </c>
      <c r="C2249" s="978" t="s">
        <v>212</v>
      </c>
      <c r="D2249" s="595" t="s">
        <v>107</v>
      </c>
      <c r="E2249" s="596"/>
      <c r="F2249" s="671"/>
      <c r="G2249" s="597"/>
      <c r="H2249" s="682">
        <f>SUM(H2250:H2254)</f>
        <v>382.08315221000004</v>
      </c>
      <c r="I2249" s="592">
        <f>VLOOKUP(D2249,'ENSAIOS DE ORÇAMENTO'!$C$3:$L$79,8,FALSE)</f>
        <v>4426.3256619999993</v>
      </c>
      <c r="J2249" s="592">
        <f t="shared" ref="J2249" si="1377">IF(ISBLANK(I2249),"",SUM(H2249:I2249))</f>
        <v>4808.408814209999</v>
      </c>
      <c r="K2249" s="593">
        <f t="shared" si="1363"/>
        <v>5852.31</v>
      </c>
      <c r="L2249" s="594" t="s">
        <v>21</v>
      </c>
      <c r="M2249" s="92"/>
      <c r="N2249" s="92"/>
      <c r="O2249" s="93">
        <f t="shared" si="1368"/>
        <v>0</v>
      </c>
      <c r="P2249" s="93">
        <f t="shared" si="1369"/>
        <v>0</v>
      </c>
      <c r="Q2249" s="94"/>
      <c r="R2249" s="92">
        <f t="shared" si="1374"/>
        <v>0</v>
      </c>
      <c r="S2249" s="92">
        <f t="shared" si="1374"/>
        <v>0</v>
      </c>
      <c r="T2249" s="93">
        <f t="shared" si="1370"/>
        <v>0</v>
      </c>
      <c r="U2249" s="95">
        <f t="shared" si="1366"/>
        <v>0</v>
      </c>
      <c r="V2249" s="94"/>
      <c r="X2249" s="580" t="str">
        <f t="shared" si="1359"/>
        <v/>
      </c>
      <c r="Y2249" s="580" t="str">
        <f t="shared" si="1361"/>
        <v/>
      </c>
      <c r="Z2249" s="580" t="str">
        <f t="shared" si="1365"/>
        <v/>
      </c>
    </row>
    <row r="2250" spans="1:26" hidden="1" x14ac:dyDescent="0.2">
      <c r="A2250" s="97" t="s">
        <v>165</v>
      </c>
      <c r="B2250" s="1031" t="s">
        <v>165</v>
      </c>
      <c r="C2250" s="978"/>
      <c r="D2250" s="595" t="s">
        <v>218</v>
      </c>
      <c r="E2250" s="596"/>
      <c r="F2250" s="671">
        <v>500</v>
      </c>
      <c r="G2250" s="597">
        <f>VLOOKUP(D2249,'ENSAIOS DE ORÇAMENTO'!$C$3:$L$79,4,FALSE)</f>
        <v>0.65242199999999995</v>
      </c>
      <c r="H2250" s="682">
        <f>IF(F2250&lt;=30,(0.51*F2250+4.28)*G2250,((0.51*30+4.28)+0.42*(F2250-30))*G2250)</f>
        <v>141.56252556000001</v>
      </c>
      <c r="I2250" s="592"/>
      <c r="J2250" s="592"/>
      <c r="K2250" s="593">
        <f t="shared" si="1363"/>
        <v>0</v>
      </c>
      <c r="L2250" s="594"/>
      <c r="M2250" s="92"/>
      <c r="N2250" s="92"/>
      <c r="O2250" s="93">
        <f t="shared" si="1368"/>
        <v>0</v>
      </c>
      <c r="P2250" s="93">
        <f t="shared" si="1369"/>
        <v>0</v>
      </c>
      <c r="Q2250" s="94"/>
      <c r="R2250" s="92">
        <f t="shared" si="1374"/>
        <v>0</v>
      </c>
      <c r="S2250" s="92">
        <f t="shared" si="1374"/>
        <v>0</v>
      </c>
      <c r="T2250" s="93">
        <f t="shared" si="1370"/>
        <v>0</v>
      </c>
      <c r="U2250" s="95">
        <f t="shared" si="1366"/>
        <v>0</v>
      </c>
      <c r="V2250" s="94"/>
      <c r="W2250" s="96" t="str">
        <f>IF(U2249&gt;0,"xx",IF(P2249&gt;0,"xy",""))</f>
        <v/>
      </c>
      <c r="X2250" s="580" t="str">
        <f t="shared" si="1359"/>
        <v/>
      </c>
      <c r="Y2250" s="580" t="str">
        <f t="shared" si="1361"/>
        <v/>
      </c>
      <c r="Z2250" s="580" t="str">
        <f t="shared" si="1365"/>
        <v/>
      </c>
    </row>
    <row r="2251" spans="1:26" hidden="1" x14ac:dyDescent="0.2">
      <c r="A2251" s="97" t="s">
        <v>165</v>
      </c>
      <c r="B2251" s="1031" t="s">
        <v>165</v>
      </c>
      <c r="C2251" s="978"/>
      <c r="D2251" s="595" t="s">
        <v>257</v>
      </c>
      <c r="E2251" s="596"/>
      <c r="F2251" s="671">
        <v>180</v>
      </c>
      <c r="G2251" s="597">
        <f>VLOOKUP(D2249,'ENSAIOS DE ORÇAMENTO'!$C$3:$L$79,5,FALSE)</f>
        <v>1.8801829999999999</v>
      </c>
      <c r="H2251" s="682">
        <f>IF(F2251=0,0,IF(F2251&lt;=30,(0.7*F2251+1.45)*G2251,((0.7*30+1.45)+0.58*(F2251-30))*G2251))</f>
        <v>205.78602935000001</v>
      </c>
      <c r="I2251" s="592"/>
      <c r="J2251" s="592"/>
      <c r="K2251" s="593">
        <f t="shared" si="1363"/>
        <v>0</v>
      </c>
      <c r="L2251" s="594"/>
      <c r="M2251" s="92"/>
      <c r="N2251" s="92"/>
      <c r="O2251" s="93">
        <f t="shared" si="1368"/>
        <v>0</v>
      </c>
      <c r="P2251" s="93">
        <f t="shared" si="1369"/>
        <v>0</v>
      </c>
      <c r="Q2251" s="94"/>
      <c r="R2251" s="92">
        <f t="shared" si="1374"/>
        <v>0</v>
      </c>
      <c r="S2251" s="92">
        <f t="shared" si="1374"/>
        <v>0</v>
      </c>
      <c r="T2251" s="93">
        <f t="shared" si="1370"/>
        <v>0</v>
      </c>
      <c r="U2251" s="95">
        <f t="shared" si="1366"/>
        <v>0</v>
      </c>
      <c r="V2251" s="94"/>
      <c r="W2251" s="96" t="str">
        <f>IF(U2249&gt;0,"xx",IF(P2249&gt;0,"xy",""))</f>
        <v/>
      </c>
      <c r="X2251" s="580" t="str">
        <f t="shared" ref="X2251:X2314" si="1378">IF(W2251="X","x",IF(W2251="xx","x",IF(W2251="xy","x",IF(W2251="y","x",IF(OR(P2251&gt;0,U2251&gt;0),"x","")))))</f>
        <v/>
      </c>
      <c r="Y2251" s="580" t="str">
        <f t="shared" si="1361"/>
        <v/>
      </c>
      <c r="Z2251" s="580" t="str">
        <f t="shared" si="1365"/>
        <v/>
      </c>
    </row>
    <row r="2252" spans="1:26" hidden="1" x14ac:dyDescent="0.2">
      <c r="A2252" s="97" t="s">
        <v>165</v>
      </c>
      <c r="B2252" s="1031" t="s">
        <v>165</v>
      </c>
      <c r="C2252" s="978"/>
      <c r="D2252" s="595" t="s">
        <v>261</v>
      </c>
      <c r="E2252" s="596"/>
      <c r="F2252" s="671">
        <v>20</v>
      </c>
      <c r="G2252" s="597">
        <f>VLOOKUP(D2249,'ENSAIOS DE ORÇAMENTO'!$C$3:$L$79,6,FALSE)</f>
        <v>2.2481940000000002</v>
      </c>
      <c r="H2252" s="682">
        <f>IF(F2252=0,0,IF(F2252&lt;=30,(0.7*F2252+1.45)*G2252,((0.7*30+1.45)+0.58*(F2252-30))*G2252))</f>
        <v>34.734597300000004</v>
      </c>
      <c r="I2252" s="592"/>
      <c r="J2252" s="592"/>
      <c r="K2252" s="593">
        <f t="shared" si="1363"/>
        <v>0</v>
      </c>
      <c r="L2252" s="594"/>
      <c r="M2252" s="92"/>
      <c r="N2252" s="92"/>
      <c r="O2252" s="93">
        <f t="shared" si="1368"/>
        <v>0</v>
      </c>
      <c r="P2252" s="93">
        <f t="shared" si="1369"/>
        <v>0</v>
      </c>
      <c r="Q2252" s="94"/>
      <c r="R2252" s="92">
        <f t="shared" si="1374"/>
        <v>0</v>
      </c>
      <c r="S2252" s="92">
        <f t="shared" si="1374"/>
        <v>0</v>
      </c>
      <c r="T2252" s="93">
        <f t="shared" si="1370"/>
        <v>0</v>
      </c>
      <c r="U2252" s="95">
        <f t="shared" si="1366"/>
        <v>0</v>
      </c>
      <c r="V2252" s="94"/>
      <c r="W2252" s="96" t="str">
        <f>IF(U2249&gt;0,"xx",IF(P2249&gt;0,"xy",""))</f>
        <v/>
      </c>
      <c r="X2252" s="580" t="str">
        <f t="shared" si="1378"/>
        <v/>
      </c>
      <c r="Y2252" s="580" t="str">
        <f t="shared" si="1361"/>
        <v/>
      </c>
      <c r="Z2252" s="580" t="str">
        <f t="shared" si="1365"/>
        <v/>
      </c>
    </row>
    <row r="2253" spans="1:26" hidden="1" x14ac:dyDescent="0.2">
      <c r="A2253" s="97" t="s">
        <v>165</v>
      </c>
      <c r="B2253" s="1031" t="s">
        <v>165</v>
      </c>
      <c r="C2253" s="978"/>
      <c r="D2253" s="595" t="s">
        <v>419</v>
      </c>
      <c r="E2253" s="596"/>
      <c r="F2253" s="671">
        <v>30</v>
      </c>
      <c r="G2253" s="597">
        <f>VLOOKUP(D2249,'ENSAIOS DE ORÇAMENTO'!$C$3:$L$79,3,FALSE)</f>
        <v>0</v>
      </c>
      <c r="H2253" s="682">
        <f>IF(F2253=0,0,IF(F2253&lt;=30,(0.7*F2253+1.45)*G2253,((0.7*30+1.45)+0.58*(F2253-30))*G2253))</f>
        <v>0</v>
      </c>
      <c r="I2253" s="592"/>
      <c r="J2253" s="592"/>
      <c r="K2253" s="593">
        <f t="shared" ref="K2253:K2316" si="1379">IF(ISBLANK(I2253),0,ROUND(J2253*(1+$F$10)*(1+$F$11*E2253),2))</f>
        <v>0</v>
      </c>
      <c r="L2253" s="594"/>
      <c r="M2253" s="92"/>
      <c r="N2253" s="92"/>
      <c r="O2253" s="93">
        <f t="shared" si="1368"/>
        <v>0</v>
      </c>
      <c r="P2253" s="93">
        <f t="shared" si="1369"/>
        <v>0</v>
      </c>
      <c r="Q2253" s="94"/>
      <c r="R2253" s="92">
        <f t="shared" si="1374"/>
        <v>0</v>
      </c>
      <c r="S2253" s="92">
        <f t="shared" si="1374"/>
        <v>0</v>
      </c>
      <c r="T2253" s="93">
        <f t="shared" si="1370"/>
        <v>0</v>
      </c>
      <c r="U2253" s="95">
        <f t="shared" si="1366"/>
        <v>0</v>
      </c>
      <c r="V2253" s="94"/>
      <c r="W2253" s="96" t="str">
        <f>IF(U2249&gt;0,"xx",IF(P2249&gt;0,"xy",""))</f>
        <v/>
      </c>
      <c r="X2253" s="580" t="str">
        <f t="shared" si="1378"/>
        <v/>
      </c>
      <c r="Y2253" s="580" t="str">
        <f t="shared" si="1361"/>
        <v/>
      </c>
      <c r="Z2253" s="580" t="str">
        <f t="shared" si="1365"/>
        <v/>
      </c>
    </row>
    <row r="2254" spans="1:26" hidden="1" x14ac:dyDescent="0.2">
      <c r="A2254" s="97" t="s">
        <v>165</v>
      </c>
      <c r="B2254" s="1031" t="s">
        <v>165</v>
      </c>
      <c r="C2254" s="978"/>
      <c r="D2254" s="595" t="s">
        <v>420</v>
      </c>
      <c r="E2254" s="596"/>
      <c r="F2254" s="671">
        <v>500</v>
      </c>
      <c r="G2254" s="597">
        <f>VLOOKUP(D2249,'ENSAIOS DE ORÇAMENTO'!$C$3:$L$79,10,FALSE)</f>
        <v>0</v>
      </c>
      <c r="H2254" s="682">
        <f>IF(F2254=0,0,IF(F2254&lt;=30,(0.7*F2254+1.45)*G2254,((0.7*30+1.45)+0.58*(F2254-30))*G2254))</f>
        <v>0</v>
      </c>
      <c r="I2254" s="592"/>
      <c r="J2254" s="592"/>
      <c r="K2254" s="593">
        <f t="shared" si="1379"/>
        <v>0</v>
      </c>
      <c r="L2254" s="594"/>
      <c r="M2254" s="92"/>
      <c r="N2254" s="92"/>
      <c r="O2254" s="93">
        <f t="shared" si="1368"/>
        <v>0</v>
      </c>
      <c r="P2254" s="93">
        <f t="shared" si="1369"/>
        <v>0</v>
      </c>
      <c r="Q2254" s="94"/>
      <c r="R2254" s="92">
        <f t="shared" si="1374"/>
        <v>0</v>
      </c>
      <c r="S2254" s="92">
        <f t="shared" si="1374"/>
        <v>0</v>
      </c>
      <c r="T2254" s="93">
        <f t="shared" si="1370"/>
        <v>0</v>
      </c>
      <c r="U2254" s="95">
        <f t="shared" si="1366"/>
        <v>0</v>
      </c>
      <c r="V2254" s="94"/>
      <c r="W2254" s="96" t="str">
        <f>IF(U2249&gt;0,"xx",IF(P2249&gt;0,"xy",""))</f>
        <v/>
      </c>
      <c r="X2254" s="580" t="str">
        <f t="shared" si="1378"/>
        <v/>
      </c>
      <c r="Y2254" s="580" t="str">
        <f t="shared" si="1361"/>
        <v/>
      </c>
      <c r="Z2254" s="580" t="str">
        <f t="shared" si="1365"/>
        <v/>
      </c>
    </row>
    <row r="2255" spans="1:26" hidden="1" x14ac:dyDescent="0.2">
      <c r="A2255" s="97" t="s">
        <v>121</v>
      </c>
      <c r="B2255" s="1031" t="s">
        <v>121</v>
      </c>
      <c r="C2255" s="978" t="s">
        <v>212</v>
      </c>
      <c r="D2255" s="595" t="s">
        <v>108</v>
      </c>
      <c r="E2255" s="596"/>
      <c r="F2255" s="671"/>
      <c r="G2255" s="597"/>
      <c r="H2255" s="682">
        <f>SUM(H2256:H2260)</f>
        <v>475.72398910999993</v>
      </c>
      <c r="I2255" s="592">
        <f>VLOOKUP(D2255,'ENSAIOS DE ORÇAMENTO'!$C$3:$L$79,8,FALSE)</f>
        <v>5432.9844219999995</v>
      </c>
      <c r="J2255" s="592">
        <f t="shared" ref="J2255" si="1380">IF(ISBLANK(I2255),"",SUM(H2255:I2255))</f>
        <v>5908.7084111099994</v>
      </c>
      <c r="K2255" s="593">
        <f t="shared" si="1379"/>
        <v>7191.49</v>
      </c>
      <c r="L2255" s="594" t="s">
        <v>21</v>
      </c>
      <c r="M2255" s="92"/>
      <c r="N2255" s="92"/>
      <c r="O2255" s="93">
        <f t="shared" si="1368"/>
        <v>0</v>
      </c>
      <c r="P2255" s="93">
        <f t="shared" si="1369"/>
        <v>0</v>
      </c>
      <c r="Q2255" s="94"/>
      <c r="R2255" s="92">
        <f t="shared" si="1374"/>
        <v>0</v>
      </c>
      <c r="S2255" s="92">
        <f t="shared" si="1374"/>
        <v>0</v>
      </c>
      <c r="T2255" s="93">
        <f t="shared" si="1370"/>
        <v>0</v>
      </c>
      <c r="U2255" s="95">
        <f t="shared" si="1366"/>
        <v>0</v>
      </c>
      <c r="V2255" s="94"/>
      <c r="X2255" s="580" t="str">
        <f t="shared" si="1378"/>
        <v/>
      </c>
      <c r="Y2255" s="580" t="str">
        <f t="shared" si="1361"/>
        <v/>
      </c>
      <c r="Z2255" s="580" t="str">
        <f t="shared" si="1365"/>
        <v/>
      </c>
    </row>
    <row r="2256" spans="1:26" hidden="1" x14ac:dyDescent="0.2">
      <c r="A2256" s="97" t="s">
        <v>165</v>
      </c>
      <c r="B2256" s="1031" t="s">
        <v>165</v>
      </c>
      <c r="C2256" s="978"/>
      <c r="D2256" s="595" t="s">
        <v>218</v>
      </c>
      <c r="E2256" s="596"/>
      <c r="F2256" s="671">
        <v>500</v>
      </c>
      <c r="G2256" s="597">
        <f>VLOOKUP(D2255,'ENSAIOS DE ORÇAMENTO'!$C$3:$L$79,4,FALSE)</f>
        <v>0.81544199999999989</v>
      </c>
      <c r="H2256" s="682">
        <f>IF(F2256&lt;=30,(0.51*F2256+4.28)*G2256,((0.51*30+4.28)+0.42*(F2256-30))*G2256)</f>
        <v>176.93460515999999</v>
      </c>
      <c r="I2256" s="592"/>
      <c r="J2256" s="592"/>
      <c r="K2256" s="593">
        <f t="shared" si="1379"/>
        <v>0</v>
      </c>
      <c r="L2256" s="594"/>
      <c r="M2256" s="92"/>
      <c r="N2256" s="92"/>
      <c r="O2256" s="93">
        <f t="shared" si="1368"/>
        <v>0</v>
      </c>
      <c r="P2256" s="93">
        <f t="shared" si="1369"/>
        <v>0</v>
      </c>
      <c r="Q2256" s="94"/>
      <c r="R2256" s="92">
        <f t="shared" si="1374"/>
        <v>0</v>
      </c>
      <c r="S2256" s="92">
        <f t="shared" si="1374"/>
        <v>0</v>
      </c>
      <c r="T2256" s="93">
        <f t="shared" si="1370"/>
        <v>0</v>
      </c>
      <c r="U2256" s="95">
        <f t="shared" si="1366"/>
        <v>0</v>
      </c>
      <c r="V2256" s="94"/>
      <c r="W2256" s="96" t="str">
        <f>IF(U2255&gt;0,"xx",IF(P2255&gt;0,"xy",""))</f>
        <v/>
      </c>
      <c r="X2256" s="580" t="str">
        <f t="shared" si="1378"/>
        <v/>
      </c>
      <c r="Y2256" s="580" t="str">
        <f t="shared" si="1361"/>
        <v/>
      </c>
      <c r="Z2256" s="580" t="str">
        <f t="shared" si="1365"/>
        <v/>
      </c>
    </row>
    <row r="2257" spans="1:26" hidden="1" x14ac:dyDescent="0.2">
      <c r="A2257" s="97" t="s">
        <v>165</v>
      </c>
      <c r="B2257" s="1031" t="s">
        <v>165</v>
      </c>
      <c r="C2257" s="978"/>
      <c r="D2257" s="595" t="s">
        <v>257</v>
      </c>
      <c r="E2257" s="596"/>
      <c r="F2257" s="671">
        <v>180</v>
      </c>
      <c r="G2257" s="597">
        <f>VLOOKUP(D2255,'ENSAIOS DE ORÇAMENTO'!$C$3:$L$79,5,FALSE)</f>
        <v>2.3351569999999997</v>
      </c>
      <c r="H2257" s="682">
        <f>IF(F2257=0,0,IF(F2257&lt;=30,(0.7*F2257+1.45)*G2257,((0.7*30+1.45)+0.58*(F2257-30))*G2257))</f>
        <v>255.58293364999997</v>
      </c>
      <c r="I2257" s="592"/>
      <c r="J2257" s="592"/>
      <c r="K2257" s="593">
        <f t="shared" si="1379"/>
        <v>0</v>
      </c>
      <c r="L2257" s="594"/>
      <c r="M2257" s="92"/>
      <c r="N2257" s="92"/>
      <c r="O2257" s="93">
        <f t="shared" si="1368"/>
        <v>0</v>
      </c>
      <c r="P2257" s="93">
        <f t="shared" si="1369"/>
        <v>0</v>
      </c>
      <c r="Q2257" s="94"/>
      <c r="R2257" s="92">
        <f t="shared" si="1374"/>
        <v>0</v>
      </c>
      <c r="S2257" s="92">
        <f t="shared" si="1374"/>
        <v>0</v>
      </c>
      <c r="T2257" s="93">
        <f t="shared" si="1370"/>
        <v>0</v>
      </c>
      <c r="U2257" s="95">
        <f t="shared" si="1366"/>
        <v>0</v>
      </c>
      <c r="V2257" s="94"/>
      <c r="W2257" s="96" t="str">
        <f>IF(U2255&gt;0,"xx",IF(P2255&gt;0,"xy",""))</f>
        <v/>
      </c>
      <c r="X2257" s="580" t="str">
        <f t="shared" si="1378"/>
        <v/>
      </c>
      <c r="Y2257" s="580" t="str">
        <f t="shared" ref="Y2257:Y2320" si="1381">IF(W2257="X","x",IF(W2257="y","x",IF(W2257="xx","x",IF(U2257&gt;0,"x",""))))</f>
        <v/>
      </c>
      <c r="Z2257" s="580" t="str">
        <f t="shared" si="1365"/>
        <v/>
      </c>
    </row>
    <row r="2258" spans="1:26" hidden="1" x14ac:dyDescent="0.2">
      <c r="A2258" s="97" t="s">
        <v>165</v>
      </c>
      <c r="B2258" s="1031" t="s">
        <v>165</v>
      </c>
      <c r="C2258" s="978"/>
      <c r="D2258" s="595" t="s">
        <v>261</v>
      </c>
      <c r="E2258" s="596"/>
      <c r="F2258" s="671">
        <v>20</v>
      </c>
      <c r="G2258" s="597">
        <f>VLOOKUP(D2255,'ENSAIOS DE ORÇAMENTO'!$C$3:$L$79,6,FALSE)</f>
        <v>2.7965340000000003</v>
      </c>
      <c r="H2258" s="682">
        <f>IF(F2258=0,0,IF(F2258&lt;=30,(0.7*F2258+1.45)*G2258,((0.7*30+1.45)+0.58*(F2258-30))*G2258))</f>
        <v>43.2064503</v>
      </c>
      <c r="I2258" s="592"/>
      <c r="J2258" s="592"/>
      <c r="K2258" s="593">
        <f t="shared" si="1379"/>
        <v>0</v>
      </c>
      <c r="L2258" s="594"/>
      <c r="M2258" s="92"/>
      <c r="N2258" s="92"/>
      <c r="O2258" s="93">
        <f t="shared" si="1368"/>
        <v>0</v>
      </c>
      <c r="P2258" s="93">
        <f t="shared" si="1369"/>
        <v>0</v>
      </c>
      <c r="Q2258" s="94"/>
      <c r="R2258" s="92">
        <f t="shared" si="1374"/>
        <v>0</v>
      </c>
      <c r="S2258" s="92">
        <f t="shared" si="1374"/>
        <v>0</v>
      </c>
      <c r="T2258" s="93">
        <f t="shared" si="1370"/>
        <v>0</v>
      </c>
      <c r="U2258" s="95">
        <f t="shared" si="1366"/>
        <v>0</v>
      </c>
      <c r="V2258" s="94"/>
      <c r="W2258" s="96" t="str">
        <f>IF(U2255&gt;0,"xx",IF(P2255&gt;0,"xy",""))</f>
        <v/>
      </c>
      <c r="X2258" s="580" t="str">
        <f t="shared" si="1378"/>
        <v/>
      </c>
      <c r="Y2258" s="580" t="str">
        <f t="shared" si="1381"/>
        <v/>
      </c>
      <c r="Z2258" s="580" t="str">
        <f t="shared" si="1365"/>
        <v/>
      </c>
    </row>
    <row r="2259" spans="1:26" hidden="1" x14ac:dyDescent="0.2">
      <c r="A2259" s="97" t="s">
        <v>165</v>
      </c>
      <c r="B2259" s="1031" t="s">
        <v>165</v>
      </c>
      <c r="C2259" s="978"/>
      <c r="D2259" s="595" t="s">
        <v>419</v>
      </c>
      <c r="E2259" s="596"/>
      <c r="F2259" s="671">
        <v>30</v>
      </c>
      <c r="G2259" s="597">
        <f>VLOOKUP(D2255,'ENSAIOS DE ORÇAMENTO'!$C$3:$L$79,3,FALSE)</f>
        <v>0</v>
      </c>
      <c r="H2259" s="682">
        <f>IF(F2259=0,0,IF(F2259&lt;=30,(0.7*F2259+1.45)*G2259,((0.7*30+1.45)+0.58*(F2259-30))*G2259))</f>
        <v>0</v>
      </c>
      <c r="I2259" s="592"/>
      <c r="J2259" s="592"/>
      <c r="K2259" s="593">
        <f t="shared" si="1379"/>
        <v>0</v>
      </c>
      <c r="L2259" s="594"/>
      <c r="M2259" s="92"/>
      <c r="N2259" s="92"/>
      <c r="O2259" s="93">
        <f t="shared" si="1368"/>
        <v>0</v>
      </c>
      <c r="P2259" s="93">
        <f t="shared" si="1369"/>
        <v>0</v>
      </c>
      <c r="Q2259" s="94"/>
      <c r="R2259" s="92">
        <f t="shared" si="1374"/>
        <v>0</v>
      </c>
      <c r="S2259" s="92">
        <f t="shared" si="1374"/>
        <v>0</v>
      </c>
      <c r="T2259" s="93">
        <f t="shared" si="1370"/>
        <v>0</v>
      </c>
      <c r="U2259" s="95">
        <f t="shared" si="1366"/>
        <v>0</v>
      </c>
      <c r="V2259" s="94"/>
      <c r="W2259" s="96" t="str">
        <f>IF(U2255&gt;0,"xx",IF(P2255&gt;0,"xy",""))</f>
        <v/>
      </c>
      <c r="X2259" s="580" t="str">
        <f t="shared" si="1378"/>
        <v/>
      </c>
      <c r="Y2259" s="580" t="str">
        <f t="shared" si="1381"/>
        <v/>
      </c>
      <c r="Z2259" s="580" t="str">
        <f t="shared" si="1365"/>
        <v/>
      </c>
    </row>
    <row r="2260" spans="1:26" hidden="1" x14ac:dyDescent="0.2">
      <c r="A2260" s="97" t="s">
        <v>165</v>
      </c>
      <c r="B2260" s="1031" t="s">
        <v>165</v>
      </c>
      <c r="C2260" s="978"/>
      <c r="D2260" s="595" t="s">
        <v>420</v>
      </c>
      <c r="E2260" s="596"/>
      <c r="F2260" s="671">
        <v>500</v>
      </c>
      <c r="G2260" s="597">
        <f>VLOOKUP(D2255,'ENSAIOS DE ORÇAMENTO'!$C$3:$L$79,10,FALSE)</f>
        <v>0</v>
      </c>
      <c r="H2260" s="682">
        <f>IF(F2260=0,0,IF(F2260&lt;=30,(0.7*F2260+1.45)*G2260,((0.7*30+1.45)+0.58*(F2260-30))*G2260))</f>
        <v>0</v>
      </c>
      <c r="I2260" s="592"/>
      <c r="J2260" s="592"/>
      <c r="K2260" s="593">
        <f t="shared" si="1379"/>
        <v>0</v>
      </c>
      <c r="L2260" s="594"/>
      <c r="M2260" s="92"/>
      <c r="N2260" s="92"/>
      <c r="O2260" s="93">
        <f t="shared" si="1368"/>
        <v>0</v>
      </c>
      <c r="P2260" s="93">
        <f t="shared" si="1369"/>
        <v>0</v>
      </c>
      <c r="Q2260" s="94"/>
      <c r="R2260" s="92">
        <f t="shared" si="1374"/>
        <v>0</v>
      </c>
      <c r="S2260" s="92">
        <f t="shared" si="1374"/>
        <v>0</v>
      </c>
      <c r="T2260" s="93">
        <f t="shared" si="1370"/>
        <v>0</v>
      </c>
      <c r="U2260" s="95">
        <f t="shared" si="1366"/>
        <v>0</v>
      </c>
      <c r="V2260" s="94"/>
      <c r="W2260" s="96" t="str">
        <f>IF(U2255&gt;0,"xx",IF(P2255&gt;0,"xy",""))</f>
        <v/>
      </c>
      <c r="X2260" s="580" t="str">
        <f t="shared" si="1378"/>
        <v/>
      </c>
      <c r="Y2260" s="580" t="str">
        <f t="shared" si="1381"/>
        <v/>
      </c>
      <c r="Z2260" s="580" t="str">
        <f t="shared" si="1365"/>
        <v/>
      </c>
    </row>
    <row r="2261" spans="1:26" hidden="1" x14ac:dyDescent="0.2">
      <c r="A2261" s="97" t="s">
        <v>122</v>
      </c>
      <c r="B2261" s="1031" t="s">
        <v>122</v>
      </c>
      <c r="C2261" s="978" t="s">
        <v>212</v>
      </c>
      <c r="D2261" s="595" t="s">
        <v>96</v>
      </c>
      <c r="E2261" s="596"/>
      <c r="F2261" s="671"/>
      <c r="G2261" s="597"/>
      <c r="H2261" s="682">
        <f>SUM(H2262:H2266)</f>
        <v>71.457654878080007</v>
      </c>
      <c r="I2261" s="592">
        <f>VLOOKUP(D2261,'ENSAIOS DE ORÇAMENTO'!$C$3:$L$79,8,FALSE)</f>
        <v>399.28746636799997</v>
      </c>
      <c r="J2261" s="592">
        <f t="shared" ref="J2261" si="1382">IF(ISBLANK(I2261),"",SUM(H2261:I2261))</f>
        <v>470.74512124607998</v>
      </c>
      <c r="K2261" s="593">
        <f t="shared" si="1379"/>
        <v>572.94000000000005</v>
      </c>
      <c r="L2261" s="594" t="s">
        <v>21</v>
      </c>
      <c r="M2261" s="92"/>
      <c r="N2261" s="92"/>
      <c r="O2261" s="93">
        <f t="shared" si="1368"/>
        <v>0</v>
      </c>
      <c r="P2261" s="93">
        <f t="shared" si="1369"/>
        <v>0</v>
      </c>
      <c r="Q2261" s="94"/>
      <c r="R2261" s="92">
        <f t="shared" si="1374"/>
        <v>0</v>
      </c>
      <c r="S2261" s="92">
        <f t="shared" si="1374"/>
        <v>0</v>
      </c>
      <c r="T2261" s="93">
        <f t="shared" si="1370"/>
        <v>0</v>
      </c>
      <c r="U2261" s="95">
        <f t="shared" si="1366"/>
        <v>0</v>
      </c>
      <c r="V2261" s="94"/>
      <c r="X2261" s="580" t="str">
        <f t="shared" si="1378"/>
        <v/>
      </c>
      <c r="Y2261" s="580" t="str">
        <f t="shared" si="1381"/>
        <v/>
      </c>
      <c r="Z2261" s="580" t="str">
        <f t="shared" si="1365"/>
        <v/>
      </c>
    </row>
    <row r="2262" spans="1:26" hidden="1" x14ac:dyDescent="0.2">
      <c r="A2262" s="97" t="s">
        <v>165</v>
      </c>
      <c r="B2262" s="1031" t="s">
        <v>165</v>
      </c>
      <c r="C2262" s="978"/>
      <c r="D2262" s="595" t="s">
        <v>218</v>
      </c>
      <c r="E2262" s="596"/>
      <c r="F2262" s="671">
        <v>500</v>
      </c>
      <c r="G2262" s="597">
        <f>VLOOKUP(D2261,'ENSAIOS DE ORÇAMENTO'!$C$3:$L$79,4,FALSE)</f>
        <v>9.9453823999999996E-2</v>
      </c>
      <c r="H2262" s="682">
        <f>IF(F2262&lt;=30,(0.51*F2262+4.28)*G2262,((0.51*30+4.28)+0.42*(F2262-30))*G2262)</f>
        <v>21.57949073152</v>
      </c>
      <c r="I2262" s="592"/>
      <c r="J2262" s="592"/>
      <c r="K2262" s="593">
        <f t="shared" si="1379"/>
        <v>0</v>
      </c>
      <c r="L2262" s="594"/>
      <c r="M2262" s="92"/>
      <c r="N2262" s="92"/>
      <c r="O2262" s="93">
        <f t="shared" si="1368"/>
        <v>0</v>
      </c>
      <c r="P2262" s="93">
        <f t="shared" si="1369"/>
        <v>0</v>
      </c>
      <c r="Q2262" s="94"/>
      <c r="R2262" s="92">
        <f t="shared" si="1374"/>
        <v>0</v>
      </c>
      <c r="S2262" s="92">
        <f t="shared" si="1374"/>
        <v>0</v>
      </c>
      <c r="T2262" s="93">
        <f t="shared" si="1370"/>
        <v>0</v>
      </c>
      <c r="U2262" s="95">
        <f t="shared" si="1366"/>
        <v>0</v>
      </c>
      <c r="V2262" s="94"/>
      <c r="W2262" s="96" t="str">
        <f>IF(U2261&gt;0,"xx",IF(P2261&gt;0,"xy",""))</f>
        <v/>
      </c>
      <c r="X2262" s="580" t="str">
        <f t="shared" si="1378"/>
        <v/>
      </c>
      <c r="Y2262" s="580" t="str">
        <f t="shared" si="1381"/>
        <v/>
      </c>
      <c r="Z2262" s="580" t="str">
        <f t="shared" si="1365"/>
        <v/>
      </c>
    </row>
    <row r="2263" spans="1:26" hidden="1" x14ac:dyDescent="0.2">
      <c r="A2263" s="97" t="s">
        <v>165</v>
      </c>
      <c r="B2263" s="1031" t="s">
        <v>165</v>
      </c>
      <c r="C2263" s="978"/>
      <c r="D2263" s="595" t="s">
        <v>257</v>
      </c>
      <c r="E2263" s="596"/>
      <c r="F2263" s="671">
        <v>180</v>
      </c>
      <c r="G2263" s="597">
        <f>VLOOKUP(D2261,'ENSAIOS DE ORÇAMENTO'!$C$3:$L$79,5,FALSE)</f>
        <v>0.3618486528</v>
      </c>
      <c r="H2263" s="682">
        <f>IF(F2263=0,0,IF(F2263&lt;=30,(0.7*F2263+1.45)*G2263,((0.7*30+1.45)+0.58*(F2263-30))*G2263))</f>
        <v>39.604335048960003</v>
      </c>
      <c r="I2263" s="592"/>
      <c r="J2263" s="592"/>
      <c r="K2263" s="593">
        <f t="shared" si="1379"/>
        <v>0</v>
      </c>
      <c r="L2263" s="594"/>
      <c r="M2263" s="92"/>
      <c r="N2263" s="92"/>
      <c r="O2263" s="93">
        <f t="shared" si="1368"/>
        <v>0</v>
      </c>
      <c r="P2263" s="93">
        <f t="shared" si="1369"/>
        <v>0</v>
      </c>
      <c r="Q2263" s="94"/>
      <c r="R2263" s="92">
        <f t="shared" si="1374"/>
        <v>0</v>
      </c>
      <c r="S2263" s="92">
        <f t="shared" si="1374"/>
        <v>0</v>
      </c>
      <c r="T2263" s="93">
        <f t="shared" si="1370"/>
        <v>0</v>
      </c>
      <c r="U2263" s="95">
        <f t="shared" si="1366"/>
        <v>0</v>
      </c>
      <c r="V2263" s="94"/>
      <c r="W2263" s="96" t="str">
        <f>IF(U2261&gt;0,"xx",IF(P2261&gt;0,"xy",""))</f>
        <v/>
      </c>
      <c r="X2263" s="580" t="str">
        <f t="shared" si="1378"/>
        <v/>
      </c>
      <c r="Y2263" s="580" t="str">
        <f t="shared" si="1381"/>
        <v/>
      </c>
      <c r="Z2263" s="580" t="str">
        <f t="shared" ref="Z2263:Z2326" si="1383">IF(W2263="X","x",IF(U2263&gt;0,"x",""))</f>
        <v/>
      </c>
    </row>
    <row r="2264" spans="1:26" hidden="1" x14ac:dyDescent="0.2">
      <c r="A2264" s="97" t="s">
        <v>165</v>
      </c>
      <c r="B2264" s="1031" t="s">
        <v>165</v>
      </c>
      <c r="C2264" s="978"/>
      <c r="D2264" s="595" t="s">
        <v>261</v>
      </c>
      <c r="E2264" s="596"/>
      <c r="F2264" s="671">
        <v>20</v>
      </c>
      <c r="G2264" s="597">
        <f>VLOOKUP(D2261,'ENSAIOS DE ORÇAMENTO'!$C$3:$L$79,6,FALSE)</f>
        <v>0.308576448</v>
      </c>
      <c r="H2264" s="682">
        <f>IF(F2264=0,0,IF(F2264&lt;=30,(0.7*F2264+1.45)*G2264,((0.7*30+1.45)+0.58*(F2264-30))*G2264))</f>
        <v>4.7675061215999994</v>
      </c>
      <c r="I2264" s="592"/>
      <c r="J2264" s="592"/>
      <c r="K2264" s="593">
        <f t="shared" si="1379"/>
        <v>0</v>
      </c>
      <c r="L2264" s="594"/>
      <c r="M2264" s="92"/>
      <c r="N2264" s="92"/>
      <c r="O2264" s="93">
        <f t="shared" si="1368"/>
        <v>0</v>
      </c>
      <c r="P2264" s="93">
        <f t="shared" si="1369"/>
        <v>0</v>
      </c>
      <c r="Q2264" s="94"/>
      <c r="R2264" s="92">
        <f t="shared" si="1374"/>
        <v>0</v>
      </c>
      <c r="S2264" s="92">
        <f t="shared" si="1374"/>
        <v>0</v>
      </c>
      <c r="T2264" s="93">
        <f t="shared" si="1370"/>
        <v>0</v>
      </c>
      <c r="U2264" s="95">
        <f t="shared" si="1366"/>
        <v>0</v>
      </c>
      <c r="V2264" s="94"/>
      <c r="W2264" s="96" t="str">
        <f>IF(U2261&gt;0,"xx",IF(P2261&gt;0,"xy",""))</f>
        <v/>
      </c>
      <c r="X2264" s="580" t="str">
        <f t="shared" si="1378"/>
        <v/>
      </c>
      <c r="Y2264" s="580" t="str">
        <f t="shared" si="1381"/>
        <v/>
      </c>
      <c r="Z2264" s="580" t="str">
        <f t="shared" si="1383"/>
        <v/>
      </c>
    </row>
    <row r="2265" spans="1:26" hidden="1" x14ac:dyDescent="0.2">
      <c r="A2265" s="97" t="s">
        <v>165</v>
      </c>
      <c r="B2265" s="1031" t="s">
        <v>165</v>
      </c>
      <c r="C2265" s="978"/>
      <c r="D2265" s="595" t="s">
        <v>419</v>
      </c>
      <c r="E2265" s="596"/>
      <c r="F2265" s="671">
        <v>30</v>
      </c>
      <c r="G2265" s="597">
        <f>VLOOKUP(D2261,'ENSAIOS DE ORÇAMENTO'!$C$3:$L$79,3,FALSE)</f>
        <v>0.17055359999999997</v>
      </c>
      <c r="H2265" s="682">
        <f>IF(F2265=0,0,IF(F2265&lt;=30,(0.7*F2265+1.45)*G2265,((0.7*30+1.45)+0.58*(F2265-30))*G2265))</f>
        <v>3.8289283199999993</v>
      </c>
      <c r="I2265" s="592"/>
      <c r="J2265" s="592"/>
      <c r="K2265" s="593">
        <f t="shared" si="1379"/>
        <v>0</v>
      </c>
      <c r="L2265" s="594"/>
      <c r="M2265" s="92"/>
      <c r="N2265" s="92"/>
      <c r="O2265" s="93">
        <f t="shared" si="1368"/>
        <v>0</v>
      </c>
      <c r="P2265" s="93">
        <f t="shared" si="1369"/>
        <v>0</v>
      </c>
      <c r="Q2265" s="94"/>
      <c r="R2265" s="92">
        <f t="shared" si="1374"/>
        <v>0</v>
      </c>
      <c r="S2265" s="92">
        <f t="shared" si="1374"/>
        <v>0</v>
      </c>
      <c r="T2265" s="93">
        <f t="shared" si="1370"/>
        <v>0</v>
      </c>
      <c r="U2265" s="95">
        <f t="shared" si="1366"/>
        <v>0</v>
      </c>
      <c r="V2265" s="94"/>
      <c r="W2265" s="96" t="str">
        <f>IF(U2261&gt;0,"xx",IF(P2261&gt;0,"xy",""))</f>
        <v/>
      </c>
      <c r="X2265" s="580" t="str">
        <f t="shared" si="1378"/>
        <v/>
      </c>
      <c r="Y2265" s="580" t="str">
        <f t="shared" si="1381"/>
        <v/>
      </c>
      <c r="Z2265" s="580" t="str">
        <f t="shared" si="1383"/>
        <v/>
      </c>
    </row>
    <row r="2266" spans="1:26" hidden="1" x14ac:dyDescent="0.2">
      <c r="A2266" s="97" t="s">
        <v>165</v>
      </c>
      <c r="B2266" s="1031" t="s">
        <v>165</v>
      </c>
      <c r="C2266" s="978"/>
      <c r="D2266" s="595" t="s">
        <v>420</v>
      </c>
      <c r="E2266" s="596"/>
      <c r="F2266" s="671">
        <v>500</v>
      </c>
      <c r="G2266" s="597">
        <f>VLOOKUP(D2261,'ENSAIOS DE ORÇAMENTO'!$C$3:$L$79,10,FALSE)</f>
        <v>5.6851199999999992E-3</v>
      </c>
      <c r="H2266" s="682">
        <f>IF(F2266=0,0,IF(F2266&lt;=30,(0.7*F2266+1.45)*G2266,((0.7*30+1.45)+0.58*(F2266-30))*G2266))</f>
        <v>1.6773946559999995</v>
      </c>
      <c r="I2266" s="592"/>
      <c r="J2266" s="592"/>
      <c r="K2266" s="593">
        <f t="shared" si="1379"/>
        <v>0</v>
      </c>
      <c r="L2266" s="594"/>
      <c r="M2266" s="92"/>
      <c r="N2266" s="92"/>
      <c r="O2266" s="93">
        <f t="shared" si="1368"/>
        <v>0</v>
      </c>
      <c r="P2266" s="93">
        <f t="shared" si="1369"/>
        <v>0</v>
      </c>
      <c r="Q2266" s="94"/>
      <c r="R2266" s="92">
        <f t="shared" si="1374"/>
        <v>0</v>
      </c>
      <c r="S2266" s="92">
        <f t="shared" si="1374"/>
        <v>0</v>
      </c>
      <c r="T2266" s="93">
        <f t="shared" si="1370"/>
        <v>0</v>
      </c>
      <c r="U2266" s="95">
        <f t="shared" si="1366"/>
        <v>0</v>
      </c>
      <c r="V2266" s="94"/>
      <c r="W2266" s="96" t="str">
        <f>IF(U2261&gt;0,"xx",IF(P2261&gt;0,"xy",""))</f>
        <v/>
      </c>
      <c r="X2266" s="580" t="str">
        <f t="shared" si="1378"/>
        <v/>
      </c>
      <c r="Y2266" s="580" t="str">
        <f t="shared" si="1381"/>
        <v/>
      </c>
      <c r="Z2266" s="580" t="str">
        <f t="shared" si="1383"/>
        <v/>
      </c>
    </row>
    <row r="2267" spans="1:26" hidden="1" x14ac:dyDescent="0.2">
      <c r="A2267" s="97" t="s">
        <v>36</v>
      </c>
      <c r="B2267" s="1031" t="s">
        <v>36</v>
      </c>
      <c r="C2267" s="978" t="s">
        <v>212</v>
      </c>
      <c r="D2267" s="595" t="s">
        <v>97</v>
      </c>
      <c r="E2267" s="596"/>
      <c r="F2267" s="671"/>
      <c r="G2267" s="597"/>
      <c r="H2267" s="682">
        <f>SUM(H2268:H2272)</f>
        <v>105.5273591464</v>
      </c>
      <c r="I2267" s="592">
        <f>VLOOKUP(D2267,'ENSAIOS DE ORÇAMENTO'!$C$3:$L$79,8,FALSE)</f>
        <v>607.73563376000004</v>
      </c>
      <c r="J2267" s="592">
        <f t="shared" ref="J2267" si="1384">IF(ISBLANK(I2267),"",SUM(H2267:I2267))</f>
        <v>713.26299290640009</v>
      </c>
      <c r="K2267" s="593">
        <f t="shared" si="1379"/>
        <v>868.11</v>
      </c>
      <c r="L2267" s="594" t="s">
        <v>21</v>
      </c>
      <c r="M2267" s="92"/>
      <c r="N2267" s="92"/>
      <c r="O2267" s="93">
        <f t="shared" si="1368"/>
        <v>0</v>
      </c>
      <c r="P2267" s="93">
        <f t="shared" si="1369"/>
        <v>0</v>
      </c>
      <c r="Q2267" s="94"/>
      <c r="R2267" s="92">
        <f t="shared" si="1374"/>
        <v>0</v>
      </c>
      <c r="S2267" s="92">
        <f t="shared" si="1374"/>
        <v>0</v>
      </c>
      <c r="T2267" s="93">
        <f t="shared" si="1370"/>
        <v>0</v>
      </c>
      <c r="U2267" s="95">
        <f t="shared" si="1366"/>
        <v>0</v>
      </c>
      <c r="V2267" s="94"/>
      <c r="X2267" s="580" t="str">
        <f t="shared" si="1378"/>
        <v/>
      </c>
      <c r="Y2267" s="580" t="str">
        <f t="shared" si="1381"/>
        <v/>
      </c>
      <c r="Z2267" s="580" t="str">
        <f t="shared" si="1383"/>
        <v/>
      </c>
    </row>
    <row r="2268" spans="1:26" hidden="1" x14ac:dyDescent="0.2">
      <c r="A2268" s="97" t="s">
        <v>165</v>
      </c>
      <c r="B2268" s="1031" t="s">
        <v>165</v>
      </c>
      <c r="C2268" s="978"/>
      <c r="D2268" s="595" t="s">
        <v>218</v>
      </c>
      <c r="E2268" s="596"/>
      <c r="F2268" s="671">
        <v>500</v>
      </c>
      <c r="G2268" s="597">
        <f>VLOOKUP(D2267,'ENSAIOS DE ORÇAMENTO'!$C$3:$L$79,4,FALSE)</f>
        <v>0.14735024000000002</v>
      </c>
      <c r="H2268" s="682">
        <f>IF(F2268&lt;=30,(0.51*F2268+4.28)*G2268,((0.51*30+4.28)+0.42*(F2268-30))*G2268)</f>
        <v>31.972055075200007</v>
      </c>
      <c r="I2268" s="592"/>
      <c r="J2268" s="592"/>
      <c r="K2268" s="593">
        <f t="shared" si="1379"/>
        <v>0</v>
      </c>
      <c r="L2268" s="594"/>
      <c r="M2268" s="92"/>
      <c r="N2268" s="92"/>
      <c r="O2268" s="93">
        <f t="shared" si="1368"/>
        <v>0</v>
      </c>
      <c r="P2268" s="93">
        <f t="shared" si="1369"/>
        <v>0</v>
      </c>
      <c r="Q2268" s="94"/>
      <c r="R2268" s="92">
        <f t="shared" si="1374"/>
        <v>0</v>
      </c>
      <c r="S2268" s="92">
        <f t="shared" si="1374"/>
        <v>0</v>
      </c>
      <c r="T2268" s="93">
        <f t="shared" si="1370"/>
        <v>0</v>
      </c>
      <c r="U2268" s="95">
        <f t="shared" si="1366"/>
        <v>0</v>
      </c>
      <c r="V2268" s="94"/>
      <c r="W2268" s="96" t="str">
        <f>IF(U2267&gt;0,"xx",IF(P2267&gt;0,"xy",""))</f>
        <v/>
      </c>
      <c r="X2268" s="580" t="str">
        <f t="shared" si="1378"/>
        <v/>
      </c>
      <c r="Y2268" s="580" t="str">
        <f t="shared" si="1381"/>
        <v/>
      </c>
      <c r="Z2268" s="580" t="str">
        <f t="shared" si="1383"/>
        <v/>
      </c>
    </row>
    <row r="2269" spans="1:26" hidden="1" x14ac:dyDescent="0.2">
      <c r="A2269" s="97" t="s">
        <v>165</v>
      </c>
      <c r="B2269" s="1031" t="s">
        <v>165</v>
      </c>
      <c r="C2269" s="978"/>
      <c r="D2269" s="595" t="s">
        <v>257</v>
      </c>
      <c r="E2269" s="596"/>
      <c r="F2269" s="671">
        <v>180</v>
      </c>
      <c r="G2269" s="597">
        <f>VLOOKUP(D2267,'ENSAIOS DE ORÇAMENTO'!$C$3:$L$79,5,FALSE)</f>
        <v>0.52819569600000005</v>
      </c>
      <c r="H2269" s="682">
        <f>IF(F2269=0,0,IF(F2269&lt;=30,(0.7*F2269+1.45)*G2269,((0.7*30+1.45)+0.58*(F2269-30))*G2269))</f>
        <v>57.81101892720001</v>
      </c>
      <c r="I2269" s="592"/>
      <c r="J2269" s="592"/>
      <c r="K2269" s="593">
        <f t="shared" si="1379"/>
        <v>0</v>
      </c>
      <c r="L2269" s="594"/>
      <c r="M2269" s="92"/>
      <c r="N2269" s="92"/>
      <c r="O2269" s="93">
        <f t="shared" si="1368"/>
        <v>0</v>
      </c>
      <c r="P2269" s="93">
        <f t="shared" si="1369"/>
        <v>0</v>
      </c>
      <c r="Q2269" s="94"/>
      <c r="R2269" s="92">
        <f t="shared" si="1374"/>
        <v>0</v>
      </c>
      <c r="S2269" s="92">
        <f t="shared" si="1374"/>
        <v>0</v>
      </c>
      <c r="T2269" s="93">
        <f t="shared" si="1370"/>
        <v>0</v>
      </c>
      <c r="U2269" s="95">
        <f t="shared" si="1366"/>
        <v>0</v>
      </c>
      <c r="V2269" s="94"/>
      <c r="W2269" s="96" t="str">
        <f>IF(U2267&gt;0,"xx",IF(P2267&gt;0,"xy",""))</f>
        <v/>
      </c>
      <c r="X2269" s="580" t="str">
        <f t="shared" si="1378"/>
        <v/>
      </c>
      <c r="Y2269" s="580" t="str">
        <f t="shared" si="1381"/>
        <v/>
      </c>
      <c r="Z2269" s="580" t="str">
        <f t="shared" si="1383"/>
        <v/>
      </c>
    </row>
    <row r="2270" spans="1:26" hidden="1" x14ac:dyDescent="0.2">
      <c r="A2270" s="97" t="s">
        <v>165</v>
      </c>
      <c r="B2270" s="1031" t="s">
        <v>165</v>
      </c>
      <c r="C2270" s="978"/>
      <c r="D2270" s="595" t="s">
        <v>261</v>
      </c>
      <c r="E2270" s="596"/>
      <c r="F2270" s="671">
        <v>20</v>
      </c>
      <c r="G2270" s="597">
        <f>VLOOKUP(D2267,'ENSAIOS DE ORÇAMENTO'!$C$3:$L$79,6,FALSE)</f>
        <v>0.43353936000000004</v>
      </c>
      <c r="H2270" s="682">
        <f>IF(F2270=0,0,IF(F2270&lt;=30,(0.7*F2270+1.45)*G2270,((0.7*30+1.45)+0.58*(F2270-30))*G2270))</f>
        <v>6.6981831120000006</v>
      </c>
      <c r="I2270" s="592"/>
      <c r="J2270" s="592"/>
      <c r="K2270" s="593">
        <f t="shared" si="1379"/>
        <v>0</v>
      </c>
      <c r="L2270" s="594"/>
      <c r="M2270" s="92"/>
      <c r="N2270" s="92"/>
      <c r="O2270" s="93">
        <f t="shared" si="1368"/>
        <v>0</v>
      </c>
      <c r="P2270" s="93">
        <f t="shared" si="1369"/>
        <v>0</v>
      </c>
      <c r="Q2270" s="94"/>
      <c r="R2270" s="92">
        <f t="shared" si="1374"/>
        <v>0</v>
      </c>
      <c r="S2270" s="92">
        <f t="shared" si="1374"/>
        <v>0</v>
      </c>
      <c r="T2270" s="93">
        <f t="shared" si="1370"/>
        <v>0</v>
      </c>
      <c r="U2270" s="95">
        <f t="shared" si="1366"/>
        <v>0</v>
      </c>
      <c r="V2270" s="94"/>
      <c r="W2270" s="96" t="str">
        <f>IF(U2267&gt;0,"xx",IF(P2267&gt;0,"xy",""))</f>
        <v/>
      </c>
      <c r="X2270" s="580" t="str">
        <f t="shared" si="1378"/>
        <v/>
      </c>
      <c r="Y2270" s="580" t="str">
        <f t="shared" si="1381"/>
        <v/>
      </c>
      <c r="Z2270" s="580" t="str">
        <f t="shared" si="1383"/>
        <v/>
      </c>
    </row>
    <row r="2271" spans="1:26" hidden="1" x14ac:dyDescent="0.2">
      <c r="A2271" s="97" t="s">
        <v>165</v>
      </c>
      <c r="B2271" s="1031" t="s">
        <v>165</v>
      </c>
      <c r="C2271" s="978"/>
      <c r="D2271" s="595" t="s">
        <v>419</v>
      </c>
      <c r="E2271" s="596"/>
      <c r="F2271" s="671">
        <v>30</v>
      </c>
      <c r="G2271" s="597">
        <f>VLOOKUP(D2267,'ENSAIOS DE ORÇAMENTO'!$C$3:$L$79,3,FALSE)</f>
        <v>0.28019519999999998</v>
      </c>
      <c r="H2271" s="682">
        <f>IF(F2271=0,0,IF(F2271&lt;=30,(0.7*F2271+1.45)*G2271,((0.7*30+1.45)+0.58*(F2271-30))*G2271))</f>
        <v>6.2903822399999996</v>
      </c>
      <c r="I2271" s="592"/>
      <c r="J2271" s="592"/>
      <c r="K2271" s="593">
        <f t="shared" si="1379"/>
        <v>0</v>
      </c>
      <c r="L2271" s="594"/>
      <c r="M2271" s="92"/>
      <c r="N2271" s="92"/>
      <c r="O2271" s="93">
        <f t="shared" si="1368"/>
        <v>0</v>
      </c>
      <c r="P2271" s="93">
        <f t="shared" si="1369"/>
        <v>0</v>
      </c>
      <c r="Q2271" s="94"/>
      <c r="R2271" s="92">
        <f t="shared" si="1374"/>
        <v>0</v>
      </c>
      <c r="S2271" s="92">
        <f t="shared" si="1374"/>
        <v>0</v>
      </c>
      <c r="T2271" s="93">
        <f t="shared" si="1370"/>
        <v>0</v>
      </c>
      <c r="U2271" s="95">
        <f t="shared" ref="U2271:U2334" si="1385">IF(ISBLANK(R2271),0,ROUND(R2271*S2271,2))</f>
        <v>0</v>
      </c>
      <c r="V2271" s="94"/>
      <c r="W2271" s="96" t="str">
        <f>IF(U2267&gt;0,"xx",IF(P2267&gt;0,"xy",""))</f>
        <v/>
      </c>
      <c r="X2271" s="580" t="str">
        <f t="shared" si="1378"/>
        <v/>
      </c>
      <c r="Y2271" s="580" t="str">
        <f t="shared" si="1381"/>
        <v/>
      </c>
      <c r="Z2271" s="580" t="str">
        <f t="shared" si="1383"/>
        <v/>
      </c>
    </row>
    <row r="2272" spans="1:26" hidden="1" x14ac:dyDescent="0.2">
      <c r="A2272" s="97" t="s">
        <v>165</v>
      </c>
      <c r="B2272" s="1031" t="s">
        <v>165</v>
      </c>
      <c r="C2272" s="978"/>
      <c r="D2272" s="595" t="s">
        <v>420</v>
      </c>
      <c r="E2272" s="596"/>
      <c r="F2272" s="671">
        <v>500</v>
      </c>
      <c r="G2272" s="597">
        <f>VLOOKUP(D2267,'ENSAIOS DE ORÇAMENTO'!$C$3:$L$79,10,FALSE)</f>
        <v>9.3398400000000003E-3</v>
      </c>
      <c r="H2272" s="682">
        <f>IF(F2272=0,0,IF(F2272&lt;=30,(0.7*F2272+1.45)*G2272,((0.7*30+1.45)+0.58*(F2272-30))*G2272))</f>
        <v>2.7557197919999998</v>
      </c>
      <c r="I2272" s="592"/>
      <c r="J2272" s="592"/>
      <c r="K2272" s="593">
        <f t="shared" si="1379"/>
        <v>0</v>
      </c>
      <c r="L2272" s="594"/>
      <c r="M2272" s="92"/>
      <c r="N2272" s="92"/>
      <c r="O2272" s="93">
        <f t="shared" si="1368"/>
        <v>0</v>
      </c>
      <c r="P2272" s="93">
        <f t="shared" si="1369"/>
        <v>0</v>
      </c>
      <c r="Q2272" s="94"/>
      <c r="R2272" s="92">
        <f t="shared" si="1374"/>
        <v>0</v>
      </c>
      <c r="S2272" s="92">
        <f t="shared" si="1374"/>
        <v>0</v>
      </c>
      <c r="T2272" s="93">
        <f t="shared" si="1370"/>
        <v>0</v>
      </c>
      <c r="U2272" s="95">
        <f t="shared" si="1385"/>
        <v>0</v>
      </c>
      <c r="V2272" s="94"/>
      <c r="W2272" s="96" t="str">
        <f>IF(U2267&gt;0,"xx",IF(P2267&gt;0,"xy",""))</f>
        <v/>
      </c>
      <c r="X2272" s="580" t="str">
        <f t="shared" si="1378"/>
        <v/>
      </c>
      <c r="Y2272" s="580" t="str">
        <f t="shared" si="1381"/>
        <v/>
      </c>
      <c r="Z2272" s="580" t="str">
        <f t="shared" si="1383"/>
        <v/>
      </c>
    </row>
    <row r="2273" spans="1:26" hidden="1" x14ac:dyDescent="0.2">
      <c r="A2273" s="97" t="s">
        <v>37</v>
      </c>
      <c r="B2273" s="1031" t="s">
        <v>37</v>
      </c>
      <c r="C2273" s="978" t="s">
        <v>212</v>
      </c>
      <c r="D2273" s="595" t="s">
        <v>73</v>
      </c>
      <c r="E2273" s="596"/>
      <c r="F2273" s="671"/>
      <c r="G2273" s="597"/>
      <c r="H2273" s="682">
        <f>SUM(H2274:H2278)</f>
        <v>193.16039501120002</v>
      </c>
      <c r="I2273" s="592">
        <f>VLOOKUP(D2273,'ENSAIOS DE ORÇAMENTO'!$C$3:$L$79,8,FALSE)</f>
        <v>1110.7009230933334</v>
      </c>
      <c r="J2273" s="592">
        <f t="shared" ref="J2273" si="1386">IF(ISBLANK(I2273),"",SUM(H2273:I2273))</f>
        <v>1303.8613181045334</v>
      </c>
      <c r="K2273" s="593">
        <f t="shared" si="1379"/>
        <v>1586.93</v>
      </c>
      <c r="L2273" s="594" t="s">
        <v>21</v>
      </c>
      <c r="M2273" s="92"/>
      <c r="N2273" s="92"/>
      <c r="O2273" s="93">
        <f t="shared" si="1368"/>
        <v>0</v>
      </c>
      <c r="P2273" s="93">
        <f t="shared" si="1369"/>
        <v>0</v>
      </c>
      <c r="Q2273" s="94"/>
      <c r="R2273" s="92">
        <f t="shared" si="1374"/>
        <v>0</v>
      </c>
      <c r="S2273" s="92">
        <f t="shared" si="1374"/>
        <v>0</v>
      </c>
      <c r="T2273" s="93">
        <f t="shared" si="1370"/>
        <v>0</v>
      </c>
      <c r="U2273" s="95">
        <f t="shared" si="1385"/>
        <v>0</v>
      </c>
      <c r="V2273" s="94"/>
      <c r="X2273" s="580" t="str">
        <f t="shared" si="1378"/>
        <v/>
      </c>
      <c r="Y2273" s="580" t="str">
        <f t="shared" si="1381"/>
        <v/>
      </c>
      <c r="Z2273" s="580" t="str">
        <f t="shared" si="1383"/>
        <v/>
      </c>
    </row>
    <row r="2274" spans="1:26" hidden="1" x14ac:dyDescent="0.2">
      <c r="A2274" s="97" t="s">
        <v>165</v>
      </c>
      <c r="B2274" s="1031" t="s">
        <v>165</v>
      </c>
      <c r="C2274" s="978"/>
      <c r="D2274" s="595" t="s">
        <v>218</v>
      </c>
      <c r="E2274" s="596"/>
      <c r="F2274" s="671">
        <v>500</v>
      </c>
      <c r="G2274" s="597">
        <f>VLOOKUP(D2273,'ENSAIOS DE ORÇAMENTO'!$C$3:$L$79,4,FALSE)</f>
        <v>0.25613760000000002</v>
      </c>
      <c r="H2274" s="682">
        <f>IF(F2274&lt;=30,(0.51*F2274+4.28)*G2274,((0.51*30+4.28)+0.42*(F2274-30))*G2274)</f>
        <v>55.576736448000013</v>
      </c>
      <c r="I2274" s="592"/>
      <c r="J2274" s="592"/>
      <c r="K2274" s="593">
        <f t="shared" si="1379"/>
        <v>0</v>
      </c>
      <c r="L2274" s="594"/>
      <c r="M2274" s="92"/>
      <c r="N2274" s="92"/>
      <c r="O2274" s="93">
        <f t="shared" si="1368"/>
        <v>0</v>
      </c>
      <c r="P2274" s="93">
        <f t="shared" si="1369"/>
        <v>0</v>
      </c>
      <c r="Q2274" s="94"/>
      <c r="R2274" s="92">
        <f t="shared" si="1374"/>
        <v>0</v>
      </c>
      <c r="S2274" s="92">
        <f t="shared" si="1374"/>
        <v>0</v>
      </c>
      <c r="T2274" s="93">
        <f t="shared" si="1370"/>
        <v>0</v>
      </c>
      <c r="U2274" s="95">
        <f t="shared" si="1385"/>
        <v>0</v>
      </c>
      <c r="V2274" s="94"/>
      <c r="W2274" s="96" t="str">
        <f>IF(U2273&gt;0,"xx",IF(P2273&gt;0,"xy",""))</f>
        <v/>
      </c>
      <c r="X2274" s="580" t="str">
        <f t="shared" si="1378"/>
        <v/>
      </c>
      <c r="Y2274" s="580" t="str">
        <f t="shared" si="1381"/>
        <v/>
      </c>
      <c r="Z2274" s="580" t="str">
        <f t="shared" si="1383"/>
        <v/>
      </c>
    </row>
    <row r="2275" spans="1:26" hidden="1" x14ac:dyDescent="0.2">
      <c r="A2275" s="97" t="s">
        <v>165</v>
      </c>
      <c r="B2275" s="1031" t="s">
        <v>165</v>
      </c>
      <c r="C2275" s="978"/>
      <c r="D2275" s="595" t="s">
        <v>257</v>
      </c>
      <c r="E2275" s="596"/>
      <c r="F2275" s="671">
        <v>180</v>
      </c>
      <c r="G2275" s="597">
        <f>VLOOKUP(D2273,'ENSAIOS DE ORÇAMENTO'!$C$3:$L$79,5,FALSE)</f>
        <v>0.95694329600000005</v>
      </c>
      <c r="H2275" s="682">
        <f>IF(F2275=0,0,IF(F2275&lt;=30,(0.7*F2275+1.45)*G2275,((0.7*30+1.45)+0.58*(F2275-30))*G2275))</f>
        <v>104.7374437472</v>
      </c>
      <c r="I2275" s="592"/>
      <c r="J2275" s="592"/>
      <c r="K2275" s="593">
        <f t="shared" si="1379"/>
        <v>0</v>
      </c>
      <c r="L2275" s="594"/>
      <c r="M2275" s="92"/>
      <c r="N2275" s="92"/>
      <c r="O2275" s="93">
        <f t="shared" si="1368"/>
        <v>0</v>
      </c>
      <c r="P2275" s="93">
        <f t="shared" si="1369"/>
        <v>0</v>
      </c>
      <c r="Q2275" s="94"/>
      <c r="R2275" s="92">
        <f t="shared" si="1374"/>
        <v>0</v>
      </c>
      <c r="S2275" s="92">
        <f t="shared" si="1374"/>
        <v>0</v>
      </c>
      <c r="T2275" s="93">
        <f t="shared" si="1370"/>
        <v>0</v>
      </c>
      <c r="U2275" s="95">
        <f t="shared" si="1385"/>
        <v>0</v>
      </c>
      <c r="V2275" s="94"/>
      <c r="W2275" s="96" t="str">
        <f>IF(U2273&gt;0,"xx",IF(P2273&gt;0,"xy",""))</f>
        <v/>
      </c>
      <c r="X2275" s="580" t="str">
        <f t="shared" si="1378"/>
        <v/>
      </c>
      <c r="Y2275" s="580" t="str">
        <f t="shared" si="1381"/>
        <v/>
      </c>
      <c r="Z2275" s="580" t="str">
        <f t="shared" si="1383"/>
        <v/>
      </c>
    </row>
    <row r="2276" spans="1:26" hidden="1" x14ac:dyDescent="0.2">
      <c r="A2276" s="97" t="s">
        <v>165</v>
      </c>
      <c r="B2276" s="1031" t="s">
        <v>165</v>
      </c>
      <c r="C2276" s="978"/>
      <c r="D2276" s="595" t="s">
        <v>261</v>
      </c>
      <c r="E2276" s="596"/>
      <c r="F2276" s="671">
        <v>20</v>
      </c>
      <c r="G2276" s="597">
        <f>VLOOKUP(D2273,'ENSAIOS DE ORÇAMENTO'!$C$3:$L$79,6,FALSE)</f>
        <v>0.70038336000000012</v>
      </c>
      <c r="H2276" s="682">
        <f>IF(F2276=0,0,IF(F2276&lt;=30,(0.7*F2276+1.45)*G2276,((0.7*30+1.45)+0.58*(F2276-30))*G2276))</f>
        <v>10.820922912000002</v>
      </c>
      <c r="I2276" s="592"/>
      <c r="J2276" s="592"/>
      <c r="K2276" s="593">
        <f t="shared" si="1379"/>
        <v>0</v>
      </c>
      <c r="L2276" s="594"/>
      <c r="M2276" s="92"/>
      <c r="N2276" s="92"/>
      <c r="O2276" s="93">
        <f t="shared" si="1368"/>
        <v>0</v>
      </c>
      <c r="P2276" s="93">
        <f t="shared" si="1369"/>
        <v>0</v>
      </c>
      <c r="Q2276" s="94"/>
      <c r="R2276" s="92">
        <f t="shared" si="1374"/>
        <v>0</v>
      </c>
      <c r="S2276" s="92">
        <f t="shared" si="1374"/>
        <v>0</v>
      </c>
      <c r="T2276" s="93">
        <f t="shared" si="1370"/>
        <v>0</v>
      </c>
      <c r="U2276" s="95">
        <f t="shared" si="1385"/>
        <v>0</v>
      </c>
      <c r="V2276" s="94"/>
      <c r="W2276" s="96" t="str">
        <f>IF(U2273&gt;0,"xx",IF(P2273&gt;0,"xy",""))</f>
        <v/>
      </c>
      <c r="X2276" s="580" t="str">
        <f t="shared" si="1378"/>
        <v/>
      </c>
      <c r="Y2276" s="580" t="str">
        <f t="shared" si="1381"/>
        <v/>
      </c>
      <c r="Z2276" s="580" t="str">
        <f t="shared" si="1383"/>
        <v/>
      </c>
    </row>
    <row r="2277" spans="1:26" hidden="1" x14ac:dyDescent="0.2">
      <c r="A2277" s="97" t="s">
        <v>165</v>
      </c>
      <c r="B2277" s="1031" t="s">
        <v>165</v>
      </c>
      <c r="C2277" s="978"/>
      <c r="D2277" s="595" t="s">
        <v>419</v>
      </c>
      <c r="E2277" s="596"/>
      <c r="F2277" s="671">
        <v>30</v>
      </c>
      <c r="G2277" s="597">
        <f>VLOOKUP(D2273,'ENSAIOS DE ORÇAMENTO'!$C$3:$L$79,3,FALSE)</f>
        <v>0.6822144</v>
      </c>
      <c r="H2277" s="682">
        <f>IF(F2277=0,0,IF(F2277&lt;=30,(0.7*F2277+1.45)*G2277,((0.7*30+1.45)+0.58*(F2277-30))*G2277))</f>
        <v>15.315713279999999</v>
      </c>
      <c r="I2277" s="592"/>
      <c r="J2277" s="592"/>
      <c r="K2277" s="593">
        <f t="shared" si="1379"/>
        <v>0</v>
      </c>
      <c r="L2277" s="594"/>
      <c r="M2277" s="92"/>
      <c r="N2277" s="92"/>
      <c r="O2277" s="93">
        <f t="shared" si="1368"/>
        <v>0</v>
      </c>
      <c r="P2277" s="93">
        <f t="shared" si="1369"/>
        <v>0</v>
      </c>
      <c r="Q2277" s="94"/>
      <c r="R2277" s="92">
        <f t="shared" si="1374"/>
        <v>0</v>
      </c>
      <c r="S2277" s="92">
        <f t="shared" si="1374"/>
        <v>0</v>
      </c>
      <c r="T2277" s="93">
        <f t="shared" si="1370"/>
        <v>0</v>
      </c>
      <c r="U2277" s="95">
        <f t="shared" si="1385"/>
        <v>0</v>
      </c>
      <c r="V2277" s="94"/>
      <c r="W2277" s="96" t="str">
        <f>IF(U2273&gt;0,"xx",IF(P2273&gt;0,"xy",""))</f>
        <v/>
      </c>
      <c r="X2277" s="580" t="str">
        <f t="shared" si="1378"/>
        <v/>
      </c>
      <c r="Y2277" s="580" t="str">
        <f t="shared" si="1381"/>
        <v/>
      </c>
      <c r="Z2277" s="580" t="str">
        <f t="shared" si="1383"/>
        <v/>
      </c>
    </row>
    <row r="2278" spans="1:26" hidden="1" x14ac:dyDescent="0.2">
      <c r="A2278" s="97" t="s">
        <v>165</v>
      </c>
      <c r="B2278" s="1031" t="s">
        <v>165</v>
      </c>
      <c r="C2278" s="978"/>
      <c r="D2278" s="595" t="s">
        <v>420</v>
      </c>
      <c r="E2278" s="596"/>
      <c r="F2278" s="671">
        <v>500</v>
      </c>
      <c r="G2278" s="597">
        <f>VLOOKUP(D2273,'ENSAIOS DE ORÇAMENTO'!$C$3:$L$79,10,FALSE)</f>
        <v>2.274048E-2</v>
      </c>
      <c r="H2278" s="682">
        <f>IF(F2278=0,0,IF(F2278&lt;=30,(0.7*F2278+1.45)*G2278,((0.7*30+1.45)+0.58*(F2278-30))*G2278))</f>
        <v>6.7095786239999988</v>
      </c>
      <c r="I2278" s="592"/>
      <c r="J2278" s="592"/>
      <c r="K2278" s="593">
        <f t="shared" si="1379"/>
        <v>0</v>
      </c>
      <c r="L2278" s="594"/>
      <c r="M2278" s="92"/>
      <c r="N2278" s="92"/>
      <c r="O2278" s="93">
        <f t="shared" si="1368"/>
        <v>0</v>
      </c>
      <c r="P2278" s="93">
        <f t="shared" si="1369"/>
        <v>0</v>
      </c>
      <c r="Q2278" s="94"/>
      <c r="R2278" s="92">
        <f t="shared" si="1374"/>
        <v>0</v>
      </c>
      <c r="S2278" s="92">
        <f t="shared" si="1374"/>
        <v>0</v>
      </c>
      <c r="T2278" s="93">
        <f t="shared" si="1370"/>
        <v>0</v>
      </c>
      <c r="U2278" s="95">
        <f t="shared" si="1385"/>
        <v>0</v>
      </c>
      <c r="V2278" s="94"/>
      <c r="W2278" s="96" t="str">
        <f>IF(U2273&gt;0,"xx",IF(P2273&gt;0,"xy",""))</f>
        <v/>
      </c>
      <c r="X2278" s="580" t="str">
        <f t="shared" si="1378"/>
        <v/>
      </c>
      <c r="Y2278" s="580" t="str">
        <f t="shared" si="1381"/>
        <v/>
      </c>
      <c r="Z2278" s="580" t="str">
        <f t="shared" si="1383"/>
        <v/>
      </c>
    </row>
    <row r="2279" spans="1:26" hidden="1" x14ac:dyDescent="0.2">
      <c r="A2279" s="97" t="s">
        <v>38</v>
      </c>
      <c r="B2279" s="1031" t="s">
        <v>38</v>
      </c>
      <c r="C2279" s="978" t="s">
        <v>212</v>
      </c>
      <c r="D2279" s="595" t="s">
        <v>74</v>
      </c>
      <c r="E2279" s="596"/>
      <c r="F2279" s="671"/>
      <c r="G2279" s="597"/>
      <c r="H2279" s="682">
        <f>SUM(H2280:H2284)</f>
        <v>252.91592820159997</v>
      </c>
      <c r="I2279" s="592">
        <f>VLOOKUP(D2279,'ENSAIOS DE ORÇAMENTO'!$C$3:$L$79,8,FALSE)</f>
        <v>1443.4658685866666</v>
      </c>
      <c r="J2279" s="592">
        <f t="shared" ref="J2279" si="1387">IF(ISBLANK(I2279),"",SUM(H2279:I2279))</f>
        <v>1696.3817967882665</v>
      </c>
      <c r="K2279" s="593">
        <f t="shared" si="1379"/>
        <v>2064.67</v>
      </c>
      <c r="L2279" s="594" t="s">
        <v>21</v>
      </c>
      <c r="M2279" s="92"/>
      <c r="N2279" s="92"/>
      <c r="O2279" s="93">
        <f t="shared" si="1368"/>
        <v>0</v>
      </c>
      <c r="P2279" s="93">
        <f t="shared" si="1369"/>
        <v>0</v>
      </c>
      <c r="Q2279" s="94"/>
      <c r="R2279" s="92">
        <f t="shared" si="1374"/>
        <v>0</v>
      </c>
      <c r="S2279" s="92">
        <f t="shared" si="1374"/>
        <v>0</v>
      </c>
      <c r="T2279" s="93">
        <f t="shared" si="1370"/>
        <v>0</v>
      </c>
      <c r="U2279" s="95">
        <f t="shared" si="1385"/>
        <v>0</v>
      </c>
      <c r="V2279" s="94"/>
      <c r="X2279" s="580" t="str">
        <f t="shared" si="1378"/>
        <v/>
      </c>
      <c r="Y2279" s="580" t="str">
        <f t="shared" si="1381"/>
        <v/>
      </c>
      <c r="Z2279" s="580" t="str">
        <f t="shared" si="1383"/>
        <v/>
      </c>
    </row>
    <row r="2280" spans="1:26" hidden="1" x14ac:dyDescent="0.2">
      <c r="A2280" s="97" t="s">
        <v>165</v>
      </c>
      <c r="B2280" s="1031" t="s">
        <v>165</v>
      </c>
      <c r="C2280" s="978"/>
      <c r="D2280" s="595" t="s">
        <v>218</v>
      </c>
      <c r="E2280" s="596"/>
      <c r="F2280" s="671">
        <v>500</v>
      </c>
      <c r="G2280" s="597">
        <f>VLOOKUP(D2279,'ENSAIOS DE ORÇAMENTO'!$C$3:$L$79,4,FALSE)</f>
        <v>0.33109503999999995</v>
      </c>
      <c r="H2280" s="682">
        <f>IF(F2280&lt;=30,(0.51*F2280+4.28)*G2280,((0.51*30+4.28)+0.42*(F2280-30))*G2280)</f>
        <v>71.841001779199999</v>
      </c>
      <c r="I2280" s="592"/>
      <c r="J2280" s="592"/>
      <c r="K2280" s="593">
        <f t="shared" si="1379"/>
        <v>0</v>
      </c>
      <c r="L2280" s="594"/>
      <c r="M2280" s="92"/>
      <c r="N2280" s="92"/>
      <c r="O2280" s="93">
        <f t="shared" ref="O2280:O2343" si="1388">IF(ISBLANK(M2280),0,ROUND(K2280*M2280,2))</f>
        <v>0</v>
      </c>
      <c r="P2280" s="93">
        <f t="shared" ref="P2280:P2343" si="1389">IF(ISBLANK(N2280),0,ROUND(M2280*N2280,2))</f>
        <v>0</v>
      </c>
      <c r="Q2280" s="94"/>
      <c r="R2280" s="92">
        <f t="shared" si="1374"/>
        <v>0</v>
      </c>
      <c r="S2280" s="92">
        <f t="shared" si="1374"/>
        <v>0</v>
      </c>
      <c r="T2280" s="93">
        <f t="shared" ref="T2280:T2343" si="1390">IF(ISBLANK(R2280),0,ROUND(K2280*R2280,2))</f>
        <v>0</v>
      </c>
      <c r="U2280" s="95">
        <f t="shared" si="1385"/>
        <v>0</v>
      </c>
      <c r="V2280" s="94"/>
      <c r="W2280" s="96" t="str">
        <f>IF(U2279&gt;0,"xx",IF(P2279&gt;0,"xy",""))</f>
        <v/>
      </c>
      <c r="X2280" s="580" t="str">
        <f t="shared" si="1378"/>
        <v/>
      </c>
      <c r="Y2280" s="580" t="str">
        <f t="shared" si="1381"/>
        <v/>
      </c>
      <c r="Z2280" s="580" t="str">
        <f t="shared" si="1383"/>
        <v/>
      </c>
    </row>
    <row r="2281" spans="1:26" hidden="1" x14ac:dyDescent="0.2">
      <c r="A2281" s="97" t="s">
        <v>165</v>
      </c>
      <c r="B2281" s="1031" t="s">
        <v>165</v>
      </c>
      <c r="C2281" s="978"/>
      <c r="D2281" s="595" t="s">
        <v>257</v>
      </c>
      <c r="E2281" s="596"/>
      <c r="F2281" s="671">
        <v>180</v>
      </c>
      <c r="G2281" s="597">
        <f>VLOOKUP(D2279,'ENSAIOS DE ORÇAMENTO'!$C$3:$L$79,5,FALSE)</f>
        <v>1.2541824319999999</v>
      </c>
      <c r="H2281" s="682">
        <f>IF(F2281=0,0,IF(F2281&lt;=30,(0.7*F2281+1.45)*G2281,((0.7*30+1.45)+0.58*(F2281-30))*G2281))</f>
        <v>137.2702671824</v>
      </c>
      <c r="I2281" s="592"/>
      <c r="J2281" s="592"/>
      <c r="K2281" s="593">
        <f t="shared" si="1379"/>
        <v>0</v>
      </c>
      <c r="L2281" s="594"/>
      <c r="M2281" s="92"/>
      <c r="N2281" s="92"/>
      <c r="O2281" s="93">
        <f t="shared" si="1388"/>
        <v>0</v>
      </c>
      <c r="P2281" s="93">
        <f t="shared" si="1389"/>
        <v>0</v>
      </c>
      <c r="Q2281" s="94"/>
      <c r="R2281" s="92">
        <f t="shared" si="1374"/>
        <v>0</v>
      </c>
      <c r="S2281" s="92">
        <f t="shared" si="1374"/>
        <v>0</v>
      </c>
      <c r="T2281" s="93">
        <f t="shared" si="1390"/>
        <v>0</v>
      </c>
      <c r="U2281" s="95">
        <f t="shared" si="1385"/>
        <v>0</v>
      </c>
      <c r="V2281" s="94"/>
      <c r="W2281" s="96" t="str">
        <f>IF(U2279&gt;0,"xx",IF(P2279&gt;0,"xy",""))</f>
        <v/>
      </c>
      <c r="X2281" s="580" t="str">
        <f t="shared" si="1378"/>
        <v/>
      </c>
      <c r="Y2281" s="580" t="str">
        <f t="shared" si="1381"/>
        <v/>
      </c>
      <c r="Z2281" s="580" t="str">
        <f t="shared" si="1383"/>
        <v/>
      </c>
    </row>
    <row r="2282" spans="1:26" hidden="1" x14ac:dyDescent="0.2">
      <c r="A2282" s="97" t="s">
        <v>165</v>
      </c>
      <c r="B2282" s="1031" t="s">
        <v>165</v>
      </c>
      <c r="C2282" s="978"/>
      <c r="D2282" s="595" t="s">
        <v>261</v>
      </c>
      <c r="E2282" s="596"/>
      <c r="F2282" s="671">
        <v>20</v>
      </c>
      <c r="G2282" s="597">
        <f>VLOOKUP(D2279,'ENSAIOS DE ORÇAMENTO'!$C$3:$L$79,6,FALSE)</f>
        <v>0.89487311999999997</v>
      </c>
      <c r="H2282" s="682">
        <f>IF(F2282=0,0,IF(F2282&lt;=30,(0.7*F2282+1.45)*G2282,((0.7*30+1.45)+0.58*(F2282-30))*G2282))</f>
        <v>13.825789703999998</v>
      </c>
      <c r="I2282" s="592"/>
      <c r="J2282" s="592"/>
      <c r="K2282" s="593">
        <f t="shared" si="1379"/>
        <v>0</v>
      </c>
      <c r="L2282" s="594"/>
      <c r="M2282" s="92"/>
      <c r="N2282" s="92"/>
      <c r="O2282" s="93">
        <f t="shared" si="1388"/>
        <v>0</v>
      </c>
      <c r="P2282" s="93">
        <f t="shared" si="1389"/>
        <v>0</v>
      </c>
      <c r="Q2282" s="94"/>
      <c r="R2282" s="92">
        <f t="shared" si="1374"/>
        <v>0</v>
      </c>
      <c r="S2282" s="92">
        <f t="shared" si="1374"/>
        <v>0</v>
      </c>
      <c r="T2282" s="93">
        <f t="shared" si="1390"/>
        <v>0</v>
      </c>
      <c r="U2282" s="95">
        <f t="shared" si="1385"/>
        <v>0</v>
      </c>
      <c r="V2282" s="94"/>
      <c r="W2282" s="96" t="str">
        <f>IF(U2279&gt;0,"xx",IF(P2279&gt;0,"xy",""))</f>
        <v/>
      </c>
      <c r="X2282" s="580" t="str">
        <f t="shared" si="1378"/>
        <v/>
      </c>
      <c r="Y2282" s="580" t="str">
        <f t="shared" si="1381"/>
        <v/>
      </c>
      <c r="Z2282" s="580" t="str">
        <f t="shared" si="1383"/>
        <v/>
      </c>
    </row>
    <row r="2283" spans="1:26" hidden="1" x14ac:dyDescent="0.2">
      <c r="A2283" s="97" t="s">
        <v>165</v>
      </c>
      <c r="B2283" s="1031" t="s">
        <v>165</v>
      </c>
      <c r="C2283" s="978"/>
      <c r="D2283" s="595" t="s">
        <v>419</v>
      </c>
      <c r="E2283" s="596"/>
      <c r="F2283" s="671">
        <v>30</v>
      </c>
      <c r="G2283" s="597">
        <f>VLOOKUP(D2279,'ENSAIOS DE ORÇAMENTO'!$C$3:$L$79,3,FALSE)</f>
        <v>0.92856959999999988</v>
      </c>
      <c r="H2283" s="682">
        <f>IF(F2283=0,0,IF(F2283&lt;=30,(0.7*F2283+1.45)*G2283,((0.7*30+1.45)+0.58*(F2283-30))*G2283))</f>
        <v>20.846387519999997</v>
      </c>
      <c r="I2283" s="592"/>
      <c r="J2283" s="592"/>
      <c r="K2283" s="593">
        <f t="shared" si="1379"/>
        <v>0</v>
      </c>
      <c r="L2283" s="594"/>
      <c r="M2283" s="92"/>
      <c r="N2283" s="92"/>
      <c r="O2283" s="93">
        <f t="shared" si="1388"/>
        <v>0</v>
      </c>
      <c r="P2283" s="93">
        <f t="shared" si="1389"/>
        <v>0</v>
      </c>
      <c r="Q2283" s="94"/>
      <c r="R2283" s="92">
        <f t="shared" si="1374"/>
        <v>0</v>
      </c>
      <c r="S2283" s="92">
        <f t="shared" si="1374"/>
        <v>0</v>
      </c>
      <c r="T2283" s="93">
        <f t="shared" si="1390"/>
        <v>0</v>
      </c>
      <c r="U2283" s="95">
        <f t="shared" si="1385"/>
        <v>0</v>
      </c>
      <c r="V2283" s="94"/>
      <c r="W2283" s="96" t="str">
        <f>IF(U2279&gt;0,"xx",IF(P2279&gt;0,"xy",""))</f>
        <v/>
      </c>
      <c r="X2283" s="580" t="str">
        <f t="shared" si="1378"/>
        <v/>
      </c>
      <c r="Y2283" s="580" t="str">
        <f t="shared" si="1381"/>
        <v/>
      </c>
      <c r="Z2283" s="580" t="str">
        <f t="shared" si="1383"/>
        <v/>
      </c>
    </row>
    <row r="2284" spans="1:26" hidden="1" x14ac:dyDescent="0.2">
      <c r="A2284" s="97" t="s">
        <v>165</v>
      </c>
      <c r="B2284" s="1031" t="s">
        <v>165</v>
      </c>
      <c r="C2284" s="978"/>
      <c r="D2284" s="595" t="s">
        <v>420</v>
      </c>
      <c r="E2284" s="596"/>
      <c r="F2284" s="671">
        <v>500</v>
      </c>
      <c r="G2284" s="597">
        <f>VLOOKUP(D2279,'ENSAIOS DE ORÇAMENTO'!$C$3:$L$79,10,FALSE)</f>
        <v>3.0952319999999998E-2</v>
      </c>
      <c r="H2284" s="682">
        <f>IF(F2284=0,0,IF(F2284&lt;=30,(0.7*F2284+1.45)*G2284,((0.7*30+1.45)+0.58*(F2284-30))*G2284))</f>
        <v>9.1324820159999973</v>
      </c>
      <c r="I2284" s="592"/>
      <c r="J2284" s="592"/>
      <c r="K2284" s="593">
        <f t="shared" si="1379"/>
        <v>0</v>
      </c>
      <c r="L2284" s="594"/>
      <c r="M2284" s="92"/>
      <c r="N2284" s="92"/>
      <c r="O2284" s="93">
        <f t="shared" si="1388"/>
        <v>0</v>
      </c>
      <c r="P2284" s="93">
        <f t="shared" si="1389"/>
        <v>0</v>
      </c>
      <c r="Q2284" s="94"/>
      <c r="R2284" s="92">
        <f t="shared" si="1374"/>
        <v>0</v>
      </c>
      <c r="S2284" s="92">
        <f t="shared" si="1374"/>
        <v>0</v>
      </c>
      <c r="T2284" s="93">
        <f t="shared" si="1390"/>
        <v>0</v>
      </c>
      <c r="U2284" s="95">
        <f t="shared" si="1385"/>
        <v>0</v>
      </c>
      <c r="V2284" s="94"/>
      <c r="W2284" s="96" t="str">
        <f>IF(U2279&gt;0,"xx",IF(P2279&gt;0,"xy",""))</f>
        <v/>
      </c>
      <c r="X2284" s="580" t="str">
        <f t="shared" si="1378"/>
        <v/>
      </c>
      <c r="Y2284" s="580" t="str">
        <f t="shared" si="1381"/>
        <v/>
      </c>
      <c r="Z2284" s="580" t="str">
        <f t="shared" si="1383"/>
        <v/>
      </c>
    </row>
    <row r="2285" spans="1:26" hidden="1" x14ac:dyDescent="0.2">
      <c r="A2285" s="97" t="s">
        <v>39</v>
      </c>
      <c r="B2285" s="1031" t="s">
        <v>39</v>
      </c>
      <c r="C2285" s="978" t="s">
        <v>212</v>
      </c>
      <c r="D2285" s="595" t="s">
        <v>75</v>
      </c>
      <c r="E2285" s="596"/>
      <c r="F2285" s="671"/>
      <c r="G2285" s="597"/>
      <c r="H2285" s="682">
        <f>SUM(H2286:H2290)</f>
        <v>349.26238002416005</v>
      </c>
      <c r="I2285" s="592">
        <f>VLOOKUP(D2285,'ENSAIOS DE ORÇAMENTO'!$C$3:$L$79,8,FALSE)</f>
        <v>1983.5091594133335</v>
      </c>
      <c r="J2285" s="592">
        <f t="shared" ref="J2285" si="1391">IF(ISBLANK(I2285),"",SUM(H2285:I2285))</f>
        <v>2332.7715394374936</v>
      </c>
      <c r="K2285" s="593">
        <f t="shared" si="1379"/>
        <v>2839.22</v>
      </c>
      <c r="L2285" s="594" t="s">
        <v>21</v>
      </c>
      <c r="M2285" s="92"/>
      <c r="N2285" s="92"/>
      <c r="O2285" s="93">
        <f t="shared" si="1388"/>
        <v>0</v>
      </c>
      <c r="P2285" s="93">
        <f t="shared" si="1389"/>
        <v>0</v>
      </c>
      <c r="Q2285" s="94"/>
      <c r="R2285" s="92">
        <f t="shared" si="1374"/>
        <v>0</v>
      </c>
      <c r="S2285" s="92">
        <f t="shared" si="1374"/>
        <v>0</v>
      </c>
      <c r="T2285" s="93">
        <f t="shared" si="1390"/>
        <v>0</v>
      </c>
      <c r="U2285" s="95">
        <f t="shared" si="1385"/>
        <v>0</v>
      </c>
      <c r="V2285" s="94"/>
      <c r="X2285" s="580" t="str">
        <f t="shared" si="1378"/>
        <v/>
      </c>
      <c r="Y2285" s="580" t="str">
        <f t="shared" si="1381"/>
        <v/>
      </c>
      <c r="Z2285" s="580" t="str">
        <f t="shared" si="1383"/>
        <v/>
      </c>
    </row>
    <row r="2286" spans="1:26" hidden="1" x14ac:dyDescent="0.2">
      <c r="A2286" s="97" t="s">
        <v>165</v>
      </c>
      <c r="B2286" s="1031" t="s">
        <v>165</v>
      </c>
      <c r="C2286" s="978"/>
      <c r="D2286" s="595" t="s">
        <v>218</v>
      </c>
      <c r="E2286" s="596"/>
      <c r="F2286" s="671">
        <v>500</v>
      </c>
      <c r="G2286" s="597">
        <f>VLOOKUP(D2285,'ENSAIOS DE ORÇAMENTO'!$C$3:$L$79,4,FALSE)</f>
        <v>0.45250179200000007</v>
      </c>
      <c r="H2286" s="682">
        <f>IF(F2286&lt;=30,(0.51*F2286+4.28)*G2286,((0.51*30+4.28)+0.42*(F2286-30))*G2286)</f>
        <v>98.18383882816002</v>
      </c>
      <c r="I2286" s="592"/>
      <c r="J2286" s="592"/>
      <c r="K2286" s="593">
        <f t="shared" si="1379"/>
        <v>0</v>
      </c>
      <c r="L2286" s="594"/>
      <c r="M2286" s="92"/>
      <c r="N2286" s="92"/>
      <c r="O2286" s="93">
        <f t="shared" si="1388"/>
        <v>0</v>
      </c>
      <c r="P2286" s="93">
        <f t="shared" si="1389"/>
        <v>0</v>
      </c>
      <c r="Q2286" s="94"/>
      <c r="R2286" s="92">
        <f t="shared" si="1374"/>
        <v>0</v>
      </c>
      <c r="S2286" s="92">
        <f t="shared" si="1374"/>
        <v>0</v>
      </c>
      <c r="T2286" s="93">
        <f t="shared" si="1390"/>
        <v>0</v>
      </c>
      <c r="U2286" s="95">
        <f t="shared" si="1385"/>
        <v>0</v>
      </c>
      <c r="V2286" s="94"/>
      <c r="W2286" s="96" t="str">
        <f>IF(U2285&gt;0,"xx",IF(P2285&gt;0,"xy",""))</f>
        <v/>
      </c>
      <c r="X2286" s="580" t="str">
        <f t="shared" si="1378"/>
        <v/>
      </c>
      <c r="Y2286" s="580" t="str">
        <f t="shared" si="1381"/>
        <v/>
      </c>
      <c r="Z2286" s="580" t="str">
        <f t="shared" si="1383"/>
        <v/>
      </c>
    </row>
    <row r="2287" spans="1:26" hidden="1" x14ac:dyDescent="0.2">
      <c r="A2287" s="97" t="s">
        <v>165</v>
      </c>
      <c r="B2287" s="1031" t="s">
        <v>165</v>
      </c>
      <c r="C2287" s="978"/>
      <c r="D2287" s="595" t="s">
        <v>257</v>
      </c>
      <c r="E2287" s="596"/>
      <c r="F2287" s="671">
        <v>180</v>
      </c>
      <c r="G2287" s="597">
        <f>VLOOKUP(D2285,'ENSAIOS DE ORÇAMENTO'!$C$3:$L$79,5,FALSE)</f>
        <v>1.7334338080000002</v>
      </c>
      <c r="H2287" s="682">
        <f>IF(F2287=0,0,IF(F2287&lt;=30,(0.7*F2287+1.45)*G2287,((0.7*30+1.45)+0.58*(F2287-30))*G2287))</f>
        <v>189.72433028560002</v>
      </c>
      <c r="I2287" s="592"/>
      <c r="J2287" s="592"/>
      <c r="K2287" s="593">
        <f t="shared" si="1379"/>
        <v>0</v>
      </c>
      <c r="L2287" s="594"/>
      <c r="M2287" s="92"/>
      <c r="N2287" s="92"/>
      <c r="O2287" s="93">
        <f t="shared" si="1388"/>
        <v>0</v>
      </c>
      <c r="P2287" s="93">
        <f t="shared" si="1389"/>
        <v>0</v>
      </c>
      <c r="Q2287" s="94"/>
      <c r="R2287" s="92">
        <f t="shared" si="1374"/>
        <v>0</v>
      </c>
      <c r="S2287" s="92">
        <f t="shared" si="1374"/>
        <v>0</v>
      </c>
      <c r="T2287" s="93">
        <f t="shared" si="1390"/>
        <v>0</v>
      </c>
      <c r="U2287" s="95">
        <f t="shared" si="1385"/>
        <v>0</v>
      </c>
      <c r="V2287" s="94"/>
      <c r="W2287" s="96" t="str">
        <f>IF(U2285&gt;0,"xx",IF(P2285&gt;0,"xy",""))</f>
        <v/>
      </c>
      <c r="X2287" s="580" t="str">
        <f t="shared" si="1378"/>
        <v/>
      </c>
      <c r="Y2287" s="580" t="str">
        <f t="shared" si="1381"/>
        <v/>
      </c>
      <c r="Z2287" s="580" t="str">
        <f t="shared" si="1383"/>
        <v/>
      </c>
    </row>
    <row r="2288" spans="1:26" hidden="1" x14ac:dyDescent="0.2">
      <c r="A2288" s="97" t="s">
        <v>165</v>
      </c>
      <c r="B2288" s="1031" t="s">
        <v>165</v>
      </c>
      <c r="C2288" s="978"/>
      <c r="D2288" s="595" t="s">
        <v>261</v>
      </c>
      <c r="E2288" s="596"/>
      <c r="F2288" s="671">
        <v>20</v>
      </c>
      <c r="G2288" s="597">
        <f>VLOOKUP(D2285,'ENSAIOS DE ORÇAMENTO'!$C$3:$L$79,6,FALSE)</f>
        <v>1.2150148800000002</v>
      </c>
      <c r="H2288" s="682">
        <f>IF(F2288=0,0,IF(F2288&lt;=30,(0.7*F2288+1.45)*G2288,((0.7*30+1.45)+0.58*(F2288-30))*G2288))</f>
        <v>18.771979896000001</v>
      </c>
      <c r="I2288" s="592"/>
      <c r="J2288" s="592"/>
      <c r="K2288" s="593">
        <f t="shared" si="1379"/>
        <v>0</v>
      </c>
      <c r="L2288" s="594"/>
      <c r="M2288" s="92"/>
      <c r="N2288" s="92"/>
      <c r="O2288" s="93">
        <f t="shared" si="1388"/>
        <v>0</v>
      </c>
      <c r="P2288" s="93">
        <f t="shared" si="1389"/>
        <v>0</v>
      </c>
      <c r="Q2288" s="94"/>
      <c r="R2288" s="92">
        <f t="shared" si="1374"/>
        <v>0</v>
      </c>
      <c r="S2288" s="92">
        <f t="shared" si="1374"/>
        <v>0</v>
      </c>
      <c r="T2288" s="93">
        <f t="shared" si="1390"/>
        <v>0</v>
      </c>
      <c r="U2288" s="95">
        <f t="shared" si="1385"/>
        <v>0</v>
      </c>
      <c r="V2288" s="94"/>
      <c r="W2288" s="96" t="str">
        <f>IF(U2285&gt;0,"xx",IF(P2285&gt;0,"xy",""))</f>
        <v/>
      </c>
      <c r="X2288" s="580" t="str">
        <f t="shared" si="1378"/>
        <v/>
      </c>
      <c r="Y2288" s="580" t="str">
        <f t="shared" si="1381"/>
        <v/>
      </c>
      <c r="Z2288" s="580" t="str">
        <f t="shared" si="1383"/>
        <v/>
      </c>
    </row>
    <row r="2289" spans="1:26" hidden="1" x14ac:dyDescent="0.2">
      <c r="A2289" s="97" t="s">
        <v>165</v>
      </c>
      <c r="B2289" s="1031" t="s">
        <v>165</v>
      </c>
      <c r="C2289" s="978"/>
      <c r="D2289" s="595" t="s">
        <v>419</v>
      </c>
      <c r="E2289" s="596"/>
      <c r="F2289" s="671">
        <v>30</v>
      </c>
      <c r="G2289" s="597">
        <f>VLOOKUP(D2285,'ENSAIOS DE ORÇAMENTO'!$C$3:$L$79,3,FALSE)</f>
        <v>1.3189478400000001</v>
      </c>
      <c r="H2289" s="682">
        <f>IF(F2289=0,0,IF(F2289&lt;=30,(0.7*F2289+1.45)*G2289,((0.7*30+1.45)+0.58*(F2289-30))*G2289))</f>
        <v>29.610379008000002</v>
      </c>
      <c r="I2289" s="592"/>
      <c r="J2289" s="592"/>
      <c r="K2289" s="593">
        <f t="shared" si="1379"/>
        <v>0</v>
      </c>
      <c r="L2289" s="594"/>
      <c r="M2289" s="92"/>
      <c r="N2289" s="92"/>
      <c r="O2289" s="93">
        <f t="shared" si="1388"/>
        <v>0</v>
      </c>
      <c r="P2289" s="93">
        <f t="shared" si="1389"/>
        <v>0</v>
      </c>
      <c r="Q2289" s="94"/>
      <c r="R2289" s="92">
        <f t="shared" si="1374"/>
        <v>0</v>
      </c>
      <c r="S2289" s="92">
        <f t="shared" si="1374"/>
        <v>0</v>
      </c>
      <c r="T2289" s="93">
        <f t="shared" si="1390"/>
        <v>0</v>
      </c>
      <c r="U2289" s="95">
        <f t="shared" si="1385"/>
        <v>0</v>
      </c>
      <c r="V2289" s="94"/>
      <c r="W2289" s="96" t="str">
        <f>IF(U2285&gt;0,"xx",IF(P2285&gt;0,"xy",""))</f>
        <v/>
      </c>
      <c r="X2289" s="580" t="str">
        <f t="shared" si="1378"/>
        <v/>
      </c>
      <c r="Y2289" s="580" t="str">
        <f t="shared" si="1381"/>
        <v/>
      </c>
      <c r="Z2289" s="580" t="str">
        <f t="shared" si="1383"/>
        <v/>
      </c>
    </row>
    <row r="2290" spans="1:26" hidden="1" x14ac:dyDescent="0.2">
      <c r="A2290" s="97" t="s">
        <v>165</v>
      </c>
      <c r="B2290" s="1031" t="s">
        <v>165</v>
      </c>
      <c r="C2290" s="978"/>
      <c r="D2290" s="595" t="s">
        <v>420</v>
      </c>
      <c r="E2290" s="596"/>
      <c r="F2290" s="671">
        <v>500</v>
      </c>
      <c r="G2290" s="597">
        <f>VLOOKUP(D2285,'ENSAIOS DE ORÇAMENTO'!$C$3:$L$79,10,FALSE)</f>
        <v>4.3964928000000007E-2</v>
      </c>
      <c r="H2290" s="682">
        <f>IF(F2290=0,0,IF(F2290&lt;=30,(0.7*F2290+1.45)*G2290,((0.7*30+1.45)+0.58*(F2290-30))*G2290))</f>
        <v>12.971852006400001</v>
      </c>
      <c r="I2290" s="592"/>
      <c r="J2290" s="592"/>
      <c r="K2290" s="593">
        <f t="shared" si="1379"/>
        <v>0</v>
      </c>
      <c r="L2290" s="594"/>
      <c r="M2290" s="92"/>
      <c r="N2290" s="92"/>
      <c r="O2290" s="93">
        <f t="shared" si="1388"/>
        <v>0</v>
      </c>
      <c r="P2290" s="93">
        <f t="shared" si="1389"/>
        <v>0</v>
      </c>
      <c r="Q2290" s="94"/>
      <c r="R2290" s="92">
        <f t="shared" si="1374"/>
        <v>0</v>
      </c>
      <c r="S2290" s="92">
        <f t="shared" si="1374"/>
        <v>0</v>
      </c>
      <c r="T2290" s="93">
        <f t="shared" si="1390"/>
        <v>0</v>
      </c>
      <c r="U2290" s="95">
        <f t="shared" si="1385"/>
        <v>0</v>
      </c>
      <c r="V2290" s="94"/>
      <c r="W2290" s="96" t="str">
        <f>IF(U2285&gt;0,"xx",IF(P2285&gt;0,"xy",""))</f>
        <v/>
      </c>
      <c r="X2290" s="580" t="str">
        <f t="shared" si="1378"/>
        <v/>
      </c>
      <c r="Y2290" s="580" t="str">
        <f t="shared" si="1381"/>
        <v/>
      </c>
      <c r="Z2290" s="580" t="str">
        <f t="shared" si="1383"/>
        <v/>
      </c>
    </row>
    <row r="2291" spans="1:26" x14ac:dyDescent="0.2">
      <c r="A2291" s="97" t="s">
        <v>123</v>
      </c>
      <c r="B2291" s="1107" t="s">
        <v>123</v>
      </c>
      <c r="C2291" s="1108" t="s">
        <v>212</v>
      </c>
      <c r="D2291" s="1109" t="s">
        <v>429</v>
      </c>
      <c r="E2291" s="1110"/>
      <c r="F2291" s="671"/>
      <c r="G2291" s="597"/>
      <c r="H2291" s="682">
        <f>SUM(H2292:H2296)</f>
        <v>10.459660224</v>
      </c>
      <c r="I2291" s="592">
        <f>VLOOKUP(D2291,'ENSAIOS DE ORÇAMENTO'!$C$3:$L$79,8,FALSE)</f>
        <v>423.93761941333332</v>
      </c>
      <c r="J2291" s="592">
        <f t="shared" ref="J2291" si="1392">IF(ISBLANK(I2291),"",SUM(H2291:I2291))</f>
        <v>434.39727963733333</v>
      </c>
      <c r="K2291" s="593">
        <f t="shared" si="1379"/>
        <v>528.70000000000005</v>
      </c>
      <c r="L2291" s="594" t="s">
        <v>21</v>
      </c>
      <c r="M2291" s="92">
        <v>8</v>
      </c>
      <c r="N2291" s="92">
        <v>623.99</v>
      </c>
      <c r="O2291" s="93">
        <f t="shared" si="1388"/>
        <v>4229.6000000000004</v>
      </c>
      <c r="P2291" s="93">
        <f t="shared" si="1389"/>
        <v>4991.92</v>
      </c>
      <c r="Q2291" s="94"/>
      <c r="R2291" s="1111">
        <f t="shared" si="1374"/>
        <v>8</v>
      </c>
      <c r="S2291" s="1111">
        <f>K2291</f>
        <v>528.70000000000005</v>
      </c>
      <c r="T2291" s="1112">
        <f t="shared" si="1390"/>
        <v>4229.6000000000004</v>
      </c>
      <c r="U2291" s="1113">
        <f t="shared" si="1385"/>
        <v>4229.6000000000004</v>
      </c>
      <c r="V2291" s="1114"/>
      <c r="X2291" s="580" t="str">
        <f t="shared" si="1378"/>
        <v>x</v>
      </c>
      <c r="Y2291" s="580" t="str">
        <f t="shared" si="1381"/>
        <v>x</v>
      </c>
      <c r="Z2291" s="580" t="str">
        <f t="shared" si="1383"/>
        <v>x</v>
      </c>
    </row>
    <row r="2292" spans="1:26" hidden="1" x14ac:dyDescent="0.2">
      <c r="A2292" s="97" t="s">
        <v>165</v>
      </c>
      <c r="B2292" s="1031" t="s">
        <v>165</v>
      </c>
      <c r="C2292" s="978"/>
      <c r="D2292" s="595" t="s">
        <v>218</v>
      </c>
      <c r="E2292" s="596"/>
      <c r="F2292" s="1089">
        <v>97.1</v>
      </c>
      <c r="G2292" s="597">
        <f>VLOOKUP(D2291,'ENSAIOS DE ORÇAMENTO'!$C$3:$L$79,4,FALSE)</f>
        <v>0.1320288</v>
      </c>
      <c r="H2292" s="682">
        <f>IF(F2292&lt;=30,(0.51*F2292+4.28)*G2292,((0.51*30+4.28)+0.42*(F2292-30))*G2292)</f>
        <v>6.3059595456000004</v>
      </c>
      <c r="I2292" s="592"/>
      <c r="J2292" s="592"/>
      <c r="K2292" s="593">
        <f t="shared" si="1379"/>
        <v>0</v>
      </c>
      <c r="L2292" s="594"/>
      <c r="M2292" s="92"/>
      <c r="N2292" s="92"/>
      <c r="O2292" s="93">
        <f t="shared" si="1388"/>
        <v>0</v>
      </c>
      <c r="P2292" s="93">
        <f t="shared" si="1389"/>
        <v>0</v>
      </c>
      <c r="Q2292" s="94"/>
      <c r="R2292" s="92">
        <f t="shared" si="1374"/>
        <v>0</v>
      </c>
      <c r="S2292" s="92">
        <f t="shared" si="1374"/>
        <v>0</v>
      </c>
      <c r="T2292" s="93">
        <f t="shared" si="1390"/>
        <v>0</v>
      </c>
      <c r="U2292" s="95">
        <f t="shared" si="1385"/>
        <v>0</v>
      </c>
      <c r="V2292" s="94"/>
      <c r="W2292" s="96" t="str">
        <f>IF(U2291&gt;0,"xx",IF(P2291&gt;0,"xy",""))</f>
        <v>xx</v>
      </c>
      <c r="X2292" s="580" t="str">
        <f t="shared" si="1378"/>
        <v>x</v>
      </c>
      <c r="Y2292" s="580" t="str">
        <f t="shared" si="1381"/>
        <v>x</v>
      </c>
      <c r="Z2292" s="580" t="str">
        <f t="shared" si="1383"/>
        <v/>
      </c>
    </row>
    <row r="2293" spans="1:26" hidden="1" x14ac:dyDescent="0.2">
      <c r="A2293" s="97" t="s">
        <v>165</v>
      </c>
      <c r="B2293" s="1031" t="s">
        <v>165</v>
      </c>
      <c r="C2293" s="978"/>
      <c r="D2293" s="595" t="s">
        <v>257</v>
      </c>
      <c r="E2293" s="596"/>
      <c r="F2293" s="1089">
        <v>4.7</v>
      </c>
      <c r="G2293" s="597">
        <f>VLOOKUP(D2291,'ENSAIOS DE ORÇAMENTO'!$C$3:$L$79,5,FALSE)</f>
        <v>0.40193856</v>
      </c>
      <c r="H2293" s="682">
        <f>IF(F2293=0,0,IF(F2293&lt;=30,(0.7*F2293+1.45)*G2293,((0.7*30+1.45)+0.58*(F2293-30))*G2293))</f>
        <v>1.9051887744</v>
      </c>
      <c r="I2293" s="592"/>
      <c r="J2293" s="592"/>
      <c r="K2293" s="593">
        <f t="shared" si="1379"/>
        <v>0</v>
      </c>
      <c r="L2293" s="594"/>
      <c r="M2293" s="92"/>
      <c r="N2293" s="92"/>
      <c r="O2293" s="93">
        <f t="shared" si="1388"/>
        <v>0</v>
      </c>
      <c r="P2293" s="93">
        <f t="shared" si="1389"/>
        <v>0</v>
      </c>
      <c r="Q2293" s="94"/>
      <c r="R2293" s="92">
        <f t="shared" si="1374"/>
        <v>0</v>
      </c>
      <c r="S2293" s="92">
        <f t="shared" si="1374"/>
        <v>0</v>
      </c>
      <c r="T2293" s="93">
        <f t="shared" si="1390"/>
        <v>0</v>
      </c>
      <c r="U2293" s="95">
        <f t="shared" si="1385"/>
        <v>0</v>
      </c>
      <c r="V2293" s="94"/>
      <c r="W2293" s="96" t="str">
        <f>IF(U2291&gt;0,"xx",IF(P2291&gt;0,"xy",""))</f>
        <v>xx</v>
      </c>
      <c r="X2293" s="580" t="str">
        <f t="shared" si="1378"/>
        <v>x</v>
      </c>
      <c r="Y2293" s="580" t="str">
        <f t="shared" si="1381"/>
        <v>x</v>
      </c>
      <c r="Z2293" s="580" t="str">
        <f t="shared" si="1383"/>
        <v/>
      </c>
    </row>
    <row r="2294" spans="1:26" hidden="1" x14ac:dyDescent="0.2">
      <c r="A2294" s="97" t="s">
        <v>165</v>
      </c>
      <c r="B2294" s="1031" t="s">
        <v>165</v>
      </c>
      <c r="C2294" s="978"/>
      <c r="D2294" s="595" t="s">
        <v>261</v>
      </c>
      <c r="E2294" s="596"/>
      <c r="F2294" s="1089">
        <v>4.7</v>
      </c>
      <c r="G2294" s="597">
        <f>VLOOKUP(D2291,'ENSAIOS DE ORÇAMENTO'!$C$3:$L$79,6,FALSE)</f>
        <v>0.47436960000000006</v>
      </c>
      <c r="H2294" s="682">
        <f>IF(F2294=0,0,IF(F2294&lt;=30,(0.7*F2294+1.45)*G2294,((0.7*30+1.45)+0.58*(F2294-30))*G2294))</f>
        <v>2.2485119040000003</v>
      </c>
      <c r="I2294" s="592"/>
      <c r="J2294" s="592"/>
      <c r="K2294" s="593">
        <f t="shared" si="1379"/>
        <v>0</v>
      </c>
      <c r="L2294" s="594"/>
      <c r="M2294" s="92"/>
      <c r="N2294" s="92"/>
      <c r="O2294" s="93">
        <f t="shared" si="1388"/>
        <v>0</v>
      </c>
      <c r="P2294" s="93">
        <f t="shared" si="1389"/>
        <v>0</v>
      </c>
      <c r="Q2294" s="94"/>
      <c r="R2294" s="92">
        <f t="shared" si="1374"/>
        <v>0</v>
      </c>
      <c r="S2294" s="92">
        <f t="shared" si="1374"/>
        <v>0</v>
      </c>
      <c r="T2294" s="93">
        <f t="shared" si="1390"/>
        <v>0</v>
      </c>
      <c r="U2294" s="95">
        <f t="shared" si="1385"/>
        <v>0</v>
      </c>
      <c r="V2294" s="94"/>
      <c r="W2294" s="96" t="str">
        <f>IF(U2291&gt;0,"xx",IF(P2291&gt;0,"xy",""))</f>
        <v>xx</v>
      </c>
      <c r="X2294" s="580" t="str">
        <f t="shared" si="1378"/>
        <v>x</v>
      </c>
      <c r="Y2294" s="580" t="str">
        <f t="shared" si="1381"/>
        <v>x</v>
      </c>
      <c r="Z2294" s="580" t="str">
        <f t="shared" si="1383"/>
        <v/>
      </c>
    </row>
    <row r="2295" spans="1:26" hidden="1" x14ac:dyDescent="0.2">
      <c r="A2295" s="97" t="s">
        <v>165</v>
      </c>
      <c r="B2295" s="1031" t="s">
        <v>165</v>
      </c>
      <c r="C2295" s="978"/>
      <c r="D2295" s="595" t="s">
        <v>419</v>
      </c>
      <c r="E2295" s="596"/>
      <c r="F2295" s="1089">
        <v>0.5</v>
      </c>
      <c r="G2295" s="597">
        <f>VLOOKUP(D2291,'ENSAIOS DE ORÇAMENTO'!$C$3:$L$79,3,FALSE)</f>
        <v>0</v>
      </c>
      <c r="H2295" s="682">
        <f>IF(F2295=0,0,IF(F2295&lt;=30,(0.7*F2295+1.45)*G2295,((0.7*30+1.45)+0.58*(F2295-30))*G2295))</f>
        <v>0</v>
      </c>
      <c r="I2295" s="592"/>
      <c r="J2295" s="592"/>
      <c r="K2295" s="593">
        <f t="shared" si="1379"/>
        <v>0</v>
      </c>
      <c r="L2295" s="594"/>
      <c r="M2295" s="92"/>
      <c r="N2295" s="92"/>
      <c r="O2295" s="93">
        <f t="shared" si="1388"/>
        <v>0</v>
      </c>
      <c r="P2295" s="93">
        <f t="shared" si="1389"/>
        <v>0</v>
      </c>
      <c r="Q2295" s="94"/>
      <c r="R2295" s="92">
        <f t="shared" ref="R2295:S2358" si="1393">M2295</f>
        <v>0</v>
      </c>
      <c r="S2295" s="92">
        <f t="shared" si="1393"/>
        <v>0</v>
      </c>
      <c r="T2295" s="93">
        <f t="shared" si="1390"/>
        <v>0</v>
      </c>
      <c r="U2295" s="95">
        <f t="shared" si="1385"/>
        <v>0</v>
      </c>
      <c r="V2295" s="94"/>
      <c r="W2295" s="96" t="str">
        <f>IF(U2291&gt;0,"xx",IF(P2291&gt;0,"xy",""))</f>
        <v>xx</v>
      </c>
      <c r="X2295" s="580" t="str">
        <f t="shared" si="1378"/>
        <v>x</v>
      </c>
      <c r="Y2295" s="580" t="str">
        <f t="shared" si="1381"/>
        <v>x</v>
      </c>
      <c r="Z2295" s="580" t="str">
        <f t="shared" si="1383"/>
        <v/>
      </c>
    </row>
    <row r="2296" spans="1:26" hidden="1" x14ac:dyDescent="0.2">
      <c r="A2296" s="97" t="s">
        <v>165</v>
      </c>
      <c r="B2296" s="1031" t="s">
        <v>165</v>
      </c>
      <c r="C2296" s="978"/>
      <c r="D2296" s="595" t="s">
        <v>420</v>
      </c>
      <c r="E2296" s="596"/>
      <c r="F2296" s="1089">
        <v>125</v>
      </c>
      <c r="G2296" s="597">
        <f>VLOOKUP(D2291,'ENSAIOS DE ORÇAMENTO'!$C$3:$L$79,10,FALSE)</f>
        <v>0</v>
      </c>
      <c r="H2296" s="682">
        <f>IF(F2296=0,0,IF(F2296&lt;=30,(0.7*F2296+1.45)*G2296,((0.7*30+1.45)+0.58*(F2296-30))*G2296))</f>
        <v>0</v>
      </c>
      <c r="I2296" s="592"/>
      <c r="J2296" s="592"/>
      <c r="K2296" s="593">
        <f t="shared" si="1379"/>
        <v>0</v>
      </c>
      <c r="L2296" s="594"/>
      <c r="M2296" s="92"/>
      <c r="N2296" s="92"/>
      <c r="O2296" s="93">
        <f t="shared" si="1388"/>
        <v>0</v>
      </c>
      <c r="P2296" s="93">
        <f t="shared" si="1389"/>
        <v>0</v>
      </c>
      <c r="Q2296" s="94"/>
      <c r="R2296" s="92">
        <f t="shared" si="1393"/>
        <v>0</v>
      </c>
      <c r="S2296" s="92">
        <f t="shared" si="1393"/>
        <v>0</v>
      </c>
      <c r="T2296" s="93">
        <f t="shared" si="1390"/>
        <v>0</v>
      </c>
      <c r="U2296" s="95">
        <f t="shared" si="1385"/>
        <v>0</v>
      </c>
      <c r="V2296" s="94"/>
      <c r="W2296" s="96" t="str">
        <f>IF(U2291&gt;0,"xx",IF(P2291&gt;0,"xy",""))</f>
        <v>xx</v>
      </c>
      <c r="X2296" s="580" t="str">
        <f t="shared" si="1378"/>
        <v>x</v>
      </c>
      <c r="Y2296" s="580" t="str">
        <f t="shared" si="1381"/>
        <v>x</v>
      </c>
      <c r="Z2296" s="580" t="str">
        <f t="shared" si="1383"/>
        <v/>
      </c>
    </row>
    <row r="2297" spans="1:26" x14ac:dyDescent="0.2">
      <c r="A2297" s="97" t="s">
        <v>124</v>
      </c>
      <c r="B2297" s="1107" t="s">
        <v>124</v>
      </c>
      <c r="C2297" s="1108" t="s">
        <v>212</v>
      </c>
      <c r="D2297" s="1109" t="s">
        <v>430</v>
      </c>
      <c r="E2297" s="1110"/>
      <c r="F2297" s="671"/>
      <c r="G2297" s="597"/>
      <c r="H2297" s="682">
        <f>SUM(H2298:H2302)</f>
        <v>16.031144604000001</v>
      </c>
      <c r="I2297" s="592">
        <f>VLOOKUP(D2297,'ENSAIOS DE ORÇAMENTO'!$C$3:$L$79,8,FALSE)</f>
        <v>651.35712903333342</v>
      </c>
      <c r="J2297" s="592">
        <f t="shared" ref="J2297" si="1394">IF(ISBLANK(I2297),"",SUM(H2297:I2297))</f>
        <v>667.38827363733344</v>
      </c>
      <c r="K2297" s="593">
        <f t="shared" si="1379"/>
        <v>812.28</v>
      </c>
      <c r="L2297" s="594" t="s">
        <v>21</v>
      </c>
      <c r="M2297" s="92">
        <v>2</v>
      </c>
      <c r="N2297" s="92">
        <v>957.11</v>
      </c>
      <c r="O2297" s="93">
        <f t="shared" si="1388"/>
        <v>1624.56</v>
      </c>
      <c r="P2297" s="93">
        <f t="shared" si="1389"/>
        <v>1914.22</v>
      </c>
      <c r="Q2297" s="94"/>
      <c r="R2297" s="1111">
        <f t="shared" si="1393"/>
        <v>2</v>
      </c>
      <c r="S2297" s="1111">
        <v>812.28</v>
      </c>
      <c r="T2297" s="1112">
        <f t="shared" si="1390"/>
        <v>1624.56</v>
      </c>
      <c r="U2297" s="1113">
        <f t="shared" si="1385"/>
        <v>1624.56</v>
      </c>
      <c r="V2297" s="1114"/>
      <c r="X2297" s="580" t="str">
        <f t="shared" si="1378"/>
        <v>x</v>
      </c>
      <c r="Y2297" s="580" t="str">
        <f t="shared" si="1381"/>
        <v>x</v>
      </c>
      <c r="Z2297" s="580" t="str">
        <f t="shared" si="1383"/>
        <v>x</v>
      </c>
    </row>
    <row r="2298" spans="1:26" hidden="1" x14ac:dyDescent="0.2">
      <c r="A2298" s="97" t="s">
        <v>165</v>
      </c>
      <c r="B2298" s="1031" t="s">
        <v>165</v>
      </c>
      <c r="C2298" s="978"/>
      <c r="D2298" s="595" t="s">
        <v>218</v>
      </c>
      <c r="E2298" s="596"/>
      <c r="F2298" s="1089">
        <v>97.1</v>
      </c>
      <c r="G2298" s="597">
        <f>VLOOKUP(D2297,'ENSAIOS DE ORÇAMENTO'!$C$3:$L$79,4,FALSE)</f>
        <v>0.20444730000000003</v>
      </c>
      <c r="H2298" s="682">
        <f>IF(F2298&lt;=30,(0.51*F2298+4.28)*G2298,((0.51*30+4.28)+0.42*(F2298-30))*G2298)</f>
        <v>9.7648119426000015</v>
      </c>
      <c r="I2298" s="592"/>
      <c r="J2298" s="592"/>
      <c r="K2298" s="593">
        <f t="shared" si="1379"/>
        <v>0</v>
      </c>
      <c r="L2298" s="594"/>
      <c r="M2298" s="92"/>
      <c r="N2298" s="92"/>
      <c r="O2298" s="93">
        <f t="shared" si="1388"/>
        <v>0</v>
      </c>
      <c r="P2298" s="93">
        <f t="shared" si="1389"/>
        <v>0</v>
      </c>
      <c r="Q2298" s="94"/>
      <c r="R2298" s="92">
        <f t="shared" si="1393"/>
        <v>0</v>
      </c>
      <c r="S2298" s="92">
        <f t="shared" si="1393"/>
        <v>0</v>
      </c>
      <c r="T2298" s="93">
        <f t="shared" si="1390"/>
        <v>0</v>
      </c>
      <c r="U2298" s="95">
        <f t="shared" si="1385"/>
        <v>0</v>
      </c>
      <c r="V2298" s="94"/>
      <c r="W2298" s="96" t="str">
        <f>IF(U2297&gt;0,"xx",IF(P2297&gt;0,"xy",""))</f>
        <v>xx</v>
      </c>
      <c r="X2298" s="580" t="str">
        <f t="shared" si="1378"/>
        <v>x</v>
      </c>
      <c r="Y2298" s="580" t="str">
        <f t="shared" si="1381"/>
        <v>x</v>
      </c>
      <c r="Z2298" s="580" t="str">
        <f t="shared" si="1383"/>
        <v/>
      </c>
    </row>
    <row r="2299" spans="1:26" hidden="1" x14ac:dyDescent="0.2">
      <c r="A2299" s="97" t="s">
        <v>165</v>
      </c>
      <c r="B2299" s="1031" t="s">
        <v>165</v>
      </c>
      <c r="C2299" s="978"/>
      <c r="D2299" s="595" t="s">
        <v>257</v>
      </c>
      <c r="E2299" s="596"/>
      <c r="F2299" s="1089">
        <v>4.7</v>
      </c>
      <c r="G2299" s="597">
        <f>VLOOKUP(D2297,'ENSAIOS DE ORÇAMENTO'!$C$3:$L$79,5,FALSE)</f>
        <v>0.60405201000000008</v>
      </c>
      <c r="H2299" s="682">
        <f>IF(F2299=0,0,IF(F2299&lt;=30,(0.7*F2299+1.45)*G2299,((0.7*30+1.45)+0.58*(F2299-30))*G2299))</f>
        <v>2.8632065274000005</v>
      </c>
      <c r="I2299" s="592"/>
      <c r="J2299" s="592"/>
      <c r="K2299" s="593">
        <f t="shared" si="1379"/>
        <v>0</v>
      </c>
      <c r="L2299" s="594"/>
      <c r="M2299" s="92"/>
      <c r="N2299" s="92"/>
      <c r="O2299" s="93">
        <f t="shared" si="1388"/>
        <v>0</v>
      </c>
      <c r="P2299" s="93">
        <f t="shared" si="1389"/>
        <v>0</v>
      </c>
      <c r="Q2299" s="94"/>
      <c r="R2299" s="92">
        <f t="shared" si="1393"/>
        <v>0</v>
      </c>
      <c r="S2299" s="92">
        <f t="shared" si="1393"/>
        <v>0</v>
      </c>
      <c r="T2299" s="93">
        <f t="shared" si="1390"/>
        <v>0</v>
      </c>
      <c r="U2299" s="95">
        <f t="shared" si="1385"/>
        <v>0</v>
      </c>
      <c r="V2299" s="94"/>
      <c r="W2299" s="96" t="str">
        <f>IF(U2297&gt;0,"xx",IF(P2297&gt;0,"xy",""))</f>
        <v>xx</v>
      </c>
      <c r="X2299" s="580" t="str">
        <f t="shared" si="1378"/>
        <v>x</v>
      </c>
      <c r="Y2299" s="580" t="str">
        <f t="shared" si="1381"/>
        <v>x</v>
      </c>
      <c r="Z2299" s="580" t="str">
        <f t="shared" si="1383"/>
        <v/>
      </c>
    </row>
    <row r="2300" spans="1:26" hidden="1" x14ac:dyDescent="0.2">
      <c r="A2300" s="97" t="s">
        <v>165</v>
      </c>
      <c r="B2300" s="1031" t="s">
        <v>165</v>
      </c>
      <c r="C2300" s="978"/>
      <c r="D2300" s="595" t="s">
        <v>261</v>
      </c>
      <c r="E2300" s="596"/>
      <c r="F2300" s="1089">
        <v>4.7</v>
      </c>
      <c r="G2300" s="597">
        <f>VLOOKUP(D2297,'ENSAIOS DE ORÇAMENTO'!$C$3:$L$79,6,FALSE)</f>
        <v>0.71795910000000007</v>
      </c>
      <c r="H2300" s="682">
        <f>IF(F2300=0,0,IF(F2300&lt;=30,(0.7*F2300+1.45)*G2300,((0.7*30+1.45)+0.58*(F2300-30))*G2300))</f>
        <v>3.4031261340000003</v>
      </c>
      <c r="I2300" s="592"/>
      <c r="J2300" s="592"/>
      <c r="K2300" s="593">
        <f t="shared" si="1379"/>
        <v>0</v>
      </c>
      <c r="L2300" s="594"/>
      <c r="M2300" s="92"/>
      <c r="N2300" s="92"/>
      <c r="O2300" s="93">
        <f t="shared" si="1388"/>
        <v>0</v>
      </c>
      <c r="P2300" s="93">
        <f t="shared" si="1389"/>
        <v>0</v>
      </c>
      <c r="Q2300" s="94"/>
      <c r="R2300" s="92">
        <f t="shared" si="1393"/>
        <v>0</v>
      </c>
      <c r="S2300" s="92">
        <f t="shared" si="1393"/>
        <v>0</v>
      </c>
      <c r="T2300" s="93">
        <f t="shared" si="1390"/>
        <v>0</v>
      </c>
      <c r="U2300" s="95">
        <f t="shared" si="1385"/>
        <v>0</v>
      </c>
      <c r="V2300" s="94"/>
      <c r="W2300" s="96" t="str">
        <f>IF(U2297&gt;0,"xx",IF(P2297&gt;0,"xy",""))</f>
        <v>xx</v>
      </c>
      <c r="X2300" s="580" t="str">
        <f t="shared" si="1378"/>
        <v>x</v>
      </c>
      <c r="Y2300" s="580" t="str">
        <f t="shared" si="1381"/>
        <v>x</v>
      </c>
      <c r="Z2300" s="580" t="str">
        <f t="shared" si="1383"/>
        <v/>
      </c>
    </row>
    <row r="2301" spans="1:26" hidden="1" x14ac:dyDescent="0.2">
      <c r="A2301" s="97" t="s">
        <v>165</v>
      </c>
      <c r="B2301" s="1031" t="s">
        <v>165</v>
      </c>
      <c r="C2301" s="978"/>
      <c r="D2301" s="595" t="s">
        <v>419</v>
      </c>
      <c r="E2301" s="596"/>
      <c r="F2301" s="1089">
        <v>0.5</v>
      </c>
      <c r="G2301" s="597">
        <f>VLOOKUP(D2297,'ENSAIOS DE ORÇAMENTO'!$C$3:$L$79,3,FALSE)</f>
        <v>0</v>
      </c>
      <c r="H2301" s="682">
        <f>IF(F2301=0,0,IF(F2301&lt;=30,(0.7*F2301+1.45)*G2301,((0.7*30+1.45)+0.58*(F2301-30))*G2301))</f>
        <v>0</v>
      </c>
      <c r="I2301" s="592"/>
      <c r="J2301" s="592"/>
      <c r="K2301" s="593">
        <f t="shared" si="1379"/>
        <v>0</v>
      </c>
      <c r="L2301" s="594"/>
      <c r="M2301" s="92"/>
      <c r="N2301" s="92"/>
      <c r="O2301" s="93">
        <f t="shared" si="1388"/>
        <v>0</v>
      </c>
      <c r="P2301" s="93">
        <f t="shared" si="1389"/>
        <v>0</v>
      </c>
      <c r="Q2301" s="94"/>
      <c r="R2301" s="92">
        <f t="shared" si="1393"/>
        <v>0</v>
      </c>
      <c r="S2301" s="92">
        <f t="shared" si="1393"/>
        <v>0</v>
      </c>
      <c r="T2301" s="93">
        <f t="shared" si="1390"/>
        <v>0</v>
      </c>
      <c r="U2301" s="95">
        <f t="shared" si="1385"/>
        <v>0</v>
      </c>
      <c r="V2301" s="94"/>
      <c r="W2301" s="96" t="str">
        <f>IF(U2297&gt;0,"xx",IF(P2297&gt;0,"xy",""))</f>
        <v>xx</v>
      </c>
      <c r="X2301" s="580" t="str">
        <f t="shared" si="1378"/>
        <v>x</v>
      </c>
      <c r="Y2301" s="580" t="str">
        <f t="shared" si="1381"/>
        <v>x</v>
      </c>
      <c r="Z2301" s="580" t="str">
        <f t="shared" si="1383"/>
        <v/>
      </c>
    </row>
    <row r="2302" spans="1:26" hidden="1" x14ac:dyDescent="0.2">
      <c r="A2302" s="97" t="s">
        <v>165</v>
      </c>
      <c r="B2302" s="1031" t="s">
        <v>165</v>
      </c>
      <c r="C2302" s="978"/>
      <c r="D2302" s="595" t="s">
        <v>420</v>
      </c>
      <c r="E2302" s="596"/>
      <c r="F2302" s="1089">
        <v>125</v>
      </c>
      <c r="G2302" s="597">
        <f>VLOOKUP(D2297,'ENSAIOS DE ORÇAMENTO'!$C$3:$L$79,10,FALSE)</f>
        <v>0</v>
      </c>
      <c r="H2302" s="682">
        <f>IF(F2302=0,0,IF(F2302&lt;=30,(0.7*F2302+1.45)*G2302,((0.7*30+1.45)+0.58*(F2302-30))*G2302))</f>
        <v>0</v>
      </c>
      <c r="I2302" s="592"/>
      <c r="J2302" s="592"/>
      <c r="K2302" s="593">
        <f t="shared" si="1379"/>
        <v>0</v>
      </c>
      <c r="L2302" s="594"/>
      <c r="M2302" s="92"/>
      <c r="N2302" s="92"/>
      <c r="O2302" s="93">
        <f t="shared" si="1388"/>
        <v>0</v>
      </c>
      <c r="P2302" s="93">
        <f t="shared" si="1389"/>
        <v>0</v>
      </c>
      <c r="Q2302" s="94"/>
      <c r="R2302" s="92">
        <f t="shared" si="1393"/>
        <v>0</v>
      </c>
      <c r="S2302" s="92">
        <f t="shared" si="1393"/>
        <v>0</v>
      </c>
      <c r="T2302" s="93">
        <f t="shared" si="1390"/>
        <v>0</v>
      </c>
      <c r="U2302" s="95">
        <f t="shared" si="1385"/>
        <v>0</v>
      </c>
      <c r="V2302" s="94"/>
      <c r="W2302" s="96" t="str">
        <f>IF(U2297&gt;0,"xx",IF(P2297&gt;0,"xy",""))</f>
        <v>xx</v>
      </c>
      <c r="X2302" s="580" t="str">
        <f t="shared" si="1378"/>
        <v>x</v>
      </c>
      <c r="Y2302" s="580" t="str">
        <f t="shared" si="1381"/>
        <v>x</v>
      </c>
      <c r="Z2302" s="580" t="str">
        <f t="shared" si="1383"/>
        <v/>
      </c>
    </row>
    <row r="2303" spans="1:26" x14ac:dyDescent="0.2">
      <c r="A2303" s="97" t="s">
        <v>125</v>
      </c>
      <c r="B2303" s="1107" t="s">
        <v>125</v>
      </c>
      <c r="C2303" s="1108" t="s">
        <v>212</v>
      </c>
      <c r="D2303" s="1109" t="s">
        <v>431</v>
      </c>
      <c r="E2303" s="1110"/>
      <c r="F2303" s="671"/>
      <c r="G2303" s="597"/>
      <c r="H2303" s="682">
        <f>SUM(H2304:H2308)</f>
        <v>29.890171146</v>
      </c>
      <c r="I2303" s="592">
        <f>VLOOKUP(D2303,'ENSAIOS DE ORÇAMENTO'!$C$3:$L$79,8,FALSE)</f>
        <v>1127.7190064166666</v>
      </c>
      <c r="J2303" s="592">
        <f t="shared" ref="J2303" si="1395">IF(ISBLANK(I2303),"",SUM(H2303:I2303))</f>
        <v>1157.6091775626667</v>
      </c>
      <c r="K2303" s="593">
        <f t="shared" si="1379"/>
        <v>1408.93</v>
      </c>
      <c r="L2303" s="594" t="s">
        <v>21</v>
      </c>
      <c r="M2303" s="92">
        <v>3</v>
      </c>
      <c r="N2303" s="92">
        <v>1675.9</v>
      </c>
      <c r="O2303" s="93">
        <f t="shared" si="1388"/>
        <v>4226.79</v>
      </c>
      <c r="P2303" s="93">
        <f t="shared" si="1389"/>
        <v>5027.7</v>
      </c>
      <c r="Q2303" s="94"/>
      <c r="R2303" s="1111">
        <f t="shared" si="1393"/>
        <v>3</v>
      </c>
      <c r="S2303" s="1111">
        <f>K2303</f>
        <v>1408.93</v>
      </c>
      <c r="T2303" s="1112">
        <f t="shared" si="1390"/>
        <v>4226.79</v>
      </c>
      <c r="U2303" s="1113">
        <f t="shared" si="1385"/>
        <v>4226.79</v>
      </c>
      <c r="V2303" s="1114"/>
      <c r="X2303" s="580" t="str">
        <f t="shared" si="1378"/>
        <v>x</v>
      </c>
      <c r="Y2303" s="580" t="str">
        <f t="shared" si="1381"/>
        <v>x</v>
      </c>
      <c r="Z2303" s="580" t="str">
        <f t="shared" si="1383"/>
        <v>x</v>
      </c>
    </row>
    <row r="2304" spans="1:26" hidden="1" x14ac:dyDescent="0.2">
      <c r="A2304" s="97" t="s">
        <v>165</v>
      </c>
      <c r="B2304" s="1031" t="s">
        <v>165</v>
      </c>
      <c r="C2304" s="978"/>
      <c r="D2304" s="595" t="s">
        <v>218</v>
      </c>
      <c r="E2304" s="596"/>
      <c r="F2304" s="1089">
        <v>97.1</v>
      </c>
      <c r="G2304" s="597">
        <f>VLOOKUP(D2303,'ENSAIOS DE ORÇAMENTO'!$C$3:$L$79,4,FALSE)</f>
        <v>0.38327894999999995</v>
      </c>
      <c r="H2304" s="682">
        <f>IF(F2304&lt;=30,(0.51*F2304+4.28)*G2304,((0.51*30+4.28)+0.42*(F2304-30))*G2304)</f>
        <v>18.306169209899998</v>
      </c>
      <c r="I2304" s="592"/>
      <c r="J2304" s="592"/>
      <c r="K2304" s="593">
        <f t="shared" si="1379"/>
        <v>0</v>
      </c>
      <c r="L2304" s="594"/>
      <c r="M2304" s="92"/>
      <c r="N2304" s="92"/>
      <c r="O2304" s="93">
        <f t="shared" si="1388"/>
        <v>0</v>
      </c>
      <c r="P2304" s="93">
        <f t="shared" si="1389"/>
        <v>0</v>
      </c>
      <c r="Q2304" s="94"/>
      <c r="R2304" s="92">
        <f t="shared" si="1393"/>
        <v>0</v>
      </c>
      <c r="S2304" s="92">
        <f t="shared" si="1393"/>
        <v>0</v>
      </c>
      <c r="T2304" s="93">
        <f t="shared" si="1390"/>
        <v>0</v>
      </c>
      <c r="U2304" s="95">
        <f t="shared" si="1385"/>
        <v>0</v>
      </c>
      <c r="V2304" s="94"/>
      <c r="W2304" s="96" t="str">
        <f>IF(U2303&gt;0,"xx",IF(P2303&gt;0,"xy",""))</f>
        <v>xx</v>
      </c>
      <c r="X2304" s="580" t="str">
        <f t="shared" si="1378"/>
        <v>x</v>
      </c>
      <c r="Y2304" s="580" t="str">
        <f t="shared" si="1381"/>
        <v>x</v>
      </c>
      <c r="Z2304" s="580" t="str">
        <f t="shared" si="1383"/>
        <v/>
      </c>
    </row>
    <row r="2305" spans="1:26" hidden="1" x14ac:dyDescent="0.2">
      <c r="A2305" s="97" t="s">
        <v>165</v>
      </c>
      <c r="B2305" s="1031" t="s">
        <v>165</v>
      </c>
      <c r="C2305" s="978"/>
      <c r="D2305" s="595" t="s">
        <v>257</v>
      </c>
      <c r="E2305" s="596"/>
      <c r="F2305" s="1089">
        <v>4.7</v>
      </c>
      <c r="G2305" s="597">
        <f>VLOOKUP(D2303,'ENSAIOS DE ORÇAMENTO'!$C$3:$L$79,5,FALSE)</f>
        <v>1.1143076149999998</v>
      </c>
      <c r="H2305" s="682">
        <f>IF(F2305=0,0,IF(F2305&lt;=30,(0.7*F2305+1.45)*G2305,((0.7*30+1.45)+0.58*(F2305-30))*G2305))</f>
        <v>5.2818180950999993</v>
      </c>
      <c r="I2305" s="592"/>
      <c r="J2305" s="592"/>
      <c r="K2305" s="593">
        <f t="shared" si="1379"/>
        <v>0</v>
      </c>
      <c r="L2305" s="594"/>
      <c r="M2305" s="92"/>
      <c r="N2305" s="92"/>
      <c r="O2305" s="93">
        <f t="shared" si="1388"/>
        <v>0</v>
      </c>
      <c r="P2305" s="93">
        <f t="shared" si="1389"/>
        <v>0</v>
      </c>
      <c r="Q2305" s="94"/>
      <c r="R2305" s="92">
        <f t="shared" si="1393"/>
        <v>0</v>
      </c>
      <c r="S2305" s="92">
        <f t="shared" si="1393"/>
        <v>0</v>
      </c>
      <c r="T2305" s="93">
        <f t="shared" si="1390"/>
        <v>0</v>
      </c>
      <c r="U2305" s="95">
        <f t="shared" si="1385"/>
        <v>0</v>
      </c>
      <c r="V2305" s="94"/>
      <c r="W2305" s="96" t="str">
        <f>IF(U2303&gt;0,"xx",IF(P2303&gt;0,"xy",""))</f>
        <v>xx</v>
      </c>
      <c r="X2305" s="580" t="str">
        <f t="shared" si="1378"/>
        <v>x</v>
      </c>
      <c r="Y2305" s="580" t="str">
        <f t="shared" si="1381"/>
        <v>x</v>
      </c>
      <c r="Z2305" s="580" t="str">
        <f t="shared" si="1383"/>
        <v/>
      </c>
    </row>
    <row r="2306" spans="1:26" hidden="1" x14ac:dyDescent="0.2">
      <c r="A2306" s="97" t="s">
        <v>165</v>
      </c>
      <c r="B2306" s="1031" t="s">
        <v>165</v>
      </c>
      <c r="C2306" s="978"/>
      <c r="D2306" s="595" t="s">
        <v>261</v>
      </c>
      <c r="E2306" s="596"/>
      <c r="F2306" s="1089">
        <v>4.7</v>
      </c>
      <c r="G2306" s="597">
        <f>VLOOKUP(D2303,'ENSAIOS DE ORÇAMENTO'!$C$3:$L$79,6,FALSE)</f>
        <v>1.3295746499999999</v>
      </c>
      <c r="H2306" s="682">
        <f>IF(F2306=0,0,IF(F2306&lt;=30,(0.7*F2306+1.45)*G2306,((0.7*30+1.45)+0.58*(F2306-30))*G2306))</f>
        <v>6.3021838409999997</v>
      </c>
      <c r="I2306" s="592"/>
      <c r="J2306" s="592"/>
      <c r="K2306" s="593">
        <f t="shared" si="1379"/>
        <v>0</v>
      </c>
      <c r="L2306" s="594"/>
      <c r="M2306" s="92"/>
      <c r="N2306" s="92"/>
      <c r="O2306" s="93">
        <f t="shared" si="1388"/>
        <v>0</v>
      </c>
      <c r="P2306" s="93">
        <f t="shared" si="1389"/>
        <v>0</v>
      </c>
      <c r="Q2306" s="94"/>
      <c r="R2306" s="92">
        <f t="shared" si="1393"/>
        <v>0</v>
      </c>
      <c r="S2306" s="92">
        <f t="shared" si="1393"/>
        <v>0</v>
      </c>
      <c r="T2306" s="93">
        <f t="shared" si="1390"/>
        <v>0</v>
      </c>
      <c r="U2306" s="95">
        <f t="shared" si="1385"/>
        <v>0</v>
      </c>
      <c r="V2306" s="94"/>
      <c r="W2306" s="96" t="str">
        <f>IF(U2303&gt;0,"xx",IF(P2303&gt;0,"xy",""))</f>
        <v>xx</v>
      </c>
      <c r="X2306" s="580" t="str">
        <f t="shared" si="1378"/>
        <v>x</v>
      </c>
      <c r="Y2306" s="580" t="str">
        <f t="shared" si="1381"/>
        <v>x</v>
      </c>
      <c r="Z2306" s="580" t="str">
        <f t="shared" si="1383"/>
        <v/>
      </c>
    </row>
    <row r="2307" spans="1:26" hidden="1" x14ac:dyDescent="0.2">
      <c r="A2307" s="97" t="s">
        <v>165</v>
      </c>
      <c r="B2307" s="1031" t="s">
        <v>165</v>
      </c>
      <c r="C2307" s="978"/>
      <c r="D2307" s="595" t="s">
        <v>419</v>
      </c>
      <c r="E2307" s="596"/>
      <c r="F2307" s="1089">
        <v>0.5</v>
      </c>
      <c r="G2307" s="597">
        <f>VLOOKUP(D2303,'ENSAIOS DE ORÇAMENTO'!$C$3:$L$79,3,FALSE)</f>
        <v>0</v>
      </c>
      <c r="H2307" s="682">
        <f>IF(F2307=0,0,IF(F2307&lt;=30,(0.7*F2307+1.45)*G2307,((0.7*30+1.45)+0.58*(F2307-30))*G2307))</f>
        <v>0</v>
      </c>
      <c r="I2307" s="592"/>
      <c r="J2307" s="592"/>
      <c r="K2307" s="593">
        <f t="shared" si="1379"/>
        <v>0</v>
      </c>
      <c r="L2307" s="594"/>
      <c r="M2307" s="92"/>
      <c r="N2307" s="92"/>
      <c r="O2307" s="93">
        <f t="shared" si="1388"/>
        <v>0</v>
      </c>
      <c r="P2307" s="93">
        <f t="shared" si="1389"/>
        <v>0</v>
      </c>
      <c r="Q2307" s="94"/>
      <c r="R2307" s="92">
        <f t="shared" si="1393"/>
        <v>0</v>
      </c>
      <c r="S2307" s="92">
        <f t="shared" si="1393"/>
        <v>0</v>
      </c>
      <c r="T2307" s="93">
        <f t="shared" si="1390"/>
        <v>0</v>
      </c>
      <c r="U2307" s="95">
        <f t="shared" si="1385"/>
        <v>0</v>
      </c>
      <c r="V2307" s="94"/>
      <c r="W2307" s="96" t="str">
        <f>IF(U2303&gt;0,"xx",IF(P2303&gt;0,"xy",""))</f>
        <v>xx</v>
      </c>
      <c r="X2307" s="580" t="str">
        <f t="shared" si="1378"/>
        <v>x</v>
      </c>
      <c r="Y2307" s="580" t="str">
        <f t="shared" si="1381"/>
        <v>x</v>
      </c>
      <c r="Z2307" s="580" t="str">
        <f t="shared" si="1383"/>
        <v/>
      </c>
    </row>
    <row r="2308" spans="1:26" hidden="1" x14ac:dyDescent="0.2">
      <c r="A2308" s="97" t="s">
        <v>165</v>
      </c>
      <c r="B2308" s="1031" t="s">
        <v>165</v>
      </c>
      <c r="C2308" s="978"/>
      <c r="D2308" s="595" t="s">
        <v>420</v>
      </c>
      <c r="E2308" s="596"/>
      <c r="F2308" s="1089">
        <v>125</v>
      </c>
      <c r="G2308" s="597">
        <f>VLOOKUP(D2303,'ENSAIOS DE ORÇAMENTO'!$C$3:$L$79,10,FALSE)</f>
        <v>0</v>
      </c>
      <c r="H2308" s="682">
        <f>IF(F2308=0,0,IF(F2308&lt;=30,(0.7*F2308+1.45)*G2308,((0.7*30+1.45)+0.58*(F2308-30))*G2308))</f>
        <v>0</v>
      </c>
      <c r="I2308" s="592"/>
      <c r="J2308" s="592"/>
      <c r="K2308" s="593">
        <f t="shared" si="1379"/>
        <v>0</v>
      </c>
      <c r="L2308" s="594"/>
      <c r="M2308" s="92"/>
      <c r="N2308" s="92"/>
      <c r="O2308" s="93">
        <f t="shared" si="1388"/>
        <v>0</v>
      </c>
      <c r="P2308" s="93">
        <f t="shared" si="1389"/>
        <v>0</v>
      </c>
      <c r="Q2308" s="94"/>
      <c r="R2308" s="92">
        <f t="shared" si="1393"/>
        <v>0</v>
      </c>
      <c r="S2308" s="92">
        <f t="shared" si="1393"/>
        <v>0</v>
      </c>
      <c r="T2308" s="93">
        <f t="shared" si="1390"/>
        <v>0</v>
      </c>
      <c r="U2308" s="95">
        <f t="shared" si="1385"/>
        <v>0</v>
      </c>
      <c r="V2308" s="94"/>
      <c r="W2308" s="96" t="str">
        <f>IF(U2303&gt;0,"xx",IF(P2303&gt;0,"xy",""))</f>
        <v>xx</v>
      </c>
      <c r="X2308" s="580" t="str">
        <f t="shared" si="1378"/>
        <v>x</v>
      </c>
      <c r="Y2308" s="580" t="str">
        <f t="shared" si="1381"/>
        <v>x</v>
      </c>
      <c r="Z2308" s="580" t="str">
        <f t="shared" si="1383"/>
        <v/>
      </c>
    </row>
    <row r="2309" spans="1:26" hidden="1" x14ac:dyDescent="0.2">
      <c r="A2309" s="97" t="s">
        <v>126</v>
      </c>
      <c r="B2309" s="1031" t="s">
        <v>126</v>
      </c>
      <c r="C2309" s="978" t="s">
        <v>212</v>
      </c>
      <c r="D2309" s="595" t="s">
        <v>432</v>
      </c>
      <c r="E2309" s="596"/>
      <c r="F2309" s="671"/>
      <c r="G2309" s="597"/>
      <c r="H2309" s="682">
        <f>SUM(H2310:H2314)</f>
        <v>331.58738930900006</v>
      </c>
      <c r="I2309" s="592">
        <f>VLOOKUP(D2309,'ENSAIOS DE ORÇAMENTO'!$C$3:$L$79,8,FALSE)</f>
        <v>1540.4644059333332</v>
      </c>
      <c r="J2309" s="592">
        <f t="shared" ref="J2309" si="1396">IF(ISBLANK(I2309),"",SUM(H2309:I2309))</f>
        <v>1872.0517952423334</v>
      </c>
      <c r="K2309" s="593">
        <f t="shared" si="1379"/>
        <v>2278.4699999999998</v>
      </c>
      <c r="L2309" s="594" t="s">
        <v>21</v>
      </c>
      <c r="M2309" s="92"/>
      <c r="N2309" s="92"/>
      <c r="O2309" s="93">
        <f t="shared" si="1388"/>
        <v>0</v>
      </c>
      <c r="P2309" s="93">
        <f t="shared" si="1389"/>
        <v>0</v>
      </c>
      <c r="Q2309" s="94"/>
      <c r="R2309" s="92">
        <f t="shared" si="1393"/>
        <v>0</v>
      </c>
      <c r="S2309" s="92">
        <f t="shared" si="1393"/>
        <v>0</v>
      </c>
      <c r="T2309" s="93">
        <f t="shared" si="1390"/>
        <v>0</v>
      </c>
      <c r="U2309" s="95">
        <f t="shared" si="1385"/>
        <v>0</v>
      </c>
      <c r="V2309" s="94"/>
      <c r="X2309" s="580" t="str">
        <f t="shared" si="1378"/>
        <v/>
      </c>
      <c r="Y2309" s="580" t="str">
        <f t="shared" si="1381"/>
        <v/>
      </c>
      <c r="Z2309" s="580" t="str">
        <f t="shared" si="1383"/>
        <v/>
      </c>
    </row>
    <row r="2310" spans="1:26" hidden="1" x14ac:dyDescent="0.2">
      <c r="A2310" s="97" t="s">
        <v>165</v>
      </c>
      <c r="B2310" s="1031" t="s">
        <v>165</v>
      </c>
      <c r="C2310" s="978"/>
      <c r="D2310" s="595" t="s">
        <v>218</v>
      </c>
      <c r="E2310" s="596"/>
      <c r="F2310" s="671">
        <v>500</v>
      </c>
      <c r="G2310" s="597">
        <f>VLOOKUP(D2309,'ENSAIOS DE ORÇAMENTO'!$C$3:$L$79,4,FALSE)</f>
        <v>0.56408220000000009</v>
      </c>
      <c r="H2310" s="682">
        <f>IF(F2310&lt;=30,(0.51*F2310+4.28)*G2310,((0.51*30+4.28)+0.42*(F2310-30))*G2310)</f>
        <v>122.39455575600003</v>
      </c>
      <c r="I2310" s="592"/>
      <c r="J2310" s="592"/>
      <c r="K2310" s="593">
        <f t="shared" si="1379"/>
        <v>0</v>
      </c>
      <c r="L2310" s="594"/>
      <c r="M2310" s="92"/>
      <c r="N2310" s="92"/>
      <c r="O2310" s="93">
        <f t="shared" si="1388"/>
        <v>0</v>
      </c>
      <c r="P2310" s="93">
        <f t="shared" si="1389"/>
        <v>0</v>
      </c>
      <c r="Q2310" s="94"/>
      <c r="R2310" s="92">
        <f t="shared" si="1393"/>
        <v>0</v>
      </c>
      <c r="S2310" s="92">
        <f t="shared" si="1393"/>
        <v>0</v>
      </c>
      <c r="T2310" s="93">
        <f t="shared" si="1390"/>
        <v>0</v>
      </c>
      <c r="U2310" s="95">
        <f t="shared" si="1385"/>
        <v>0</v>
      </c>
      <c r="V2310" s="94"/>
      <c r="W2310" s="96" t="str">
        <f>IF(U2309&gt;0,"xx",IF(P2309&gt;0,"xy",""))</f>
        <v/>
      </c>
      <c r="X2310" s="580" t="str">
        <f t="shared" si="1378"/>
        <v/>
      </c>
      <c r="Y2310" s="580" t="str">
        <f t="shared" si="1381"/>
        <v/>
      </c>
      <c r="Z2310" s="580" t="str">
        <f t="shared" si="1383"/>
        <v/>
      </c>
    </row>
    <row r="2311" spans="1:26" hidden="1" x14ac:dyDescent="0.2">
      <c r="A2311" s="97" t="s">
        <v>165</v>
      </c>
      <c r="B2311" s="1031" t="s">
        <v>165</v>
      </c>
      <c r="C2311" s="978"/>
      <c r="D2311" s="595" t="s">
        <v>257</v>
      </c>
      <c r="E2311" s="596"/>
      <c r="F2311" s="671">
        <v>180</v>
      </c>
      <c r="G2311" s="597">
        <f>VLOOKUP(D2309,'ENSAIOS DE ORÇAMENTO'!$C$3:$L$79,5,FALSE)</f>
        <v>1.6356421400000001</v>
      </c>
      <c r="H2311" s="682">
        <f>IF(F2311=0,0,IF(F2311&lt;=30,(0.7*F2311+1.45)*G2311,((0.7*30+1.45)+0.58*(F2311-30))*G2311))</f>
        <v>179.02103222300002</v>
      </c>
      <c r="I2311" s="592"/>
      <c r="J2311" s="592"/>
      <c r="K2311" s="593">
        <f t="shared" si="1379"/>
        <v>0</v>
      </c>
      <c r="L2311" s="594"/>
      <c r="M2311" s="92"/>
      <c r="N2311" s="92"/>
      <c r="O2311" s="93">
        <f t="shared" si="1388"/>
        <v>0</v>
      </c>
      <c r="P2311" s="93">
        <f t="shared" si="1389"/>
        <v>0</v>
      </c>
      <c r="Q2311" s="94"/>
      <c r="R2311" s="92">
        <f t="shared" si="1393"/>
        <v>0</v>
      </c>
      <c r="S2311" s="92">
        <f t="shared" si="1393"/>
        <v>0</v>
      </c>
      <c r="T2311" s="93">
        <f t="shared" si="1390"/>
        <v>0</v>
      </c>
      <c r="U2311" s="95">
        <f t="shared" si="1385"/>
        <v>0</v>
      </c>
      <c r="V2311" s="94"/>
      <c r="W2311" s="96" t="str">
        <f>IF(U2309&gt;0,"xx",IF(P2309&gt;0,"xy",""))</f>
        <v/>
      </c>
      <c r="X2311" s="580" t="str">
        <f t="shared" si="1378"/>
        <v/>
      </c>
      <c r="Y2311" s="580" t="str">
        <f t="shared" si="1381"/>
        <v/>
      </c>
      <c r="Z2311" s="580" t="str">
        <f t="shared" si="1383"/>
        <v/>
      </c>
    </row>
    <row r="2312" spans="1:26" hidden="1" x14ac:dyDescent="0.2">
      <c r="A2312" s="97" t="s">
        <v>165</v>
      </c>
      <c r="B2312" s="1031" t="s">
        <v>165</v>
      </c>
      <c r="C2312" s="978"/>
      <c r="D2312" s="595" t="s">
        <v>261</v>
      </c>
      <c r="E2312" s="596"/>
      <c r="F2312" s="671">
        <v>20</v>
      </c>
      <c r="G2312" s="597">
        <f>VLOOKUP(D2309,'ENSAIOS DE ORÇAMENTO'!$C$3:$L$79,6,FALSE)</f>
        <v>1.9528674000000004</v>
      </c>
      <c r="H2312" s="682">
        <f>IF(F2312=0,0,IF(F2312&lt;=30,(0.7*F2312+1.45)*G2312,((0.7*30+1.45)+0.58*(F2312-30))*G2312))</f>
        <v>30.171801330000005</v>
      </c>
      <c r="I2312" s="592"/>
      <c r="J2312" s="592"/>
      <c r="K2312" s="593">
        <f t="shared" si="1379"/>
        <v>0</v>
      </c>
      <c r="L2312" s="594"/>
      <c r="M2312" s="92"/>
      <c r="N2312" s="92"/>
      <c r="O2312" s="93">
        <f t="shared" si="1388"/>
        <v>0</v>
      </c>
      <c r="P2312" s="93">
        <f t="shared" si="1389"/>
        <v>0</v>
      </c>
      <c r="Q2312" s="94"/>
      <c r="R2312" s="92">
        <f t="shared" si="1393"/>
        <v>0</v>
      </c>
      <c r="S2312" s="92">
        <f t="shared" si="1393"/>
        <v>0</v>
      </c>
      <c r="T2312" s="93">
        <f t="shared" si="1390"/>
        <v>0</v>
      </c>
      <c r="U2312" s="95">
        <f t="shared" si="1385"/>
        <v>0</v>
      </c>
      <c r="V2312" s="94"/>
      <c r="W2312" s="96" t="str">
        <f>IF(U2309&gt;0,"xx",IF(P2309&gt;0,"xy",""))</f>
        <v/>
      </c>
      <c r="X2312" s="580" t="str">
        <f t="shared" si="1378"/>
        <v/>
      </c>
      <c r="Y2312" s="580" t="str">
        <f t="shared" si="1381"/>
        <v/>
      </c>
      <c r="Z2312" s="580" t="str">
        <f t="shared" si="1383"/>
        <v/>
      </c>
    </row>
    <row r="2313" spans="1:26" hidden="1" x14ac:dyDescent="0.2">
      <c r="A2313" s="97" t="s">
        <v>165</v>
      </c>
      <c r="B2313" s="1031" t="s">
        <v>165</v>
      </c>
      <c r="C2313" s="978"/>
      <c r="D2313" s="595" t="s">
        <v>419</v>
      </c>
      <c r="E2313" s="596"/>
      <c r="F2313" s="671">
        <v>30</v>
      </c>
      <c r="G2313" s="597">
        <f>VLOOKUP(D2309,'ENSAIOS DE ORÇAMENTO'!$C$3:$L$79,3,FALSE)</f>
        <v>0</v>
      </c>
      <c r="H2313" s="682">
        <f>IF(F2313=0,0,IF(F2313&lt;=30,(0.7*F2313+1.45)*G2313,((0.7*30+1.45)+0.58*(F2313-30))*G2313))</f>
        <v>0</v>
      </c>
      <c r="I2313" s="592"/>
      <c r="J2313" s="592"/>
      <c r="K2313" s="593">
        <f t="shared" si="1379"/>
        <v>0</v>
      </c>
      <c r="L2313" s="594"/>
      <c r="M2313" s="92"/>
      <c r="N2313" s="92"/>
      <c r="O2313" s="93">
        <f t="shared" si="1388"/>
        <v>0</v>
      </c>
      <c r="P2313" s="93">
        <f t="shared" si="1389"/>
        <v>0</v>
      </c>
      <c r="Q2313" s="94"/>
      <c r="R2313" s="92">
        <f t="shared" si="1393"/>
        <v>0</v>
      </c>
      <c r="S2313" s="92">
        <f t="shared" si="1393"/>
        <v>0</v>
      </c>
      <c r="T2313" s="93">
        <f t="shared" si="1390"/>
        <v>0</v>
      </c>
      <c r="U2313" s="95">
        <f t="shared" si="1385"/>
        <v>0</v>
      </c>
      <c r="V2313" s="94"/>
      <c r="W2313" s="96" t="str">
        <f>IF(U2309&gt;0,"xx",IF(P2309&gt;0,"xy",""))</f>
        <v/>
      </c>
      <c r="X2313" s="580" t="str">
        <f t="shared" si="1378"/>
        <v/>
      </c>
      <c r="Y2313" s="580" t="str">
        <f t="shared" si="1381"/>
        <v/>
      </c>
      <c r="Z2313" s="580" t="str">
        <f t="shared" si="1383"/>
        <v/>
      </c>
    </row>
    <row r="2314" spans="1:26" hidden="1" x14ac:dyDescent="0.2">
      <c r="A2314" s="97" t="s">
        <v>165</v>
      </c>
      <c r="B2314" s="1031" t="s">
        <v>165</v>
      </c>
      <c r="C2314" s="978"/>
      <c r="D2314" s="595" t="s">
        <v>420</v>
      </c>
      <c r="E2314" s="596"/>
      <c r="F2314" s="671">
        <v>500</v>
      </c>
      <c r="G2314" s="597">
        <f>VLOOKUP(D2309,'ENSAIOS DE ORÇAMENTO'!$C$3:$L$79,10,FALSE)</f>
        <v>0</v>
      </c>
      <c r="H2314" s="682">
        <f>IF(F2314=0,0,IF(F2314&lt;=30,(0.7*F2314+1.45)*G2314,((0.7*30+1.45)+0.58*(F2314-30))*G2314))</f>
        <v>0</v>
      </c>
      <c r="I2314" s="592"/>
      <c r="J2314" s="592"/>
      <c r="K2314" s="593">
        <f t="shared" si="1379"/>
        <v>0</v>
      </c>
      <c r="L2314" s="594"/>
      <c r="M2314" s="92"/>
      <c r="N2314" s="92"/>
      <c r="O2314" s="93">
        <f t="shared" si="1388"/>
        <v>0</v>
      </c>
      <c r="P2314" s="93">
        <f t="shared" si="1389"/>
        <v>0</v>
      </c>
      <c r="Q2314" s="94"/>
      <c r="R2314" s="92">
        <f t="shared" si="1393"/>
        <v>0</v>
      </c>
      <c r="S2314" s="92">
        <f t="shared" si="1393"/>
        <v>0</v>
      </c>
      <c r="T2314" s="93">
        <f t="shared" si="1390"/>
        <v>0</v>
      </c>
      <c r="U2314" s="95">
        <f t="shared" si="1385"/>
        <v>0</v>
      </c>
      <c r="V2314" s="94"/>
      <c r="W2314" s="96" t="str">
        <f>IF(U2309&gt;0,"xx",IF(P2309&gt;0,"xy",""))</f>
        <v/>
      </c>
      <c r="X2314" s="580" t="str">
        <f t="shared" si="1378"/>
        <v/>
      </c>
      <c r="Y2314" s="580" t="str">
        <f t="shared" si="1381"/>
        <v/>
      </c>
      <c r="Z2314" s="580" t="str">
        <f t="shared" si="1383"/>
        <v/>
      </c>
    </row>
    <row r="2315" spans="1:26" hidden="1" x14ac:dyDescent="0.2">
      <c r="A2315" s="97" t="s">
        <v>127</v>
      </c>
      <c r="B2315" s="1031" t="s">
        <v>127</v>
      </c>
      <c r="C2315" s="978" t="s">
        <v>212</v>
      </c>
      <c r="D2315" s="595" t="s">
        <v>433</v>
      </c>
      <c r="E2315" s="596"/>
      <c r="F2315" s="671"/>
      <c r="G2315" s="597"/>
      <c r="H2315" s="682">
        <f>SUM(H2316:H2320)</f>
        <v>458.65229742400004</v>
      </c>
      <c r="I2315" s="592">
        <f>VLOOKUP(D2315,'ENSAIOS DE ORÇAMENTO'!$C$3:$L$79,8,FALSE)</f>
        <v>2105.5847392000001</v>
      </c>
      <c r="J2315" s="592">
        <f t="shared" ref="J2315" si="1397">IF(ISBLANK(I2315),"",SUM(H2315:I2315))</f>
        <v>2564.2370366240002</v>
      </c>
      <c r="K2315" s="593">
        <f t="shared" si="1379"/>
        <v>3120.93</v>
      </c>
      <c r="L2315" s="594" t="s">
        <v>21</v>
      </c>
      <c r="M2315" s="92"/>
      <c r="N2315" s="92"/>
      <c r="O2315" s="93">
        <f t="shared" si="1388"/>
        <v>0</v>
      </c>
      <c r="P2315" s="93">
        <f t="shared" si="1389"/>
        <v>0</v>
      </c>
      <c r="Q2315" s="94"/>
      <c r="R2315" s="92">
        <f t="shared" si="1393"/>
        <v>0</v>
      </c>
      <c r="S2315" s="92">
        <f t="shared" si="1393"/>
        <v>0</v>
      </c>
      <c r="T2315" s="93">
        <f t="shared" si="1390"/>
        <v>0</v>
      </c>
      <c r="U2315" s="95">
        <f t="shared" si="1385"/>
        <v>0</v>
      </c>
      <c r="V2315" s="94"/>
      <c r="X2315" s="580" t="str">
        <f t="shared" ref="X2315:X2378" si="1398">IF(W2315="X","x",IF(W2315="xx","x",IF(W2315="xy","x",IF(W2315="y","x",IF(OR(P2315&gt;0,U2315&gt;0),"x","")))))</f>
        <v/>
      </c>
      <c r="Y2315" s="580" t="str">
        <f t="shared" si="1381"/>
        <v/>
      </c>
      <c r="Z2315" s="580" t="str">
        <f t="shared" si="1383"/>
        <v/>
      </c>
    </row>
    <row r="2316" spans="1:26" hidden="1" x14ac:dyDescent="0.2">
      <c r="A2316" s="97" t="s">
        <v>165</v>
      </c>
      <c r="B2316" s="1031" t="s">
        <v>165</v>
      </c>
      <c r="C2316" s="978"/>
      <c r="D2316" s="595" t="s">
        <v>218</v>
      </c>
      <c r="E2316" s="596"/>
      <c r="F2316" s="671">
        <v>500</v>
      </c>
      <c r="G2316" s="597">
        <f>VLOOKUP(D2315,'ENSAIOS DE ORÇAMENTO'!$C$3:$L$79,4,FALSE)</f>
        <v>0.77929919999999997</v>
      </c>
      <c r="H2316" s="682">
        <f>IF(F2316&lt;=30,(0.51*F2316+4.28)*G2316,((0.51*30+4.28)+0.42*(F2316-30))*G2316)</f>
        <v>169.09234041600001</v>
      </c>
      <c r="I2316" s="592"/>
      <c r="J2316" s="592"/>
      <c r="K2316" s="593">
        <f t="shared" si="1379"/>
        <v>0</v>
      </c>
      <c r="L2316" s="594"/>
      <c r="M2316" s="92"/>
      <c r="N2316" s="92"/>
      <c r="O2316" s="93">
        <f t="shared" si="1388"/>
        <v>0</v>
      </c>
      <c r="P2316" s="93">
        <f t="shared" si="1389"/>
        <v>0</v>
      </c>
      <c r="Q2316" s="94"/>
      <c r="R2316" s="92">
        <f t="shared" si="1393"/>
        <v>0</v>
      </c>
      <c r="S2316" s="92">
        <f t="shared" si="1393"/>
        <v>0</v>
      </c>
      <c r="T2316" s="93">
        <f t="shared" si="1390"/>
        <v>0</v>
      </c>
      <c r="U2316" s="95">
        <f t="shared" si="1385"/>
        <v>0</v>
      </c>
      <c r="V2316" s="94"/>
      <c r="W2316" s="96" t="str">
        <f>IF(U2315&gt;0,"xx",IF(P2315&gt;0,"xy",""))</f>
        <v/>
      </c>
      <c r="X2316" s="580" t="str">
        <f t="shared" si="1398"/>
        <v/>
      </c>
      <c r="Y2316" s="580" t="str">
        <f t="shared" si="1381"/>
        <v/>
      </c>
      <c r="Z2316" s="580" t="str">
        <f t="shared" si="1383"/>
        <v/>
      </c>
    </row>
    <row r="2317" spans="1:26" hidden="1" x14ac:dyDescent="0.2">
      <c r="A2317" s="97" t="s">
        <v>165</v>
      </c>
      <c r="B2317" s="1031" t="s">
        <v>165</v>
      </c>
      <c r="C2317" s="978"/>
      <c r="D2317" s="595" t="s">
        <v>257</v>
      </c>
      <c r="E2317" s="596"/>
      <c r="F2317" s="671">
        <v>180</v>
      </c>
      <c r="G2317" s="597">
        <f>VLOOKUP(D2315,'ENSAIOS DE ORÇAMENTO'!$C$3:$L$79,5,FALSE)</f>
        <v>2.26417504</v>
      </c>
      <c r="H2317" s="682">
        <f>IF(F2317=0,0,IF(F2317&lt;=30,(0.7*F2317+1.45)*G2317,((0.7*30+1.45)+0.58*(F2317-30))*G2317))</f>
        <v>247.813958128</v>
      </c>
      <c r="I2317" s="592"/>
      <c r="J2317" s="592"/>
      <c r="K2317" s="593">
        <f t="shared" ref="K2317:K2380" si="1399">IF(ISBLANK(I2317),0,ROUND(J2317*(1+$F$10)*(1+$F$11*E2317),2))</f>
        <v>0</v>
      </c>
      <c r="L2317" s="594"/>
      <c r="M2317" s="92"/>
      <c r="N2317" s="92"/>
      <c r="O2317" s="93">
        <f t="shared" si="1388"/>
        <v>0</v>
      </c>
      <c r="P2317" s="93">
        <f t="shared" si="1389"/>
        <v>0</v>
      </c>
      <c r="Q2317" s="94"/>
      <c r="R2317" s="92">
        <f t="shared" si="1393"/>
        <v>0</v>
      </c>
      <c r="S2317" s="92">
        <f t="shared" si="1393"/>
        <v>0</v>
      </c>
      <c r="T2317" s="93">
        <f t="shared" si="1390"/>
        <v>0</v>
      </c>
      <c r="U2317" s="95">
        <f t="shared" si="1385"/>
        <v>0</v>
      </c>
      <c r="V2317" s="94"/>
      <c r="W2317" s="96" t="str">
        <f>IF(U2315&gt;0,"xx",IF(P2315&gt;0,"xy",""))</f>
        <v/>
      </c>
      <c r="X2317" s="580" t="str">
        <f t="shared" si="1398"/>
        <v/>
      </c>
      <c r="Y2317" s="580" t="str">
        <f t="shared" si="1381"/>
        <v/>
      </c>
      <c r="Z2317" s="580" t="str">
        <f t="shared" si="1383"/>
        <v/>
      </c>
    </row>
    <row r="2318" spans="1:26" hidden="1" x14ac:dyDescent="0.2">
      <c r="A2318" s="97" t="s">
        <v>165</v>
      </c>
      <c r="B2318" s="1031" t="s">
        <v>165</v>
      </c>
      <c r="C2318" s="978"/>
      <c r="D2318" s="595" t="s">
        <v>261</v>
      </c>
      <c r="E2318" s="596"/>
      <c r="F2318" s="671">
        <v>20</v>
      </c>
      <c r="G2318" s="597">
        <f>VLOOKUP(D2315,'ENSAIOS DE ORÇAMENTO'!$C$3:$L$79,6,FALSE)</f>
        <v>2.7020064000000001</v>
      </c>
      <c r="H2318" s="682">
        <f>IF(F2318=0,0,IF(F2318&lt;=30,(0.7*F2318+1.45)*G2318,((0.7*30+1.45)+0.58*(F2318-30))*G2318))</f>
        <v>41.745998880000002</v>
      </c>
      <c r="I2318" s="592"/>
      <c r="J2318" s="592"/>
      <c r="K2318" s="593">
        <f t="shared" si="1399"/>
        <v>0</v>
      </c>
      <c r="L2318" s="594"/>
      <c r="M2318" s="92"/>
      <c r="N2318" s="92"/>
      <c r="O2318" s="93">
        <f t="shared" si="1388"/>
        <v>0</v>
      </c>
      <c r="P2318" s="93">
        <f t="shared" si="1389"/>
        <v>0</v>
      </c>
      <c r="Q2318" s="94"/>
      <c r="R2318" s="92">
        <f t="shared" si="1393"/>
        <v>0</v>
      </c>
      <c r="S2318" s="92">
        <f t="shared" si="1393"/>
        <v>0</v>
      </c>
      <c r="T2318" s="93">
        <f t="shared" si="1390"/>
        <v>0</v>
      </c>
      <c r="U2318" s="95">
        <f t="shared" si="1385"/>
        <v>0</v>
      </c>
      <c r="V2318" s="94"/>
      <c r="W2318" s="96" t="str">
        <f>IF(U2315&gt;0,"xx",IF(P2315&gt;0,"xy",""))</f>
        <v/>
      </c>
      <c r="X2318" s="580" t="str">
        <f t="shared" si="1398"/>
        <v/>
      </c>
      <c r="Y2318" s="580" t="str">
        <f t="shared" si="1381"/>
        <v/>
      </c>
      <c r="Z2318" s="580" t="str">
        <f t="shared" si="1383"/>
        <v/>
      </c>
    </row>
    <row r="2319" spans="1:26" hidden="1" x14ac:dyDescent="0.2">
      <c r="A2319" s="97" t="s">
        <v>165</v>
      </c>
      <c r="B2319" s="1031" t="s">
        <v>165</v>
      </c>
      <c r="C2319" s="978"/>
      <c r="D2319" s="595" t="s">
        <v>419</v>
      </c>
      <c r="E2319" s="596"/>
      <c r="F2319" s="671">
        <v>30</v>
      </c>
      <c r="G2319" s="597">
        <f>VLOOKUP(D2315,'ENSAIOS DE ORÇAMENTO'!$C$3:$L$79,3,FALSE)</f>
        <v>0</v>
      </c>
      <c r="H2319" s="682">
        <f>IF(F2319=0,0,IF(F2319&lt;=30,(0.7*F2319+1.45)*G2319,((0.7*30+1.45)+0.58*(F2319-30))*G2319))</f>
        <v>0</v>
      </c>
      <c r="I2319" s="592"/>
      <c r="J2319" s="592"/>
      <c r="K2319" s="593">
        <f t="shared" si="1399"/>
        <v>0</v>
      </c>
      <c r="L2319" s="594"/>
      <c r="M2319" s="92"/>
      <c r="N2319" s="92"/>
      <c r="O2319" s="93">
        <f t="shared" si="1388"/>
        <v>0</v>
      </c>
      <c r="P2319" s="93">
        <f t="shared" si="1389"/>
        <v>0</v>
      </c>
      <c r="Q2319" s="94"/>
      <c r="R2319" s="92">
        <f t="shared" si="1393"/>
        <v>0</v>
      </c>
      <c r="S2319" s="92">
        <f t="shared" si="1393"/>
        <v>0</v>
      </c>
      <c r="T2319" s="93">
        <f t="shared" si="1390"/>
        <v>0</v>
      </c>
      <c r="U2319" s="95">
        <f t="shared" si="1385"/>
        <v>0</v>
      </c>
      <c r="V2319" s="94"/>
      <c r="W2319" s="96" t="str">
        <f>IF(U2315&gt;0,"xx",IF(P2315&gt;0,"xy",""))</f>
        <v/>
      </c>
      <c r="X2319" s="580" t="str">
        <f t="shared" si="1398"/>
        <v/>
      </c>
      <c r="Y2319" s="580" t="str">
        <f t="shared" si="1381"/>
        <v/>
      </c>
      <c r="Z2319" s="580" t="str">
        <f t="shared" si="1383"/>
        <v/>
      </c>
    </row>
    <row r="2320" spans="1:26" hidden="1" x14ac:dyDescent="0.2">
      <c r="A2320" s="97" t="s">
        <v>165</v>
      </c>
      <c r="B2320" s="1031" t="s">
        <v>165</v>
      </c>
      <c r="C2320" s="978"/>
      <c r="D2320" s="595" t="s">
        <v>420</v>
      </c>
      <c r="E2320" s="596"/>
      <c r="F2320" s="671">
        <v>500</v>
      </c>
      <c r="G2320" s="597">
        <f>VLOOKUP(D2315,'ENSAIOS DE ORÇAMENTO'!$C$3:$L$79,10,FALSE)</f>
        <v>0</v>
      </c>
      <c r="H2320" s="682">
        <f>IF(F2320=0,0,IF(F2320&lt;=30,(0.7*F2320+1.45)*G2320,((0.7*30+1.45)+0.58*(F2320-30))*G2320))</f>
        <v>0</v>
      </c>
      <c r="I2320" s="592"/>
      <c r="J2320" s="592"/>
      <c r="K2320" s="593">
        <f t="shared" si="1399"/>
        <v>0</v>
      </c>
      <c r="L2320" s="594"/>
      <c r="M2320" s="92"/>
      <c r="N2320" s="92"/>
      <c r="O2320" s="93">
        <f t="shared" si="1388"/>
        <v>0</v>
      </c>
      <c r="P2320" s="93">
        <f t="shared" si="1389"/>
        <v>0</v>
      </c>
      <c r="Q2320" s="94"/>
      <c r="R2320" s="92">
        <f t="shared" si="1393"/>
        <v>0</v>
      </c>
      <c r="S2320" s="92">
        <f t="shared" si="1393"/>
        <v>0</v>
      </c>
      <c r="T2320" s="93">
        <f t="shared" si="1390"/>
        <v>0</v>
      </c>
      <c r="U2320" s="95">
        <f t="shared" si="1385"/>
        <v>0</v>
      </c>
      <c r="V2320" s="94"/>
      <c r="W2320" s="96" t="str">
        <f>IF(U2315&gt;0,"xx",IF(P2315&gt;0,"xy",""))</f>
        <v/>
      </c>
      <c r="X2320" s="580" t="str">
        <f t="shared" si="1398"/>
        <v/>
      </c>
      <c r="Y2320" s="580" t="str">
        <f t="shared" si="1381"/>
        <v/>
      </c>
      <c r="Z2320" s="580" t="str">
        <f t="shared" si="1383"/>
        <v/>
      </c>
    </row>
    <row r="2321" spans="1:26" hidden="1" x14ac:dyDescent="0.2">
      <c r="A2321" s="97" t="s">
        <v>128</v>
      </c>
      <c r="B2321" s="1031" t="s">
        <v>128</v>
      </c>
      <c r="C2321" s="978" t="s">
        <v>212</v>
      </c>
      <c r="D2321" s="595" t="s">
        <v>434</v>
      </c>
      <c r="E2321" s="596"/>
      <c r="F2321" s="671"/>
      <c r="G2321" s="597"/>
      <c r="H2321" s="682">
        <f>SUM(H2322:H2326)</f>
        <v>82.395116016000031</v>
      </c>
      <c r="I2321" s="592">
        <f>VLOOKUP(D2321,'ENSAIOS DE ORÇAMENTO'!$C$3:$L$79,8,FALSE)</f>
        <v>898.02175626666678</v>
      </c>
      <c r="J2321" s="592">
        <f t="shared" ref="J2321" si="1400">IF(ISBLANK(I2321),"",SUM(H2321:I2321))</f>
        <v>980.41687228266687</v>
      </c>
      <c r="K2321" s="593">
        <f t="shared" si="1399"/>
        <v>1193.27</v>
      </c>
      <c r="L2321" s="594" t="s">
        <v>21</v>
      </c>
      <c r="M2321" s="92"/>
      <c r="N2321" s="92"/>
      <c r="O2321" s="93">
        <f t="shared" si="1388"/>
        <v>0</v>
      </c>
      <c r="P2321" s="93">
        <f t="shared" si="1389"/>
        <v>0</v>
      </c>
      <c r="Q2321" s="94"/>
      <c r="R2321" s="92">
        <f t="shared" si="1393"/>
        <v>0</v>
      </c>
      <c r="S2321" s="92">
        <f t="shared" si="1393"/>
        <v>0</v>
      </c>
      <c r="T2321" s="93">
        <f t="shared" si="1390"/>
        <v>0</v>
      </c>
      <c r="U2321" s="95">
        <f t="shared" si="1385"/>
        <v>0</v>
      </c>
      <c r="V2321" s="94"/>
      <c r="X2321" s="580" t="str">
        <f t="shared" si="1398"/>
        <v/>
      </c>
      <c r="Y2321" s="580" t="str">
        <f t="shared" ref="Y2321:Y2384" si="1401">IF(W2321="X","x",IF(W2321="y","x",IF(W2321="xx","x",IF(U2321&gt;0,"x",""))))</f>
        <v/>
      </c>
      <c r="Z2321" s="580" t="str">
        <f t="shared" si="1383"/>
        <v/>
      </c>
    </row>
    <row r="2322" spans="1:26" hidden="1" x14ac:dyDescent="0.2">
      <c r="A2322" s="97" t="s">
        <v>165</v>
      </c>
      <c r="B2322" s="1031" t="s">
        <v>165</v>
      </c>
      <c r="C2322" s="978"/>
      <c r="D2322" s="595" t="s">
        <v>218</v>
      </c>
      <c r="E2322" s="596"/>
      <c r="F2322" s="671">
        <v>500</v>
      </c>
      <c r="G2322" s="597">
        <f>VLOOKUP(D2321,'ENSAIOS DE ORÇAMENTO'!$C$3:$L$79,4,FALSE)</f>
        <v>0.13625280000000003</v>
      </c>
      <c r="H2322" s="682">
        <f>IF(F2322&lt;=30,(0.51*F2322+4.28)*G2322,((0.51*30+4.28)+0.42*(F2322-30))*G2322)</f>
        <v>29.56413254400001</v>
      </c>
      <c r="I2322" s="592"/>
      <c r="J2322" s="592"/>
      <c r="K2322" s="593">
        <f t="shared" si="1399"/>
        <v>0</v>
      </c>
      <c r="L2322" s="594"/>
      <c r="M2322" s="92"/>
      <c r="N2322" s="92"/>
      <c r="O2322" s="93">
        <f t="shared" si="1388"/>
        <v>0</v>
      </c>
      <c r="P2322" s="93">
        <f t="shared" si="1389"/>
        <v>0</v>
      </c>
      <c r="Q2322" s="94"/>
      <c r="R2322" s="92">
        <f t="shared" si="1393"/>
        <v>0</v>
      </c>
      <c r="S2322" s="92">
        <f t="shared" si="1393"/>
        <v>0</v>
      </c>
      <c r="T2322" s="93">
        <f t="shared" si="1390"/>
        <v>0</v>
      </c>
      <c r="U2322" s="95">
        <f t="shared" si="1385"/>
        <v>0</v>
      </c>
      <c r="V2322" s="94"/>
      <c r="W2322" s="96" t="str">
        <f>IF(U2321&gt;0,"xx",IF(P2321&gt;0,"xy",""))</f>
        <v/>
      </c>
      <c r="X2322" s="580" t="str">
        <f t="shared" si="1398"/>
        <v/>
      </c>
      <c r="Y2322" s="580" t="str">
        <f t="shared" si="1401"/>
        <v/>
      </c>
      <c r="Z2322" s="580" t="str">
        <f t="shared" si="1383"/>
        <v/>
      </c>
    </row>
    <row r="2323" spans="1:26" hidden="1" x14ac:dyDescent="0.2">
      <c r="A2323" s="97" t="s">
        <v>165</v>
      </c>
      <c r="B2323" s="1031" t="s">
        <v>165</v>
      </c>
      <c r="C2323" s="978"/>
      <c r="D2323" s="595" t="s">
        <v>257</v>
      </c>
      <c r="E2323" s="596"/>
      <c r="F2323" s="671">
        <v>180</v>
      </c>
      <c r="G2323" s="597">
        <f>VLOOKUP(D2321,'ENSAIOS DE ORÇAMENTO'!$C$3:$L$79,5,FALSE)</f>
        <v>0.41372736000000004</v>
      </c>
      <c r="H2323" s="682">
        <f>IF(F2323=0,0,IF(F2323&lt;=30,(0.7*F2323+1.45)*G2323,((0.7*30+1.45)+0.58*(F2323-30))*G2323))</f>
        <v>45.282459552000006</v>
      </c>
      <c r="I2323" s="592"/>
      <c r="J2323" s="592"/>
      <c r="K2323" s="593">
        <f t="shared" si="1399"/>
        <v>0</v>
      </c>
      <c r="L2323" s="594"/>
      <c r="M2323" s="92"/>
      <c r="N2323" s="92"/>
      <c r="O2323" s="93">
        <f t="shared" si="1388"/>
        <v>0</v>
      </c>
      <c r="P2323" s="93">
        <f t="shared" si="1389"/>
        <v>0</v>
      </c>
      <c r="Q2323" s="94"/>
      <c r="R2323" s="92">
        <f t="shared" si="1393"/>
        <v>0</v>
      </c>
      <c r="S2323" s="92">
        <f t="shared" si="1393"/>
        <v>0</v>
      </c>
      <c r="T2323" s="93">
        <f t="shared" si="1390"/>
        <v>0</v>
      </c>
      <c r="U2323" s="95">
        <f t="shared" si="1385"/>
        <v>0</v>
      </c>
      <c r="V2323" s="94"/>
      <c r="W2323" s="96" t="str">
        <f>IF(U2321&gt;0,"xx",IF(P2321&gt;0,"xy",""))</f>
        <v/>
      </c>
      <c r="X2323" s="580" t="str">
        <f t="shared" si="1398"/>
        <v/>
      </c>
      <c r="Y2323" s="580" t="str">
        <f t="shared" si="1401"/>
        <v/>
      </c>
      <c r="Z2323" s="580" t="str">
        <f t="shared" si="1383"/>
        <v/>
      </c>
    </row>
    <row r="2324" spans="1:26" hidden="1" x14ac:dyDescent="0.2">
      <c r="A2324" s="97" t="s">
        <v>165</v>
      </c>
      <c r="B2324" s="1031" t="s">
        <v>165</v>
      </c>
      <c r="C2324" s="978"/>
      <c r="D2324" s="595" t="s">
        <v>261</v>
      </c>
      <c r="E2324" s="596"/>
      <c r="F2324" s="671">
        <v>20</v>
      </c>
      <c r="G2324" s="597">
        <f>VLOOKUP(D2321,'ENSAIOS DE ORÇAMENTO'!$C$3:$L$79,6,FALSE)</f>
        <v>0.48857760000000011</v>
      </c>
      <c r="H2324" s="682">
        <f>IF(F2324=0,0,IF(F2324&lt;=30,(0.7*F2324+1.45)*G2324,((0.7*30+1.45)+0.58*(F2324-30))*G2324))</f>
        <v>7.5485239200000009</v>
      </c>
      <c r="I2324" s="592"/>
      <c r="J2324" s="592"/>
      <c r="K2324" s="593">
        <f t="shared" si="1399"/>
        <v>0</v>
      </c>
      <c r="L2324" s="594"/>
      <c r="M2324" s="92"/>
      <c r="N2324" s="92"/>
      <c r="O2324" s="93">
        <f t="shared" si="1388"/>
        <v>0</v>
      </c>
      <c r="P2324" s="93">
        <f t="shared" si="1389"/>
        <v>0</v>
      </c>
      <c r="Q2324" s="94"/>
      <c r="R2324" s="92">
        <f t="shared" si="1393"/>
        <v>0</v>
      </c>
      <c r="S2324" s="92">
        <f t="shared" si="1393"/>
        <v>0</v>
      </c>
      <c r="T2324" s="93">
        <f t="shared" si="1390"/>
        <v>0</v>
      </c>
      <c r="U2324" s="95">
        <f t="shared" si="1385"/>
        <v>0</v>
      </c>
      <c r="V2324" s="94"/>
      <c r="W2324" s="96" t="str">
        <f>IF(U2321&gt;0,"xx",IF(P2321&gt;0,"xy",""))</f>
        <v/>
      </c>
      <c r="X2324" s="580" t="str">
        <f t="shared" si="1398"/>
        <v/>
      </c>
      <c r="Y2324" s="580" t="str">
        <f t="shared" si="1401"/>
        <v/>
      </c>
      <c r="Z2324" s="580" t="str">
        <f t="shared" si="1383"/>
        <v/>
      </c>
    </row>
    <row r="2325" spans="1:26" hidden="1" x14ac:dyDescent="0.2">
      <c r="A2325" s="97" t="s">
        <v>165</v>
      </c>
      <c r="B2325" s="1031" t="s">
        <v>165</v>
      </c>
      <c r="C2325" s="978"/>
      <c r="D2325" s="595" t="s">
        <v>419</v>
      </c>
      <c r="E2325" s="596"/>
      <c r="F2325" s="671">
        <v>30</v>
      </c>
      <c r="G2325" s="597">
        <f>VLOOKUP(D2321,'ENSAIOS DE ORÇAMENTO'!$C$3:$L$79,3,FALSE)</f>
        <v>0</v>
      </c>
      <c r="H2325" s="682">
        <f>IF(F2325=0,0,IF(F2325&lt;=30,(0.7*F2325+1.45)*G2325,((0.7*30+1.45)+0.58*(F2325-30))*G2325))</f>
        <v>0</v>
      </c>
      <c r="I2325" s="592"/>
      <c r="J2325" s="592"/>
      <c r="K2325" s="593">
        <f t="shared" si="1399"/>
        <v>0</v>
      </c>
      <c r="L2325" s="594"/>
      <c r="M2325" s="92"/>
      <c r="N2325" s="92"/>
      <c r="O2325" s="93">
        <f t="shared" si="1388"/>
        <v>0</v>
      </c>
      <c r="P2325" s="93">
        <f t="shared" si="1389"/>
        <v>0</v>
      </c>
      <c r="Q2325" s="94"/>
      <c r="R2325" s="92">
        <f t="shared" si="1393"/>
        <v>0</v>
      </c>
      <c r="S2325" s="92">
        <f t="shared" si="1393"/>
        <v>0</v>
      </c>
      <c r="T2325" s="93">
        <f t="shared" si="1390"/>
        <v>0</v>
      </c>
      <c r="U2325" s="95">
        <f t="shared" si="1385"/>
        <v>0</v>
      </c>
      <c r="V2325" s="94"/>
      <c r="W2325" s="96" t="str">
        <f>IF(U2321&gt;0,"xx",IF(P2321&gt;0,"xy",""))</f>
        <v/>
      </c>
      <c r="X2325" s="580" t="str">
        <f t="shared" si="1398"/>
        <v/>
      </c>
      <c r="Y2325" s="580" t="str">
        <f t="shared" si="1401"/>
        <v/>
      </c>
      <c r="Z2325" s="580" t="str">
        <f t="shared" si="1383"/>
        <v/>
      </c>
    </row>
    <row r="2326" spans="1:26" hidden="1" x14ac:dyDescent="0.2">
      <c r="A2326" s="97" t="s">
        <v>165</v>
      </c>
      <c r="B2326" s="1031" t="s">
        <v>165</v>
      </c>
      <c r="C2326" s="978"/>
      <c r="D2326" s="595" t="s">
        <v>420</v>
      </c>
      <c r="E2326" s="596"/>
      <c r="F2326" s="671">
        <v>500</v>
      </c>
      <c r="G2326" s="597">
        <f>VLOOKUP(D2321,'ENSAIOS DE ORÇAMENTO'!$C$3:$L$79,10,FALSE)</f>
        <v>0</v>
      </c>
      <c r="H2326" s="682">
        <f>IF(F2326=0,0,IF(F2326&lt;=30,(0.7*F2326+1.45)*G2326,((0.7*30+1.45)+0.58*(F2326-30))*G2326))</f>
        <v>0</v>
      </c>
      <c r="I2326" s="592"/>
      <c r="J2326" s="592"/>
      <c r="K2326" s="593">
        <f t="shared" si="1399"/>
        <v>0</v>
      </c>
      <c r="L2326" s="594"/>
      <c r="M2326" s="92"/>
      <c r="N2326" s="92"/>
      <c r="O2326" s="93">
        <f t="shared" si="1388"/>
        <v>0</v>
      </c>
      <c r="P2326" s="93">
        <f t="shared" si="1389"/>
        <v>0</v>
      </c>
      <c r="Q2326" s="94"/>
      <c r="R2326" s="92">
        <f t="shared" si="1393"/>
        <v>0</v>
      </c>
      <c r="S2326" s="92">
        <f t="shared" si="1393"/>
        <v>0</v>
      </c>
      <c r="T2326" s="93">
        <f t="shared" si="1390"/>
        <v>0</v>
      </c>
      <c r="U2326" s="95">
        <f t="shared" si="1385"/>
        <v>0</v>
      </c>
      <c r="V2326" s="94"/>
      <c r="W2326" s="96" t="str">
        <f>IF(U2321&gt;0,"xx",IF(P2321&gt;0,"xy",""))</f>
        <v/>
      </c>
      <c r="X2326" s="580" t="str">
        <f t="shared" si="1398"/>
        <v/>
      </c>
      <c r="Y2326" s="580" t="str">
        <f t="shared" si="1401"/>
        <v/>
      </c>
      <c r="Z2326" s="580" t="str">
        <f t="shared" si="1383"/>
        <v/>
      </c>
    </row>
    <row r="2327" spans="1:26" hidden="1" x14ac:dyDescent="0.2">
      <c r="A2327" s="97" t="s">
        <v>40</v>
      </c>
      <c r="B2327" s="1031" t="s">
        <v>40</v>
      </c>
      <c r="C2327" s="978" t="s">
        <v>212</v>
      </c>
      <c r="D2327" s="595" t="s">
        <v>435</v>
      </c>
      <c r="E2327" s="596"/>
      <c r="F2327" s="671"/>
      <c r="G2327" s="597"/>
      <c r="H2327" s="682">
        <f>SUM(H2328:H2332)</f>
        <v>125.43426439619999</v>
      </c>
      <c r="I2327" s="592">
        <f>VLOOKUP(D2327,'ENSAIOS DE ORÇAMENTO'!$C$3:$L$79,8,FALSE)</f>
        <v>1422.2802483866667</v>
      </c>
      <c r="J2327" s="592">
        <f t="shared" ref="J2327" si="1402">IF(ISBLANK(I2327),"",SUM(H2327:I2327))</f>
        <v>1547.7145127828667</v>
      </c>
      <c r="K2327" s="593">
        <f t="shared" si="1399"/>
        <v>1883.72</v>
      </c>
      <c r="L2327" s="594" t="s">
        <v>21</v>
      </c>
      <c r="M2327" s="92"/>
      <c r="N2327" s="92"/>
      <c r="O2327" s="93">
        <f t="shared" si="1388"/>
        <v>0</v>
      </c>
      <c r="P2327" s="93">
        <f t="shared" si="1389"/>
        <v>0</v>
      </c>
      <c r="Q2327" s="94"/>
      <c r="R2327" s="92">
        <f t="shared" si="1393"/>
        <v>0</v>
      </c>
      <c r="S2327" s="92">
        <f t="shared" si="1393"/>
        <v>0</v>
      </c>
      <c r="T2327" s="93">
        <f t="shared" si="1390"/>
        <v>0</v>
      </c>
      <c r="U2327" s="95">
        <f t="shared" si="1385"/>
        <v>0</v>
      </c>
      <c r="V2327" s="94"/>
      <c r="X2327" s="580" t="str">
        <f t="shared" si="1398"/>
        <v/>
      </c>
      <c r="Y2327" s="580" t="str">
        <f t="shared" si="1401"/>
        <v/>
      </c>
      <c r="Z2327" s="580" t="str">
        <f t="shared" ref="Z2327:Z2390" si="1403">IF(W2327="X","x",IF(U2327&gt;0,"x",""))</f>
        <v/>
      </c>
    </row>
    <row r="2328" spans="1:26" hidden="1" x14ac:dyDescent="0.2">
      <c r="A2328" s="97" t="s">
        <v>165</v>
      </c>
      <c r="B2328" s="1031" t="s">
        <v>165</v>
      </c>
      <c r="C2328" s="978"/>
      <c r="D2328" s="595" t="s">
        <v>218</v>
      </c>
      <c r="E2328" s="596"/>
      <c r="F2328" s="671">
        <v>500</v>
      </c>
      <c r="G2328" s="597">
        <f>VLOOKUP(D2327,'ENSAIOS DE ORÇAMENTO'!$C$3:$L$79,4,FALSE)</f>
        <v>0.21117996</v>
      </c>
      <c r="H2328" s="682">
        <f>IF(F2328&lt;=30,(0.51*F2328+4.28)*G2328,((0.51*30+4.28)+0.42*(F2328-30))*G2328)</f>
        <v>45.821827720800002</v>
      </c>
      <c r="I2328" s="592"/>
      <c r="J2328" s="592"/>
      <c r="K2328" s="593">
        <f t="shared" si="1399"/>
        <v>0</v>
      </c>
      <c r="L2328" s="594"/>
      <c r="M2328" s="92"/>
      <c r="N2328" s="92"/>
      <c r="O2328" s="93">
        <f t="shared" si="1388"/>
        <v>0</v>
      </c>
      <c r="P2328" s="93">
        <f t="shared" si="1389"/>
        <v>0</v>
      </c>
      <c r="Q2328" s="94"/>
      <c r="R2328" s="92">
        <f t="shared" si="1393"/>
        <v>0</v>
      </c>
      <c r="S2328" s="92">
        <f t="shared" si="1393"/>
        <v>0</v>
      </c>
      <c r="T2328" s="93">
        <f t="shared" si="1390"/>
        <v>0</v>
      </c>
      <c r="U2328" s="95">
        <f t="shared" si="1385"/>
        <v>0</v>
      </c>
      <c r="V2328" s="94"/>
      <c r="W2328" s="96" t="str">
        <f>IF(U2327&gt;0,"xx",IF(P2327&gt;0,"xy",""))</f>
        <v/>
      </c>
      <c r="X2328" s="580" t="str">
        <f t="shared" si="1398"/>
        <v/>
      </c>
      <c r="Y2328" s="580" t="str">
        <f t="shared" si="1401"/>
        <v/>
      </c>
      <c r="Z2328" s="580" t="str">
        <f t="shared" si="1403"/>
        <v/>
      </c>
    </row>
    <row r="2329" spans="1:26" hidden="1" x14ac:dyDescent="0.2">
      <c r="A2329" s="97" t="s">
        <v>165</v>
      </c>
      <c r="B2329" s="1031" t="s">
        <v>165</v>
      </c>
      <c r="C2329" s="978"/>
      <c r="D2329" s="595" t="s">
        <v>257</v>
      </c>
      <c r="E2329" s="596"/>
      <c r="F2329" s="671">
        <v>180</v>
      </c>
      <c r="G2329" s="597">
        <f>VLOOKUP(D2327,'ENSAIOS DE ORÇAMENTO'!$C$3:$L$79,5,FALSE)</f>
        <v>0.62284225199999999</v>
      </c>
      <c r="H2329" s="682">
        <f>IF(F2329=0,0,IF(F2329&lt;=30,(0.7*F2329+1.45)*G2329,((0.7*30+1.45)+0.58*(F2329-30))*G2329))</f>
        <v>68.170084481399996</v>
      </c>
      <c r="I2329" s="592"/>
      <c r="J2329" s="592"/>
      <c r="K2329" s="593">
        <f t="shared" si="1399"/>
        <v>0</v>
      </c>
      <c r="L2329" s="594"/>
      <c r="M2329" s="92"/>
      <c r="N2329" s="92"/>
      <c r="O2329" s="93">
        <f t="shared" si="1388"/>
        <v>0</v>
      </c>
      <c r="P2329" s="93">
        <f t="shared" si="1389"/>
        <v>0</v>
      </c>
      <c r="Q2329" s="94"/>
      <c r="R2329" s="92">
        <f t="shared" si="1393"/>
        <v>0</v>
      </c>
      <c r="S2329" s="92">
        <f t="shared" si="1393"/>
        <v>0</v>
      </c>
      <c r="T2329" s="93">
        <f t="shared" si="1390"/>
        <v>0</v>
      </c>
      <c r="U2329" s="95">
        <f t="shared" si="1385"/>
        <v>0</v>
      </c>
      <c r="V2329" s="94"/>
      <c r="W2329" s="96" t="str">
        <f>IF(U2327&gt;0,"xx",IF(P2327&gt;0,"xy",""))</f>
        <v/>
      </c>
      <c r="X2329" s="580" t="str">
        <f t="shared" si="1398"/>
        <v/>
      </c>
      <c r="Y2329" s="580" t="str">
        <f t="shared" si="1401"/>
        <v/>
      </c>
      <c r="Z2329" s="580" t="str">
        <f t="shared" si="1403"/>
        <v/>
      </c>
    </row>
    <row r="2330" spans="1:26" hidden="1" x14ac:dyDescent="0.2">
      <c r="A2330" s="97" t="s">
        <v>165</v>
      </c>
      <c r="B2330" s="1031" t="s">
        <v>165</v>
      </c>
      <c r="C2330" s="978"/>
      <c r="D2330" s="595" t="s">
        <v>261</v>
      </c>
      <c r="E2330" s="596"/>
      <c r="F2330" s="671">
        <v>20</v>
      </c>
      <c r="G2330" s="597">
        <f>VLOOKUP(D2327,'ENSAIOS DE ORÇAMENTO'!$C$3:$L$79,6,FALSE)</f>
        <v>0.74060532000000001</v>
      </c>
      <c r="H2330" s="682">
        <f>IF(F2330=0,0,IF(F2330&lt;=30,(0.7*F2330+1.45)*G2330,((0.7*30+1.45)+0.58*(F2330-30))*G2330))</f>
        <v>11.442352194</v>
      </c>
      <c r="I2330" s="592"/>
      <c r="J2330" s="592"/>
      <c r="K2330" s="593">
        <f t="shared" si="1399"/>
        <v>0</v>
      </c>
      <c r="L2330" s="594"/>
      <c r="M2330" s="92"/>
      <c r="N2330" s="92"/>
      <c r="O2330" s="93">
        <f t="shared" si="1388"/>
        <v>0</v>
      </c>
      <c r="P2330" s="93">
        <f t="shared" si="1389"/>
        <v>0</v>
      </c>
      <c r="Q2330" s="94"/>
      <c r="R2330" s="92">
        <f t="shared" si="1393"/>
        <v>0</v>
      </c>
      <c r="S2330" s="92">
        <f t="shared" si="1393"/>
        <v>0</v>
      </c>
      <c r="T2330" s="93">
        <f t="shared" si="1390"/>
        <v>0</v>
      </c>
      <c r="U2330" s="95">
        <f t="shared" si="1385"/>
        <v>0</v>
      </c>
      <c r="V2330" s="94"/>
      <c r="W2330" s="96" t="str">
        <f>IF(U2327&gt;0,"xx",IF(P2327&gt;0,"xy",""))</f>
        <v/>
      </c>
      <c r="X2330" s="580" t="str">
        <f t="shared" si="1398"/>
        <v/>
      </c>
      <c r="Y2330" s="580" t="str">
        <f t="shared" si="1401"/>
        <v/>
      </c>
      <c r="Z2330" s="580" t="str">
        <f t="shared" si="1403"/>
        <v/>
      </c>
    </row>
    <row r="2331" spans="1:26" hidden="1" x14ac:dyDescent="0.2">
      <c r="A2331" s="97" t="s">
        <v>165</v>
      </c>
      <c r="B2331" s="1031" t="s">
        <v>165</v>
      </c>
      <c r="C2331" s="978"/>
      <c r="D2331" s="595" t="s">
        <v>419</v>
      </c>
      <c r="E2331" s="596"/>
      <c r="F2331" s="671">
        <v>30</v>
      </c>
      <c r="G2331" s="597">
        <f>VLOOKUP(D2327,'ENSAIOS DE ORÇAMENTO'!$C$3:$L$79,3,FALSE)</f>
        <v>0</v>
      </c>
      <c r="H2331" s="682">
        <f>IF(F2331=0,0,IF(F2331&lt;=30,(0.7*F2331+1.45)*G2331,((0.7*30+1.45)+0.58*(F2331-30))*G2331))</f>
        <v>0</v>
      </c>
      <c r="I2331" s="592"/>
      <c r="J2331" s="592"/>
      <c r="K2331" s="593">
        <f t="shared" si="1399"/>
        <v>0</v>
      </c>
      <c r="L2331" s="594"/>
      <c r="M2331" s="92"/>
      <c r="N2331" s="92"/>
      <c r="O2331" s="93">
        <f t="shared" si="1388"/>
        <v>0</v>
      </c>
      <c r="P2331" s="93">
        <f t="shared" si="1389"/>
        <v>0</v>
      </c>
      <c r="Q2331" s="94"/>
      <c r="R2331" s="92">
        <f t="shared" si="1393"/>
        <v>0</v>
      </c>
      <c r="S2331" s="92">
        <f t="shared" si="1393"/>
        <v>0</v>
      </c>
      <c r="T2331" s="93">
        <f t="shared" si="1390"/>
        <v>0</v>
      </c>
      <c r="U2331" s="95">
        <f t="shared" si="1385"/>
        <v>0</v>
      </c>
      <c r="V2331" s="94"/>
      <c r="W2331" s="96" t="str">
        <f>IF(U2327&gt;0,"xx",IF(P2327&gt;0,"xy",""))</f>
        <v/>
      </c>
      <c r="X2331" s="580" t="str">
        <f t="shared" si="1398"/>
        <v/>
      </c>
      <c r="Y2331" s="580" t="str">
        <f t="shared" si="1401"/>
        <v/>
      </c>
      <c r="Z2331" s="580" t="str">
        <f t="shared" si="1403"/>
        <v/>
      </c>
    </row>
    <row r="2332" spans="1:26" hidden="1" x14ac:dyDescent="0.2">
      <c r="A2332" s="97" t="s">
        <v>165</v>
      </c>
      <c r="B2332" s="1031" t="s">
        <v>165</v>
      </c>
      <c r="C2332" s="978"/>
      <c r="D2332" s="595" t="s">
        <v>420</v>
      </c>
      <c r="E2332" s="596"/>
      <c r="F2332" s="671">
        <v>500</v>
      </c>
      <c r="G2332" s="597">
        <f>VLOOKUP(D2327,'ENSAIOS DE ORÇAMENTO'!$C$3:$L$79,10,FALSE)</f>
        <v>0</v>
      </c>
      <c r="H2332" s="682">
        <f>IF(F2332=0,0,IF(F2332&lt;=30,(0.7*F2332+1.45)*G2332,((0.7*30+1.45)+0.58*(F2332-30))*G2332))</f>
        <v>0</v>
      </c>
      <c r="I2332" s="592"/>
      <c r="J2332" s="592"/>
      <c r="K2332" s="593">
        <f t="shared" si="1399"/>
        <v>0</v>
      </c>
      <c r="L2332" s="594"/>
      <c r="M2332" s="92"/>
      <c r="N2332" s="92"/>
      <c r="O2332" s="93">
        <f t="shared" si="1388"/>
        <v>0</v>
      </c>
      <c r="P2332" s="93">
        <f t="shared" si="1389"/>
        <v>0</v>
      </c>
      <c r="Q2332" s="94"/>
      <c r="R2332" s="92">
        <f t="shared" si="1393"/>
        <v>0</v>
      </c>
      <c r="S2332" s="92">
        <f t="shared" si="1393"/>
        <v>0</v>
      </c>
      <c r="T2332" s="93">
        <f t="shared" si="1390"/>
        <v>0</v>
      </c>
      <c r="U2332" s="95">
        <f t="shared" si="1385"/>
        <v>0</v>
      </c>
      <c r="V2332" s="94"/>
      <c r="W2332" s="96" t="str">
        <f>IF(U2327&gt;0,"xx",IF(P2327&gt;0,"xy",""))</f>
        <v/>
      </c>
      <c r="X2332" s="580" t="str">
        <f t="shared" si="1398"/>
        <v/>
      </c>
      <c r="Y2332" s="580" t="str">
        <f t="shared" si="1401"/>
        <v/>
      </c>
      <c r="Z2332" s="580" t="str">
        <f t="shared" si="1403"/>
        <v/>
      </c>
    </row>
    <row r="2333" spans="1:26" hidden="1" x14ac:dyDescent="0.2">
      <c r="A2333" s="97" t="s">
        <v>41</v>
      </c>
      <c r="B2333" s="1031" t="s">
        <v>41</v>
      </c>
      <c r="C2333" s="978" t="s">
        <v>212</v>
      </c>
      <c r="D2333" s="595" t="s">
        <v>436</v>
      </c>
      <c r="E2333" s="596"/>
      <c r="F2333" s="671"/>
      <c r="G2333" s="597"/>
      <c r="H2333" s="682">
        <f>SUM(H2334:H2338)</f>
        <v>225.66676337524996</v>
      </c>
      <c r="I2333" s="592">
        <f>VLOOKUP(D2333,'ENSAIOS DE ORÇAMENTO'!$C$3:$L$79,8,FALSE)</f>
        <v>2436.5898554833334</v>
      </c>
      <c r="J2333" s="592">
        <f t="shared" ref="J2333" si="1404">IF(ISBLANK(I2333),"",SUM(H2333:I2333))</f>
        <v>2662.2566188585834</v>
      </c>
      <c r="K2333" s="593">
        <f t="shared" si="1399"/>
        <v>3240.23</v>
      </c>
      <c r="L2333" s="594" t="s">
        <v>21</v>
      </c>
      <c r="M2333" s="92"/>
      <c r="N2333" s="92"/>
      <c r="O2333" s="93">
        <f t="shared" si="1388"/>
        <v>0</v>
      </c>
      <c r="P2333" s="93">
        <f t="shared" si="1389"/>
        <v>0</v>
      </c>
      <c r="Q2333" s="94"/>
      <c r="R2333" s="92">
        <f t="shared" si="1393"/>
        <v>0</v>
      </c>
      <c r="S2333" s="92">
        <f t="shared" si="1393"/>
        <v>0</v>
      </c>
      <c r="T2333" s="93">
        <f t="shared" si="1390"/>
        <v>0</v>
      </c>
      <c r="U2333" s="95">
        <f t="shared" si="1385"/>
        <v>0</v>
      </c>
      <c r="V2333" s="94"/>
      <c r="X2333" s="580" t="str">
        <f t="shared" si="1398"/>
        <v/>
      </c>
      <c r="Y2333" s="580" t="str">
        <f t="shared" si="1401"/>
        <v/>
      </c>
      <c r="Z2333" s="580" t="str">
        <f t="shared" si="1403"/>
        <v/>
      </c>
    </row>
    <row r="2334" spans="1:26" hidden="1" x14ac:dyDescent="0.2">
      <c r="A2334" s="97" t="s">
        <v>165</v>
      </c>
      <c r="B2334" s="1031" t="s">
        <v>165</v>
      </c>
      <c r="C2334" s="978"/>
      <c r="D2334" s="595" t="s">
        <v>218</v>
      </c>
      <c r="E2334" s="596"/>
      <c r="F2334" s="671">
        <v>500</v>
      </c>
      <c r="G2334" s="597">
        <f>VLOOKUP(D2333,'ENSAIOS DE ORÇAMENTO'!$C$3:$L$79,4,FALSE)</f>
        <v>0.38327894999999995</v>
      </c>
      <c r="H2334" s="682">
        <f>IF(F2334&lt;=30,(0.51*F2334+4.28)*G2334,((0.51*30+4.28)+0.42*(F2334-30))*G2334)</f>
        <v>83.163866571</v>
      </c>
      <c r="I2334" s="592"/>
      <c r="J2334" s="592"/>
      <c r="K2334" s="593">
        <f t="shared" si="1399"/>
        <v>0</v>
      </c>
      <c r="L2334" s="594"/>
      <c r="M2334" s="92"/>
      <c r="N2334" s="92"/>
      <c r="O2334" s="93">
        <f t="shared" si="1388"/>
        <v>0</v>
      </c>
      <c r="P2334" s="93">
        <f t="shared" si="1389"/>
        <v>0</v>
      </c>
      <c r="Q2334" s="94"/>
      <c r="R2334" s="92">
        <f t="shared" si="1393"/>
        <v>0</v>
      </c>
      <c r="S2334" s="92">
        <f t="shared" si="1393"/>
        <v>0</v>
      </c>
      <c r="T2334" s="93">
        <f t="shared" si="1390"/>
        <v>0</v>
      </c>
      <c r="U2334" s="95">
        <f t="shared" si="1385"/>
        <v>0</v>
      </c>
      <c r="V2334" s="94"/>
      <c r="W2334" s="96" t="str">
        <f>IF(U2333&gt;0,"xx",IF(P2333&gt;0,"xy",""))</f>
        <v/>
      </c>
      <c r="X2334" s="580" t="str">
        <f t="shared" si="1398"/>
        <v/>
      </c>
      <c r="Y2334" s="580" t="str">
        <f t="shared" si="1401"/>
        <v/>
      </c>
      <c r="Z2334" s="580" t="str">
        <f t="shared" si="1403"/>
        <v/>
      </c>
    </row>
    <row r="2335" spans="1:26" hidden="1" x14ac:dyDescent="0.2">
      <c r="A2335" s="97" t="s">
        <v>165</v>
      </c>
      <c r="B2335" s="1031" t="s">
        <v>165</v>
      </c>
      <c r="C2335" s="978"/>
      <c r="D2335" s="595" t="s">
        <v>257</v>
      </c>
      <c r="E2335" s="596"/>
      <c r="F2335" s="671">
        <v>180</v>
      </c>
      <c r="G2335" s="597">
        <f>VLOOKUP(D2333,'ENSAIOS DE ORÇAMENTO'!$C$3:$L$79,5,FALSE)</f>
        <v>1.1143076149999998</v>
      </c>
      <c r="H2335" s="682">
        <f>IF(F2335=0,0,IF(F2335&lt;=30,(0.7*F2335+1.45)*G2335,((0.7*30+1.45)+0.58*(F2335-30))*G2335))</f>
        <v>121.96096846174997</v>
      </c>
      <c r="I2335" s="592"/>
      <c r="J2335" s="592"/>
      <c r="K2335" s="593">
        <f t="shared" si="1399"/>
        <v>0</v>
      </c>
      <c r="L2335" s="594"/>
      <c r="M2335" s="92"/>
      <c r="N2335" s="92"/>
      <c r="O2335" s="93">
        <f t="shared" si="1388"/>
        <v>0</v>
      </c>
      <c r="P2335" s="93">
        <f t="shared" si="1389"/>
        <v>0</v>
      </c>
      <c r="Q2335" s="94"/>
      <c r="R2335" s="92">
        <f t="shared" si="1393"/>
        <v>0</v>
      </c>
      <c r="S2335" s="92">
        <f t="shared" si="1393"/>
        <v>0</v>
      </c>
      <c r="T2335" s="93">
        <f t="shared" si="1390"/>
        <v>0</v>
      </c>
      <c r="U2335" s="95">
        <f t="shared" ref="U2335:U2398" si="1405">IF(ISBLANK(R2335),0,ROUND(R2335*S2335,2))</f>
        <v>0</v>
      </c>
      <c r="V2335" s="94"/>
      <c r="W2335" s="96" t="str">
        <f>IF(U2333&gt;0,"xx",IF(P2333&gt;0,"xy",""))</f>
        <v/>
      </c>
      <c r="X2335" s="580" t="str">
        <f t="shared" si="1398"/>
        <v/>
      </c>
      <c r="Y2335" s="580" t="str">
        <f t="shared" si="1401"/>
        <v/>
      </c>
      <c r="Z2335" s="580" t="str">
        <f t="shared" si="1403"/>
        <v/>
      </c>
    </row>
    <row r="2336" spans="1:26" hidden="1" x14ac:dyDescent="0.2">
      <c r="A2336" s="97" t="s">
        <v>165</v>
      </c>
      <c r="B2336" s="1031" t="s">
        <v>165</v>
      </c>
      <c r="C2336" s="978"/>
      <c r="D2336" s="595" t="s">
        <v>261</v>
      </c>
      <c r="E2336" s="596"/>
      <c r="F2336" s="671">
        <v>20</v>
      </c>
      <c r="G2336" s="597">
        <f>VLOOKUP(D2333,'ENSAIOS DE ORÇAMENTO'!$C$3:$L$79,6,FALSE)</f>
        <v>1.3295746499999999</v>
      </c>
      <c r="H2336" s="682">
        <f>IF(F2336=0,0,IF(F2336&lt;=30,(0.7*F2336+1.45)*G2336,((0.7*30+1.45)+0.58*(F2336-30))*G2336))</f>
        <v>20.541928342499997</v>
      </c>
      <c r="I2336" s="592"/>
      <c r="J2336" s="592"/>
      <c r="K2336" s="593">
        <f t="shared" si="1399"/>
        <v>0</v>
      </c>
      <c r="L2336" s="594"/>
      <c r="M2336" s="92"/>
      <c r="N2336" s="92"/>
      <c r="O2336" s="93">
        <f t="shared" si="1388"/>
        <v>0</v>
      </c>
      <c r="P2336" s="93">
        <f t="shared" si="1389"/>
        <v>0</v>
      </c>
      <c r="Q2336" s="94"/>
      <c r="R2336" s="92">
        <f t="shared" si="1393"/>
        <v>0</v>
      </c>
      <c r="S2336" s="92">
        <f t="shared" si="1393"/>
        <v>0</v>
      </c>
      <c r="T2336" s="93">
        <f t="shared" si="1390"/>
        <v>0</v>
      </c>
      <c r="U2336" s="95">
        <f t="shared" si="1405"/>
        <v>0</v>
      </c>
      <c r="V2336" s="94"/>
      <c r="W2336" s="96" t="str">
        <f>IF(U2333&gt;0,"xx",IF(P2333&gt;0,"xy",""))</f>
        <v/>
      </c>
      <c r="X2336" s="580" t="str">
        <f t="shared" si="1398"/>
        <v/>
      </c>
      <c r="Y2336" s="580" t="str">
        <f t="shared" si="1401"/>
        <v/>
      </c>
      <c r="Z2336" s="580" t="str">
        <f t="shared" si="1403"/>
        <v/>
      </c>
    </row>
    <row r="2337" spans="1:26" hidden="1" x14ac:dyDescent="0.2">
      <c r="A2337" s="97" t="s">
        <v>165</v>
      </c>
      <c r="B2337" s="1031" t="s">
        <v>165</v>
      </c>
      <c r="C2337" s="978"/>
      <c r="D2337" s="595" t="s">
        <v>419</v>
      </c>
      <c r="E2337" s="596"/>
      <c r="F2337" s="671">
        <v>30</v>
      </c>
      <c r="G2337" s="597">
        <f>VLOOKUP(D2333,'ENSAIOS DE ORÇAMENTO'!$C$3:$L$79,3,FALSE)</f>
        <v>0</v>
      </c>
      <c r="H2337" s="682">
        <f>IF(F2337=0,0,IF(F2337&lt;=30,(0.7*F2337+1.45)*G2337,((0.7*30+1.45)+0.58*(F2337-30))*G2337))</f>
        <v>0</v>
      </c>
      <c r="I2337" s="592"/>
      <c r="J2337" s="592"/>
      <c r="K2337" s="593">
        <f t="shared" si="1399"/>
        <v>0</v>
      </c>
      <c r="L2337" s="594"/>
      <c r="M2337" s="92"/>
      <c r="N2337" s="92"/>
      <c r="O2337" s="93">
        <f t="shared" si="1388"/>
        <v>0</v>
      </c>
      <c r="P2337" s="93">
        <f t="shared" si="1389"/>
        <v>0</v>
      </c>
      <c r="Q2337" s="94"/>
      <c r="R2337" s="92">
        <f t="shared" si="1393"/>
        <v>0</v>
      </c>
      <c r="S2337" s="92">
        <f t="shared" si="1393"/>
        <v>0</v>
      </c>
      <c r="T2337" s="93">
        <f t="shared" si="1390"/>
        <v>0</v>
      </c>
      <c r="U2337" s="95">
        <f t="shared" si="1405"/>
        <v>0</v>
      </c>
      <c r="V2337" s="94"/>
      <c r="W2337" s="96" t="str">
        <f>IF(U2333&gt;0,"xx",IF(P2333&gt;0,"xy",""))</f>
        <v/>
      </c>
      <c r="X2337" s="580" t="str">
        <f t="shared" si="1398"/>
        <v/>
      </c>
      <c r="Y2337" s="580" t="str">
        <f t="shared" si="1401"/>
        <v/>
      </c>
      <c r="Z2337" s="580" t="str">
        <f t="shared" si="1403"/>
        <v/>
      </c>
    </row>
    <row r="2338" spans="1:26" hidden="1" x14ac:dyDescent="0.2">
      <c r="A2338" s="97" t="s">
        <v>165</v>
      </c>
      <c r="B2338" s="1031" t="s">
        <v>165</v>
      </c>
      <c r="C2338" s="978"/>
      <c r="D2338" s="595" t="s">
        <v>420</v>
      </c>
      <c r="E2338" s="596"/>
      <c r="F2338" s="671">
        <v>500</v>
      </c>
      <c r="G2338" s="597">
        <f>VLOOKUP(D2333,'ENSAIOS DE ORÇAMENTO'!$C$3:$L$79,10,FALSE)</f>
        <v>0</v>
      </c>
      <c r="H2338" s="682">
        <f>IF(F2338=0,0,IF(F2338&lt;=30,(0.7*F2338+1.45)*G2338,((0.7*30+1.45)+0.58*(F2338-30))*G2338))</f>
        <v>0</v>
      </c>
      <c r="I2338" s="592"/>
      <c r="J2338" s="592"/>
      <c r="K2338" s="593">
        <f t="shared" si="1399"/>
        <v>0</v>
      </c>
      <c r="L2338" s="594"/>
      <c r="M2338" s="92"/>
      <c r="N2338" s="92"/>
      <c r="O2338" s="93">
        <f t="shared" si="1388"/>
        <v>0</v>
      </c>
      <c r="P2338" s="93">
        <f t="shared" si="1389"/>
        <v>0</v>
      </c>
      <c r="Q2338" s="94"/>
      <c r="R2338" s="92">
        <f t="shared" si="1393"/>
        <v>0</v>
      </c>
      <c r="S2338" s="92">
        <f t="shared" si="1393"/>
        <v>0</v>
      </c>
      <c r="T2338" s="93">
        <f t="shared" si="1390"/>
        <v>0</v>
      </c>
      <c r="U2338" s="95">
        <f t="shared" si="1405"/>
        <v>0</v>
      </c>
      <c r="V2338" s="94"/>
      <c r="W2338" s="96" t="str">
        <f>IF(U2333&gt;0,"xx",IF(P2333&gt;0,"xy",""))</f>
        <v/>
      </c>
      <c r="X2338" s="580" t="str">
        <f t="shared" si="1398"/>
        <v/>
      </c>
      <c r="Y2338" s="580" t="str">
        <f t="shared" si="1401"/>
        <v/>
      </c>
      <c r="Z2338" s="580" t="str">
        <f t="shared" si="1403"/>
        <v/>
      </c>
    </row>
    <row r="2339" spans="1:26" hidden="1" x14ac:dyDescent="0.2">
      <c r="A2339" s="97" t="s">
        <v>42</v>
      </c>
      <c r="B2339" s="1031" t="s">
        <v>42</v>
      </c>
      <c r="C2339" s="978" t="s">
        <v>212</v>
      </c>
      <c r="D2339" s="595" t="s">
        <v>437</v>
      </c>
      <c r="E2339" s="596"/>
      <c r="F2339" s="671"/>
      <c r="G2339" s="597"/>
      <c r="H2339" s="682">
        <f>SUM(H2340:H2344)</f>
        <v>331.58738930900006</v>
      </c>
      <c r="I2339" s="592">
        <f>VLOOKUP(D2339,'ENSAIOS DE ORÇAMENTO'!$C$3:$L$79,8,FALSE)</f>
        <v>3531.4724240666665</v>
      </c>
      <c r="J2339" s="592">
        <f t="shared" ref="J2339" si="1406">IF(ISBLANK(I2339),"",SUM(H2339:I2339))</f>
        <v>3863.0598133756666</v>
      </c>
      <c r="K2339" s="593">
        <f t="shared" si="1399"/>
        <v>4701.7299999999996</v>
      </c>
      <c r="L2339" s="594" t="s">
        <v>21</v>
      </c>
      <c r="M2339" s="92"/>
      <c r="N2339" s="92"/>
      <c r="O2339" s="93">
        <f t="shared" si="1388"/>
        <v>0</v>
      </c>
      <c r="P2339" s="93">
        <f t="shared" si="1389"/>
        <v>0</v>
      </c>
      <c r="Q2339" s="94"/>
      <c r="R2339" s="92">
        <f t="shared" si="1393"/>
        <v>0</v>
      </c>
      <c r="S2339" s="92">
        <f t="shared" si="1393"/>
        <v>0</v>
      </c>
      <c r="T2339" s="93">
        <f t="shared" si="1390"/>
        <v>0</v>
      </c>
      <c r="U2339" s="95">
        <f t="shared" si="1405"/>
        <v>0</v>
      </c>
      <c r="V2339" s="94"/>
      <c r="X2339" s="580" t="str">
        <f t="shared" si="1398"/>
        <v/>
      </c>
      <c r="Y2339" s="580" t="str">
        <f t="shared" si="1401"/>
        <v/>
      </c>
      <c r="Z2339" s="580" t="str">
        <f t="shared" si="1403"/>
        <v/>
      </c>
    </row>
    <row r="2340" spans="1:26" hidden="1" x14ac:dyDescent="0.2">
      <c r="A2340" s="97" t="s">
        <v>165</v>
      </c>
      <c r="B2340" s="1031" t="s">
        <v>165</v>
      </c>
      <c r="C2340" s="978"/>
      <c r="D2340" s="595" t="s">
        <v>218</v>
      </c>
      <c r="E2340" s="596"/>
      <c r="F2340" s="671">
        <v>500</v>
      </c>
      <c r="G2340" s="597">
        <f>VLOOKUP(D2339,'ENSAIOS DE ORÇAMENTO'!$C$3:$L$79,4,FALSE)</f>
        <v>0.56408220000000009</v>
      </c>
      <c r="H2340" s="682">
        <f>IF(F2340&lt;=30,(0.51*F2340+4.28)*G2340,((0.51*30+4.28)+0.42*(F2340-30))*G2340)</f>
        <v>122.39455575600003</v>
      </c>
      <c r="I2340" s="592"/>
      <c r="J2340" s="592"/>
      <c r="K2340" s="593">
        <f t="shared" si="1399"/>
        <v>0</v>
      </c>
      <c r="L2340" s="594"/>
      <c r="M2340" s="92"/>
      <c r="N2340" s="92"/>
      <c r="O2340" s="93">
        <f t="shared" si="1388"/>
        <v>0</v>
      </c>
      <c r="P2340" s="93">
        <f t="shared" si="1389"/>
        <v>0</v>
      </c>
      <c r="Q2340" s="94"/>
      <c r="R2340" s="92">
        <f t="shared" si="1393"/>
        <v>0</v>
      </c>
      <c r="S2340" s="92">
        <f t="shared" si="1393"/>
        <v>0</v>
      </c>
      <c r="T2340" s="93">
        <f t="shared" si="1390"/>
        <v>0</v>
      </c>
      <c r="U2340" s="95">
        <f t="shared" si="1405"/>
        <v>0</v>
      </c>
      <c r="V2340" s="94"/>
      <c r="W2340" s="96" t="str">
        <f>IF(U2339&gt;0,"xx",IF(P2339&gt;0,"xy",""))</f>
        <v/>
      </c>
      <c r="X2340" s="580" t="str">
        <f t="shared" si="1398"/>
        <v/>
      </c>
      <c r="Y2340" s="580" t="str">
        <f t="shared" si="1401"/>
        <v/>
      </c>
      <c r="Z2340" s="580" t="str">
        <f t="shared" si="1403"/>
        <v/>
      </c>
    </row>
    <row r="2341" spans="1:26" hidden="1" x14ac:dyDescent="0.2">
      <c r="A2341" s="97" t="s">
        <v>165</v>
      </c>
      <c r="B2341" s="1031" t="s">
        <v>165</v>
      </c>
      <c r="C2341" s="978"/>
      <c r="D2341" s="595" t="s">
        <v>257</v>
      </c>
      <c r="E2341" s="596"/>
      <c r="F2341" s="671">
        <v>180</v>
      </c>
      <c r="G2341" s="597">
        <f>VLOOKUP(D2339,'ENSAIOS DE ORÇAMENTO'!$C$3:$L$79,5,FALSE)</f>
        <v>1.6356421400000001</v>
      </c>
      <c r="H2341" s="682">
        <f>IF(F2341=0,0,IF(F2341&lt;=30,(0.7*F2341+1.45)*G2341,((0.7*30+1.45)+0.58*(F2341-30))*G2341))</f>
        <v>179.02103222300002</v>
      </c>
      <c r="I2341" s="592"/>
      <c r="J2341" s="592"/>
      <c r="K2341" s="593">
        <f t="shared" si="1399"/>
        <v>0</v>
      </c>
      <c r="L2341" s="594"/>
      <c r="M2341" s="92"/>
      <c r="N2341" s="92"/>
      <c r="O2341" s="93">
        <f t="shared" si="1388"/>
        <v>0</v>
      </c>
      <c r="P2341" s="93">
        <f t="shared" si="1389"/>
        <v>0</v>
      </c>
      <c r="Q2341" s="94"/>
      <c r="R2341" s="92">
        <f t="shared" si="1393"/>
        <v>0</v>
      </c>
      <c r="S2341" s="92">
        <f t="shared" si="1393"/>
        <v>0</v>
      </c>
      <c r="T2341" s="93">
        <f t="shared" si="1390"/>
        <v>0</v>
      </c>
      <c r="U2341" s="95">
        <f t="shared" si="1405"/>
        <v>0</v>
      </c>
      <c r="V2341" s="94"/>
      <c r="W2341" s="96" t="str">
        <f>IF(U2339&gt;0,"xx",IF(P2339&gt;0,"xy",""))</f>
        <v/>
      </c>
      <c r="X2341" s="580" t="str">
        <f t="shared" si="1398"/>
        <v/>
      </c>
      <c r="Y2341" s="580" t="str">
        <f t="shared" si="1401"/>
        <v/>
      </c>
      <c r="Z2341" s="580" t="str">
        <f t="shared" si="1403"/>
        <v/>
      </c>
    </row>
    <row r="2342" spans="1:26" hidden="1" x14ac:dyDescent="0.2">
      <c r="A2342" s="97" t="s">
        <v>165</v>
      </c>
      <c r="B2342" s="1031" t="s">
        <v>165</v>
      </c>
      <c r="C2342" s="978"/>
      <c r="D2342" s="595" t="s">
        <v>261</v>
      </c>
      <c r="E2342" s="596"/>
      <c r="F2342" s="671">
        <v>20</v>
      </c>
      <c r="G2342" s="597">
        <f>VLOOKUP(D2339,'ENSAIOS DE ORÇAMENTO'!$C$3:$L$79,6,FALSE)</f>
        <v>1.9528674000000004</v>
      </c>
      <c r="H2342" s="682">
        <f>IF(F2342=0,0,IF(F2342&lt;=30,(0.7*F2342+1.45)*G2342,((0.7*30+1.45)+0.58*(F2342-30))*G2342))</f>
        <v>30.171801330000005</v>
      </c>
      <c r="I2342" s="592"/>
      <c r="J2342" s="592"/>
      <c r="K2342" s="593">
        <f t="shared" si="1399"/>
        <v>0</v>
      </c>
      <c r="L2342" s="594"/>
      <c r="M2342" s="92"/>
      <c r="N2342" s="92"/>
      <c r="O2342" s="93">
        <f t="shared" si="1388"/>
        <v>0</v>
      </c>
      <c r="P2342" s="93">
        <f t="shared" si="1389"/>
        <v>0</v>
      </c>
      <c r="Q2342" s="94"/>
      <c r="R2342" s="92">
        <f t="shared" si="1393"/>
        <v>0</v>
      </c>
      <c r="S2342" s="92">
        <f t="shared" si="1393"/>
        <v>0</v>
      </c>
      <c r="T2342" s="93">
        <f t="shared" si="1390"/>
        <v>0</v>
      </c>
      <c r="U2342" s="95">
        <f t="shared" si="1405"/>
        <v>0</v>
      </c>
      <c r="V2342" s="94"/>
      <c r="W2342" s="96" t="str">
        <f>IF(U2339&gt;0,"xx",IF(P2339&gt;0,"xy",""))</f>
        <v/>
      </c>
      <c r="X2342" s="580" t="str">
        <f t="shared" si="1398"/>
        <v/>
      </c>
      <c r="Y2342" s="580" t="str">
        <f t="shared" si="1401"/>
        <v/>
      </c>
      <c r="Z2342" s="580" t="str">
        <f t="shared" si="1403"/>
        <v/>
      </c>
    </row>
    <row r="2343" spans="1:26" hidden="1" x14ac:dyDescent="0.2">
      <c r="A2343" s="97" t="s">
        <v>165</v>
      </c>
      <c r="B2343" s="1031" t="s">
        <v>165</v>
      </c>
      <c r="C2343" s="978"/>
      <c r="D2343" s="595" t="s">
        <v>419</v>
      </c>
      <c r="E2343" s="596"/>
      <c r="F2343" s="671">
        <v>30</v>
      </c>
      <c r="G2343" s="597">
        <f>VLOOKUP(D2339,'ENSAIOS DE ORÇAMENTO'!$C$3:$L$79,3,FALSE)</f>
        <v>0</v>
      </c>
      <c r="H2343" s="682">
        <f>IF(F2343=0,0,IF(F2343&lt;=30,(0.7*F2343+1.45)*G2343,((0.7*30+1.45)+0.58*(F2343-30))*G2343))</f>
        <v>0</v>
      </c>
      <c r="I2343" s="592"/>
      <c r="J2343" s="592"/>
      <c r="K2343" s="593">
        <f t="shared" si="1399"/>
        <v>0</v>
      </c>
      <c r="L2343" s="594"/>
      <c r="M2343" s="92"/>
      <c r="N2343" s="92"/>
      <c r="O2343" s="93">
        <f t="shared" si="1388"/>
        <v>0</v>
      </c>
      <c r="P2343" s="93">
        <f t="shared" si="1389"/>
        <v>0</v>
      </c>
      <c r="Q2343" s="94"/>
      <c r="R2343" s="92">
        <f t="shared" si="1393"/>
        <v>0</v>
      </c>
      <c r="S2343" s="92">
        <f t="shared" si="1393"/>
        <v>0</v>
      </c>
      <c r="T2343" s="93">
        <f t="shared" si="1390"/>
        <v>0</v>
      </c>
      <c r="U2343" s="95">
        <f t="shared" si="1405"/>
        <v>0</v>
      </c>
      <c r="V2343" s="94"/>
      <c r="W2343" s="96" t="str">
        <f>IF(U2339&gt;0,"xx",IF(P2339&gt;0,"xy",""))</f>
        <v/>
      </c>
      <c r="X2343" s="580" t="str">
        <f t="shared" si="1398"/>
        <v/>
      </c>
      <c r="Y2343" s="580" t="str">
        <f t="shared" si="1401"/>
        <v/>
      </c>
      <c r="Z2343" s="580" t="str">
        <f t="shared" si="1403"/>
        <v/>
      </c>
    </row>
    <row r="2344" spans="1:26" hidden="1" x14ac:dyDescent="0.2">
      <c r="A2344" s="97" t="s">
        <v>165</v>
      </c>
      <c r="B2344" s="1031" t="s">
        <v>165</v>
      </c>
      <c r="C2344" s="978"/>
      <c r="D2344" s="595" t="s">
        <v>420</v>
      </c>
      <c r="E2344" s="596"/>
      <c r="F2344" s="671">
        <v>500</v>
      </c>
      <c r="G2344" s="597">
        <f>VLOOKUP(D2339,'ENSAIOS DE ORÇAMENTO'!$C$3:$L$79,10,FALSE)</f>
        <v>0</v>
      </c>
      <c r="H2344" s="682">
        <f>IF(F2344=0,0,IF(F2344&lt;=30,(0.7*F2344+1.45)*G2344,((0.7*30+1.45)+0.58*(F2344-30))*G2344))</f>
        <v>0</v>
      </c>
      <c r="I2344" s="592"/>
      <c r="J2344" s="592"/>
      <c r="K2344" s="593">
        <f t="shared" si="1399"/>
        <v>0</v>
      </c>
      <c r="L2344" s="594"/>
      <c r="M2344" s="92"/>
      <c r="N2344" s="92"/>
      <c r="O2344" s="93">
        <f t="shared" ref="O2344:O2407" si="1407">IF(ISBLANK(M2344),0,ROUND(K2344*M2344,2))</f>
        <v>0</v>
      </c>
      <c r="P2344" s="93">
        <f t="shared" ref="P2344:P2407" si="1408">IF(ISBLANK(N2344),0,ROUND(M2344*N2344,2))</f>
        <v>0</v>
      </c>
      <c r="Q2344" s="94"/>
      <c r="R2344" s="92">
        <f t="shared" si="1393"/>
        <v>0</v>
      </c>
      <c r="S2344" s="92">
        <f t="shared" si="1393"/>
        <v>0</v>
      </c>
      <c r="T2344" s="93">
        <f t="shared" ref="T2344:T2407" si="1409">IF(ISBLANK(R2344),0,ROUND(K2344*R2344,2))</f>
        <v>0</v>
      </c>
      <c r="U2344" s="95">
        <f t="shared" si="1405"/>
        <v>0</v>
      </c>
      <c r="V2344" s="94"/>
      <c r="W2344" s="96" t="str">
        <f>IF(U2339&gt;0,"xx",IF(P2339&gt;0,"xy",""))</f>
        <v/>
      </c>
      <c r="X2344" s="580" t="str">
        <f t="shared" si="1398"/>
        <v/>
      </c>
      <c r="Y2344" s="580" t="str">
        <f t="shared" si="1401"/>
        <v/>
      </c>
      <c r="Z2344" s="580" t="str">
        <f t="shared" si="1403"/>
        <v/>
      </c>
    </row>
    <row r="2345" spans="1:26" hidden="1" x14ac:dyDescent="0.2">
      <c r="A2345" s="97" t="s">
        <v>43</v>
      </c>
      <c r="B2345" s="1031" t="s">
        <v>43</v>
      </c>
      <c r="C2345" s="978" t="s">
        <v>212</v>
      </c>
      <c r="D2345" s="595" t="s">
        <v>438</v>
      </c>
      <c r="E2345" s="596"/>
      <c r="F2345" s="671"/>
      <c r="G2345" s="597"/>
      <c r="H2345" s="682">
        <f>SUM(H2346:H2350)</f>
        <v>458.65229742400004</v>
      </c>
      <c r="I2345" s="592">
        <f>VLOOKUP(D2345,'ENSAIOS DE ORÇAMENTO'!$C$3:$L$79,8,FALSE)</f>
        <v>4868.9760864</v>
      </c>
      <c r="J2345" s="592">
        <f t="shared" ref="J2345" si="1410">IF(ISBLANK(I2345),"",SUM(H2345:I2345))</f>
        <v>5327.6283838239997</v>
      </c>
      <c r="K2345" s="593">
        <f t="shared" si="1399"/>
        <v>6484.26</v>
      </c>
      <c r="L2345" s="594" t="s">
        <v>21</v>
      </c>
      <c r="M2345" s="92"/>
      <c r="N2345" s="92"/>
      <c r="O2345" s="93">
        <f t="shared" si="1407"/>
        <v>0</v>
      </c>
      <c r="P2345" s="93">
        <f t="shared" si="1408"/>
        <v>0</v>
      </c>
      <c r="Q2345" s="94"/>
      <c r="R2345" s="92">
        <f t="shared" si="1393"/>
        <v>0</v>
      </c>
      <c r="S2345" s="92">
        <f t="shared" si="1393"/>
        <v>0</v>
      </c>
      <c r="T2345" s="93">
        <f t="shared" si="1409"/>
        <v>0</v>
      </c>
      <c r="U2345" s="95">
        <f t="shared" si="1405"/>
        <v>0</v>
      </c>
      <c r="V2345" s="94"/>
      <c r="X2345" s="580" t="str">
        <f t="shared" si="1398"/>
        <v/>
      </c>
      <c r="Y2345" s="580" t="str">
        <f t="shared" si="1401"/>
        <v/>
      </c>
      <c r="Z2345" s="580" t="str">
        <f t="shared" si="1403"/>
        <v/>
      </c>
    </row>
    <row r="2346" spans="1:26" hidden="1" x14ac:dyDescent="0.2">
      <c r="A2346" s="97" t="s">
        <v>165</v>
      </c>
      <c r="B2346" s="1031" t="s">
        <v>165</v>
      </c>
      <c r="C2346" s="978"/>
      <c r="D2346" s="595" t="s">
        <v>218</v>
      </c>
      <c r="E2346" s="596"/>
      <c r="F2346" s="671">
        <v>500</v>
      </c>
      <c r="G2346" s="597">
        <f>VLOOKUP(D2345,'ENSAIOS DE ORÇAMENTO'!$C$3:$L$79,4,FALSE)</f>
        <v>0.77929919999999997</v>
      </c>
      <c r="H2346" s="682">
        <f>IF(F2346&lt;=30,(0.51*F2346+4.28)*G2346,((0.51*30+4.28)+0.42*(F2346-30))*G2346)</f>
        <v>169.09234041600001</v>
      </c>
      <c r="I2346" s="592"/>
      <c r="J2346" s="592"/>
      <c r="K2346" s="593">
        <f t="shared" si="1399"/>
        <v>0</v>
      </c>
      <c r="L2346" s="594"/>
      <c r="M2346" s="92"/>
      <c r="N2346" s="92"/>
      <c r="O2346" s="93">
        <f t="shared" si="1407"/>
        <v>0</v>
      </c>
      <c r="P2346" s="93">
        <f t="shared" si="1408"/>
        <v>0</v>
      </c>
      <c r="Q2346" s="94"/>
      <c r="R2346" s="92">
        <f t="shared" si="1393"/>
        <v>0</v>
      </c>
      <c r="S2346" s="92">
        <f t="shared" si="1393"/>
        <v>0</v>
      </c>
      <c r="T2346" s="93">
        <f t="shared" si="1409"/>
        <v>0</v>
      </c>
      <c r="U2346" s="95">
        <f t="shared" si="1405"/>
        <v>0</v>
      </c>
      <c r="V2346" s="94"/>
      <c r="W2346" s="96" t="str">
        <f>IF(U2345&gt;0,"xx",IF(P2345&gt;0,"xy",""))</f>
        <v/>
      </c>
      <c r="X2346" s="580" t="str">
        <f t="shared" si="1398"/>
        <v/>
      </c>
      <c r="Y2346" s="580" t="str">
        <f t="shared" si="1401"/>
        <v/>
      </c>
      <c r="Z2346" s="580" t="str">
        <f t="shared" si="1403"/>
        <v/>
      </c>
    </row>
    <row r="2347" spans="1:26" hidden="1" x14ac:dyDescent="0.2">
      <c r="A2347" s="97" t="s">
        <v>165</v>
      </c>
      <c r="B2347" s="1031" t="s">
        <v>165</v>
      </c>
      <c r="C2347" s="978"/>
      <c r="D2347" s="595" t="s">
        <v>257</v>
      </c>
      <c r="E2347" s="596"/>
      <c r="F2347" s="671">
        <v>180</v>
      </c>
      <c r="G2347" s="597">
        <f>VLOOKUP(D2345,'ENSAIOS DE ORÇAMENTO'!$C$3:$L$79,5,FALSE)</f>
        <v>2.26417504</v>
      </c>
      <c r="H2347" s="682">
        <f>IF(F2347=0,0,IF(F2347&lt;=30,(0.7*F2347+1.45)*G2347,((0.7*30+1.45)+0.58*(F2347-30))*G2347))</f>
        <v>247.813958128</v>
      </c>
      <c r="I2347" s="592"/>
      <c r="J2347" s="592"/>
      <c r="K2347" s="593">
        <f t="shared" si="1399"/>
        <v>0</v>
      </c>
      <c r="L2347" s="594"/>
      <c r="M2347" s="92"/>
      <c r="N2347" s="92"/>
      <c r="O2347" s="93">
        <f t="shared" si="1407"/>
        <v>0</v>
      </c>
      <c r="P2347" s="93">
        <f t="shared" si="1408"/>
        <v>0</v>
      </c>
      <c r="Q2347" s="94"/>
      <c r="R2347" s="92">
        <f t="shared" si="1393"/>
        <v>0</v>
      </c>
      <c r="S2347" s="92">
        <f t="shared" si="1393"/>
        <v>0</v>
      </c>
      <c r="T2347" s="93">
        <f t="shared" si="1409"/>
        <v>0</v>
      </c>
      <c r="U2347" s="95">
        <f t="shared" si="1405"/>
        <v>0</v>
      </c>
      <c r="V2347" s="94"/>
      <c r="W2347" s="96" t="str">
        <f>IF(U2345&gt;0,"xx",IF(P2345&gt;0,"xy",""))</f>
        <v/>
      </c>
      <c r="X2347" s="580" t="str">
        <f t="shared" si="1398"/>
        <v/>
      </c>
      <c r="Y2347" s="580" t="str">
        <f t="shared" si="1401"/>
        <v/>
      </c>
      <c r="Z2347" s="580" t="str">
        <f t="shared" si="1403"/>
        <v/>
      </c>
    </row>
    <row r="2348" spans="1:26" hidden="1" x14ac:dyDescent="0.2">
      <c r="A2348" s="97" t="s">
        <v>165</v>
      </c>
      <c r="B2348" s="1031" t="s">
        <v>165</v>
      </c>
      <c r="C2348" s="978"/>
      <c r="D2348" s="595" t="s">
        <v>261</v>
      </c>
      <c r="E2348" s="596"/>
      <c r="F2348" s="671">
        <v>20</v>
      </c>
      <c r="G2348" s="597">
        <f>VLOOKUP(D2345,'ENSAIOS DE ORÇAMENTO'!$C$3:$L$79,6,FALSE)</f>
        <v>2.7020064000000001</v>
      </c>
      <c r="H2348" s="682">
        <f>IF(F2348=0,0,IF(F2348&lt;=30,(0.7*F2348+1.45)*G2348,((0.7*30+1.45)+0.58*(F2348-30))*G2348))</f>
        <v>41.745998880000002</v>
      </c>
      <c r="I2348" s="592"/>
      <c r="J2348" s="592"/>
      <c r="K2348" s="593">
        <f t="shared" si="1399"/>
        <v>0</v>
      </c>
      <c r="L2348" s="594"/>
      <c r="M2348" s="92"/>
      <c r="N2348" s="92"/>
      <c r="O2348" s="93">
        <f t="shared" si="1407"/>
        <v>0</v>
      </c>
      <c r="P2348" s="93">
        <f t="shared" si="1408"/>
        <v>0</v>
      </c>
      <c r="Q2348" s="94"/>
      <c r="R2348" s="92">
        <f t="shared" si="1393"/>
        <v>0</v>
      </c>
      <c r="S2348" s="92">
        <f t="shared" si="1393"/>
        <v>0</v>
      </c>
      <c r="T2348" s="93">
        <f t="shared" si="1409"/>
        <v>0</v>
      </c>
      <c r="U2348" s="95">
        <f t="shared" si="1405"/>
        <v>0</v>
      </c>
      <c r="V2348" s="94"/>
      <c r="W2348" s="96" t="str">
        <f>IF(U2345&gt;0,"xx",IF(P2345&gt;0,"xy",""))</f>
        <v/>
      </c>
      <c r="X2348" s="580" t="str">
        <f t="shared" si="1398"/>
        <v/>
      </c>
      <c r="Y2348" s="580" t="str">
        <f t="shared" si="1401"/>
        <v/>
      </c>
      <c r="Z2348" s="580" t="str">
        <f t="shared" si="1403"/>
        <v/>
      </c>
    </row>
    <row r="2349" spans="1:26" hidden="1" x14ac:dyDescent="0.2">
      <c r="A2349" s="97" t="s">
        <v>165</v>
      </c>
      <c r="B2349" s="1031" t="s">
        <v>165</v>
      </c>
      <c r="C2349" s="978"/>
      <c r="D2349" s="595" t="s">
        <v>419</v>
      </c>
      <c r="E2349" s="596"/>
      <c r="F2349" s="671">
        <v>30</v>
      </c>
      <c r="G2349" s="597">
        <f>VLOOKUP(D2345,'ENSAIOS DE ORÇAMENTO'!$C$3:$L$79,3,FALSE)</f>
        <v>0</v>
      </c>
      <c r="H2349" s="682">
        <f>IF(F2349=0,0,IF(F2349&lt;=30,(0.7*F2349+1.45)*G2349,((0.7*30+1.45)+0.58*(F2349-30))*G2349))</f>
        <v>0</v>
      </c>
      <c r="I2349" s="592"/>
      <c r="J2349" s="592"/>
      <c r="K2349" s="593">
        <f t="shared" si="1399"/>
        <v>0</v>
      </c>
      <c r="L2349" s="594"/>
      <c r="M2349" s="92"/>
      <c r="N2349" s="92"/>
      <c r="O2349" s="93">
        <f t="shared" si="1407"/>
        <v>0</v>
      </c>
      <c r="P2349" s="93">
        <f t="shared" si="1408"/>
        <v>0</v>
      </c>
      <c r="Q2349" s="94"/>
      <c r="R2349" s="92">
        <f t="shared" si="1393"/>
        <v>0</v>
      </c>
      <c r="S2349" s="92">
        <f t="shared" si="1393"/>
        <v>0</v>
      </c>
      <c r="T2349" s="93">
        <f t="shared" si="1409"/>
        <v>0</v>
      </c>
      <c r="U2349" s="95">
        <f t="shared" si="1405"/>
        <v>0</v>
      </c>
      <c r="V2349" s="94"/>
      <c r="W2349" s="96" t="str">
        <f>IF(U2345&gt;0,"xx",IF(P2345&gt;0,"xy",""))</f>
        <v/>
      </c>
      <c r="X2349" s="580" t="str">
        <f t="shared" si="1398"/>
        <v/>
      </c>
      <c r="Y2349" s="580" t="str">
        <f t="shared" si="1401"/>
        <v/>
      </c>
      <c r="Z2349" s="580" t="str">
        <f t="shared" si="1403"/>
        <v/>
      </c>
    </row>
    <row r="2350" spans="1:26" hidden="1" x14ac:dyDescent="0.2">
      <c r="A2350" s="97" t="s">
        <v>165</v>
      </c>
      <c r="B2350" s="1031" t="s">
        <v>165</v>
      </c>
      <c r="C2350" s="978"/>
      <c r="D2350" s="595" t="s">
        <v>420</v>
      </c>
      <c r="E2350" s="596"/>
      <c r="F2350" s="671">
        <v>500</v>
      </c>
      <c r="G2350" s="597">
        <f>VLOOKUP(D2345,'ENSAIOS DE ORÇAMENTO'!$C$3:$L$79,10,FALSE)</f>
        <v>0</v>
      </c>
      <c r="H2350" s="682">
        <f>IF(F2350=0,0,IF(F2350&lt;=30,(0.7*F2350+1.45)*G2350,((0.7*30+1.45)+0.58*(F2350-30))*G2350))</f>
        <v>0</v>
      </c>
      <c r="I2350" s="592"/>
      <c r="J2350" s="592"/>
      <c r="K2350" s="593">
        <f t="shared" si="1399"/>
        <v>0</v>
      </c>
      <c r="L2350" s="594"/>
      <c r="M2350" s="92"/>
      <c r="N2350" s="92"/>
      <c r="O2350" s="93">
        <f t="shared" si="1407"/>
        <v>0</v>
      </c>
      <c r="P2350" s="93">
        <f t="shared" si="1408"/>
        <v>0</v>
      </c>
      <c r="Q2350" s="94"/>
      <c r="R2350" s="92">
        <f t="shared" si="1393"/>
        <v>0</v>
      </c>
      <c r="S2350" s="92">
        <f t="shared" si="1393"/>
        <v>0</v>
      </c>
      <c r="T2350" s="93">
        <f t="shared" si="1409"/>
        <v>0</v>
      </c>
      <c r="U2350" s="95">
        <f t="shared" si="1405"/>
        <v>0</v>
      </c>
      <c r="V2350" s="94"/>
      <c r="W2350" s="96" t="str">
        <f>IF(U2345&gt;0,"xx",IF(P2345&gt;0,"xy",""))</f>
        <v/>
      </c>
      <c r="X2350" s="580" t="str">
        <f t="shared" si="1398"/>
        <v/>
      </c>
      <c r="Y2350" s="580" t="str">
        <f t="shared" si="1401"/>
        <v/>
      </c>
      <c r="Z2350" s="580" t="str">
        <f t="shared" si="1403"/>
        <v/>
      </c>
    </row>
    <row r="2351" spans="1:26" hidden="1" x14ac:dyDescent="0.2">
      <c r="A2351" s="97" t="s">
        <v>44</v>
      </c>
      <c r="B2351" s="1031" t="s">
        <v>44</v>
      </c>
      <c r="C2351" s="978" t="s">
        <v>212</v>
      </c>
      <c r="D2351" s="595" t="s">
        <v>439</v>
      </c>
      <c r="E2351" s="596"/>
      <c r="F2351" s="671"/>
      <c r="G2351" s="597"/>
      <c r="H2351" s="682">
        <f>SUM(H2352:H2356)</f>
        <v>711.34221405525</v>
      </c>
      <c r="I2351" s="592">
        <f>VLOOKUP(D2351,'ENSAIOS DE ORÇAMENTO'!$C$3:$L$79,8,FALSE)</f>
        <v>7247.9917271499999</v>
      </c>
      <c r="J2351" s="592">
        <f t="shared" ref="J2351" si="1411">IF(ISBLANK(I2351),"",SUM(H2351:I2351))</f>
        <v>7959.3339412052501</v>
      </c>
      <c r="K2351" s="593">
        <f t="shared" si="1399"/>
        <v>9687.31</v>
      </c>
      <c r="L2351" s="594" t="s">
        <v>21</v>
      </c>
      <c r="M2351" s="92"/>
      <c r="N2351" s="92"/>
      <c r="O2351" s="93">
        <f t="shared" si="1407"/>
        <v>0</v>
      </c>
      <c r="P2351" s="93">
        <f t="shared" si="1408"/>
        <v>0</v>
      </c>
      <c r="Q2351" s="94"/>
      <c r="R2351" s="92">
        <f t="shared" si="1393"/>
        <v>0</v>
      </c>
      <c r="S2351" s="92">
        <f t="shared" si="1393"/>
        <v>0</v>
      </c>
      <c r="T2351" s="93">
        <f t="shared" si="1409"/>
        <v>0</v>
      </c>
      <c r="U2351" s="95">
        <f t="shared" si="1405"/>
        <v>0</v>
      </c>
      <c r="V2351" s="94"/>
      <c r="X2351" s="580" t="str">
        <f t="shared" si="1398"/>
        <v/>
      </c>
      <c r="Y2351" s="580" t="str">
        <f t="shared" si="1401"/>
        <v/>
      </c>
      <c r="Z2351" s="580" t="str">
        <f t="shared" si="1403"/>
        <v/>
      </c>
    </row>
    <row r="2352" spans="1:26" hidden="1" x14ac:dyDescent="0.2">
      <c r="A2352" s="97" t="s">
        <v>165</v>
      </c>
      <c r="B2352" s="1031" t="s">
        <v>165</v>
      </c>
      <c r="C2352" s="978"/>
      <c r="D2352" s="595" t="s">
        <v>218</v>
      </c>
      <c r="E2352" s="596"/>
      <c r="F2352" s="671">
        <v>500</v>
      </c>
      <c r="G2352" s="597">
        <f>VLOOKUP(D2351,'ENSAIOS DE ORÇAMENTO'!$C$3:$L$79,4,FALSE)</f>
        <v>1.2096229499999998</v>
      </c>
      <c r="H2352" s="682">
        <f>IF(F2352&lt;=30,(0.51*F2352+4.28)*G2352,((0.51*30+4.28)+0.42*(F2352-30))*G2352)</f>
        <v>262.46398769099994</v>
      </c>
      <c r="I2352" s="592"/>
      <c r="J2352" s="592"/>
      <c r="K2352" s="593">
        <f t="shared" si="1399"/>
        <v>0</v>
      </c>
      <c r="L2352" s="594"/>
      <c r="M2352" s="92"/>
      <c r="N2352" s="92"/>
      <c r="O2352" s="93">
        <f t="shared" si="1407"/>
        <v>0</v>
      </c>
      <c r="P2352" s="93">
        <f t="shared" si="1408"/>
        <v>0</v>
      </c>
      <c r="Q2352" s="94"/>
      <c r="R2352" s="92">
        <f t="shared" si="1393"/>
        <v>0</v>
      </c>
      <c r="S2352" s="92">
        <f t="shared" si="1393"/>
        <v>0</v>
      </c>
      <c r="T2352" s="93">
        <f t="shared" si="1409"/>
        <v>0</v>
      </c>
      <c r="U2352" s="95">
        <f t="shared" si="1405"/>
        <v>0</v>
      </c>
      <c r="V2352" s="94"/>
      <c r="W2352" s="96" t="str">
        <f>IF(U2351&gt;0,"xx",IF(P2351&gt;0,"xy",""))</f>
        <v/>
      </c>
      <c r="X2352" s="580" t="str">
        <f t="shared" si="1398"/>
        <v/>
      </c>
      <c r="Y2352" s="580" t="str">
        <f t="shared" si="1401"/>
        <v/>
      </c>
      <c r="Z2352" s="580" t="str">
        <f t="shared" si="1403"/>
        <v/>
      </c>
    </row>
    <row r="2353" spans="1:26" hidden="1" x14ac:dyDescent="0.2">
      <c r="A2353" s="97" t="s">
        <v>165</v>
      </c>
      <c r="B2353" s="1031" t="s">
        <v>165</v>
      </c>
      <c r="C2353" s="978"/>
      <c r="D2353" s="595" t="s">
        <v>257</v>
      </c>
      <c r="E2353" s="596"/>
      <c r="F2353" s="671">
        <v>180</v>
      </c>
      <c r="G2353" s="597">
        <f>VLOOKUP(D2351,'ENSAIOS DE ORÇAMENTO'!$C$3:$L$79,5,FALSE)</f>
        <v>3.5097804149999998</v>
      </c>
      <c r="H2353" s="682">
        <f>IF(F2353=0,0,IF(F2353&lt;=30,(0.7*F2353+1.45)*G2353,((0.7*30+1.45)+0.58*(F2353-30))*G2353))</f>
        <v>384.14546642174997</v>
      </c>
      <c r="I2353" s="592"/>
      <c r="J2353" s="592"/>
      <c r="K2353" s="593">
        <f t="shared" si="1399"/>
        <v>0</v>
      </c>
      <c r="L2353" s="594"/>
      <c r="M2353" s="92"/>
      <c r="N2353" s="92"/>
      <c r="O2353" s="93">
        <f t="shared" si="1407"/>
        <v>0</v>
      </c>
      <c r="P2353" s="93">
        <f t="shared" si="1408"/>
        <v>0</v>
      </c>
      <c r="Q2353" s="94"/>
      <c r="R2353" s="92">
        <f t="shared" si="1393"/>
        <v>0</v>
      </c>
      <c r="S2353" s="92">
        <f t="shared" si="1393"/>
        <v>0</v>
      </c>
      <c r="T2353" s="93">
        <f t="shared" si="1409"/>
        <v>0</v>
      </c>
      <c r="U2353" s="95">
        <f t="shared" si="1405"/>
        <v>0</v>
      </c>
      <c r="V2353" s="94"/>
      <c r="W2353" s="96" t="str">
        <f>IF(U2351&gt;0,"xx",IF(P2351&gt;0,"xy",""))</f>
        <v/>
      </c>
      <c r="X2353" s="580" t="str">
        <f t="shared" si="1398"/>
        <v/>
      </c>
      <c r="Y2353" s="580" t="str">
        <f t="shared" si="1401"/>
        <v/>
      </c>
      <c r="Z2353" s="580" t="str">
        <f t="shared" si="1403"/>
        <v/>
      </c>
    </row>
    <row r="2354" spans="1:26" hidden="1" x14ac:dyDescent="0.2">
      <c r="A2354" s="97" t="s">
        <v>165</v>
      </c>
      <c r="B2354" s="1031" t="s">
        <v>165</v>
      </c>
      <c r="C2354" s="978"/>
      <c r="D2354" s="595" t="s">
        <v>261</v>
      </c>
      <c r="E2354" s="596"/>
      <c r="F2354" s="671">
        <v>20</v>
      </c>
      <c r="G2354" s="597">
        <f>VLOOKUP(D2351,'ENSAIOS DE ORÇAMENTO'!$C$3:$L$79,6,FALSE)</f>
        <v>4.18982265</v>
      </c>
      <c r="H2354" s="682">
        <f>IF(F2354=0,0,IF(F2354&lt;=30,(0.7*F2354+1.45)*G2354,((0.7*30+1.45)+0.58*(F2354-30))*G2354))</f>
        <v>64.732759942499996</v>
      </c>
      <c r="I2354" s="592"/>
      <c r="J2354" s="592"/>
      <c r="K2354" s="593">
        <f t="shared" si="1399"/>
        <v>0</v>
      </c>
      <c r="L2354" s="594"/>
      <c r="M2354" s="92"/>
      <c r="N2354" s="92"/>
      <c r="O2354" s="93">
        <f t="shared" si="1407"/>
        <v>0</v>
      </c>
      <c r="P2354" s="93">
        <f t="shared" si="1408"/>
        <v>0</v>
      </c>
      <c r="Q2354" s="94"/>
      <c r="R2354" s="92">
        <f t="shared" si="1393"/>
        <v>0</v>
      </c>
      <c r="S2354" s="92">
        <f t="shared" si="1393"/>
        <v>0</v>
      </c>
      <c r="T2354" s="93">
        <f t="shared" si="1409"/>
        <v>0</v>
      </c>
      <c r="U2354" s="95">
        <f t="shared" si="1405"/>
        <v>0</v>
      </c>
      <c r="V2354" s="94"/>
      <c r="W2354" s="96" t="str">
        <f>IF(U2351&gt;0,"xx",IF(P2351&gt;0,"xy",""))</f>
        <v/>
      </c>
      <c r="X2354" s="580" t="str">
        <f t="shared" si="1398"/>
        <v/>
      </c>
      <c r="Y2354" s="580" t="str">
        <f t="shared" si="1401"/>
        <v/>
      </c>
      <c r="Z2354" s="580" t="str">
        <f t="shared" si="1403"/>
        <v/>
      </c>
    </row>
    <row r="2355" spans="1:26" hidden="1" x14ac:dyDescent="0.2">
      <c r="A2355" s="97" t="s">
        <v>165</v>
      </c>
      <c r="B2355" s="1031" t="s">
        <v>165</v>
      </c>
      <c r="C2355" s="978"/>
      <c r="D2355" s="595" t="s">
        <v>419</v>
      </c>
      <c r="E2355" s="596"/>
      <c r="F2355" s="671">
        <v>30</v>
      </c>
      <c r="G2355" s="597">
        <f>VLOOKUP(D2351,'ENSAIOS DE ORÇAMENTO'!$C$3:$L$79,3,FALSE)</f>
        <v>0</v>
      </c>
      <c r="H2355" s="682">
        <f>IF(F2355=0,0,IF(F2355&lt;=30,(0.7*F2355+1.45)*G2355,((0.7*30+1.45)+0.58*(F2355-30))*G2355))</f>
        <v>0</v>
      </c>
      <c r="I2355" s="592"/>
      <c r="J2355" s="592"/>
      <c r="K2355" s="593">
        <f t="shared" si="1399"/>
        <v>0</v>
      </c>
      <c r="L2355" s="594"/>
      <c r="M2355" s="92"/>
      <c r="N2355" s="92"/>
      <c r="O2355" s="93">
        <f t="shared" si="1407"/>
        <v>0</v>
      </c>
      <c r="P2355" s="93">
        <f t="shared" si="1408"/>
        <v>0</v>
      </c>
      <c r="Q2355" s="94"/>
      <c r="R2355" s="92">
        <f t="shared" si="1393"/>
        <v>0</v>
      </c>
      <c r="S2355" s="92">
        <f t="shared" si="1393"/>
        <v>0</v>
      </c>
      <c r="T2355" s="93">
        <f t="shared" si="1409"/>
        <v>0</v>
      </c>
      <c r="U2355" s="95">
        <f t="shared" si="1405"/>
        <v>0</v>
      </c>
      <c r="V2355" s="94"/>
      <c r="W2355" s="96" t="str">
        <f>IF(U2351&gt;0,"xx",IF(P2351&gt;0,"xy",""))</f>
        <v/>
      </c>
      <c r="X2355" s="580" t="str">
        <f t="shared" si="1398"/>
        <v/>
      </c>
      <c r="Y2355" s="580" t="str">
        <f t="shared" si="1401"/>
        <v/>
      </c>
      <c r="Z2355" s="580" t="str">
        <f t="shared" si="1403"/>
        <v/>
      </c>
    </row>
    <row r="2356" spans="1:26" hidden="1" x14ac:dyDescent="0.2">
      <c r="A2356" s="97" t="s">
        <v>165</v>
      </c>
      <c r="B2356" s="1031" t="s">
        <v>165</v>
      </c>
      <c r="C2356" s="978"/>
      <c r="D2356" s="595" t="s">
        <v>420</v>
      </c>
      <c r="E2356" s="596"/>
      <c r="F2356" s="671">
        <v>500</v>
      </c>
      <c r="G2356" s="597">
        <f>VLOOKUP(D2351,'ENSAIOS DE ORÇAMENTO'!$C$3:$L$79,10,FALSE)</f>
        <v>0</v>
      </c>
      <c r="H2356" s="682">
        <f>IF(F2356=0,0,IF(F2356&lt;=30,(0.7*F2356+1.45)*G2356,((0.7*30+1.45)+0.58*(F2356-30))*G2356))</f>
        <v>0</v>
      </c>
      <c r="I2356" s="592"/>
      <c r="J2356" s="592"/>
      <c r="K2356" s="593">
        <f t="shared" si="1399"/>
        <v>0</v>
      </c>
      <c r="L2356" s="594"/>
      <c r="M2356" s="92"/>
      <c r="N2356" s="92"/>
      <c r="O2356" s="93">
        <f t="shared" si="1407"/>
        <v>0</v>
      </c>
      <c r="P2356" s="93">
        <f t="shared" si="1408"/>
        <v>0</v>
      </c>
      <c r="Q2356" s="94"/>
      <c r="R2356" s="92">
        <f t="shared" si="1393"/>
        <v>0</v>
      </c>
      <c r="S2356" s="92">
        <f t="shared" si="1393"/>
        <v>0</v>
      </c>
      <c r="T2356" s="93">
        <f t="shared" si="1409"/>
        <v>0</v>
      </c>
      <c r="U2356" s="95">
        <f t="shared" si="1405"/>
        <v>0</v>
      </c>
      <c r="V2356" s="94"/>
      <c r="W2356" s="96" t="str">
        <f>IF(U2351&gt;0,"xx",IF(P2351&gt;0,"xy",""))</f>
        <v/>
      </c>
      <c r="X2356" s="580" t="str">
        <f t="shared" si="1398"/>
        <v/>
      </c>
      <c r="Y2356" s="580" t="str">
        <f t="shared" si="1401"/>
        <v/>
      </c>
      <c r="Z2356" s="580" t="str">
        <f t="shared" si="1403"/>
        <v/>
      </c>
    </row>
    <row r="2357" spans="1:26" hidden="1" x14ac:dyDescent="0.2">
      <c r="A2357" s="97" t="s">
        <v>45</v>
      </c>
      <c r="B2357" s="1031" t="s">
        <v>45</v>
      </c>
      <c r="C2357" s="978" t="s">
        <v>212</v>
      </c>
      <c r="D2357" s="595" t="s">
        <v>440</v>
      </c>
      <c r="E2357" s="596"/>
      <c r="F2357" s="671"/>
      <c r="G2357" s="597"/>
      <c r="H2357" s="682">
        <f>SUM(H2358:H2362)</f>
        <v>1121.20605987525</v>
      </c>
      <c r="I2357" s="592">
        <f>VLOOKUP(D2357,'ENSAIOS DE ORÇAMENTO'!$C$3:$L$79,8,FALSE)</f>
        <v>11450.372339149999</v>
      </c>
      <c r="J2357" s="592">
        <f t="shared" ref="J2357" si="1412">IF(ISBLANK(I2357),"",SUM(H2357:I2357))</f>
        <v>12571.578399025249</v>
      </c>
      <c r="K2357" s="593">
        <f t="shared" si="1399"/>
        <v>15300.87</v>
      </c>
      <c r="L2357" s="594" t="s">
        <v>21</v>
      </c>
      <c r="M2357" s="92"/>
      <c r="N2357" s="92"/>
      <c r="O2357" s="93">
        <f t="shared" si="1407"/>
        <v>0</v>
      </c>
      <c r="P2357" s="93">
        <f t="shared" si="1408"/>
        <v>0</v>
      </c>
      <c r="Q2357" s="94"/>
      <c r="R2357" s="92">
        <f t="shared" si="1393"/>
        <v>0</v>
      </c>
      <c r="S2357" s="92">
        <f t="shared" si="1393"/>
        <v>0</v>
      </c>
      <c r="T2357" s="93">
        <f t="shared" si="1409"/>
        <v>0</v>
      </c>
      <c r="U2357" s="95">
        <f t="shared" si="1405"/>
        <v>0</v>
      </c>
      <c r="V2357" s="94"/>
      <c r="X2357" s="580" t="str">
        <f t="shared" si="1398"/>
        <v/>
      </c>
      <c r="Y2357" s="580" t="str">
        <f t="shared" si="1401"/>
        <v/>
      </c>
      <c r="Z2357" s="580" t="str">
        <f t="shared" si="1403"/>
        <v/>
      </c>
    </row>
    <row r="2358" spans="1:26" hidden="1" x14ac:dyDescent="0.2">
      <c r="A2358" s="97" t="s">
        <v>165</v>
      </c>
      <c r="B2358" s="1031" t="s">
        <v>165</v>
      </c>
      <c r="C2358" s="978"/>
      <c r="D2358" s="595" t="s">
        <v>218</v>
      </c>
      <c r="E2358" s="596"/>
      <c r="F2358" s="671">
        <v>500</v>
      </c>
      <c r="G2358" s="597">
        <f>VLOOKUP(D2357,'ENSAIOS DE ORÇAMENTO'!$C$3:$L$79,4,FALSE)</f>
        <v>1.9087789500000001</v>
      </c>
      <c r="H2358" s="682">
        <f>IF(F2358&lt;=30,(0.51*F2358+4.28)*G2358,((0.51*30+4.28)+0.42*(F2358-30))*G2358)</f>
        <v>414.16685657100004</v>
      </c>
      <c r="I2358" s="592"/>
      <c r="J2358" s="592"/>
      <c r="K2358" s="593">
        <f t="shared" si="1399"/>
        <v>0</v>
      </c>
      <c r="L2358" s="594"/>
      <c r="M2358" s="92"/>
      <c r="N2358" s="92"/>
      <c r="O2358" s="93">
        <f t="shared" si="1407"/>
        <v>0</v>
      </c>
      <c r="P2358" s="93">
        <f t="shared" si="1408"/>
        <v>0</v>
      </c>
      <c r="Q2358" s="94"/>
      <c r="R2358" s="92">
        <f t="shared" si="1393"/>
        <v>0</v>
      </c>
      <c r="S2358" s="92">
        <f t="shared" si="1393"/>
        <v>0</v>
      </c>
      <c r="T2358" s="93">
        <f t="shared" si="1409"/>
        <v>0</v>
      </c>
      <c r="U2358" s="95">
        <f t="shared" si="1405"/>
        <v>0</v>
      </c>
      <c r="V2358" s="94"/>
      <c r="W2358" s="96" t="str">
        <f>IF(U2357&gt;0,"xx",IF(P2357&gt;0,"xy",""))</f>
        <v/>
      </c>
      <c r="X2358" s="580" t="str">
        <f t="shared" si="1398"/>
        <v/>
      </c>
      <c r="Y2358" s="580" t="str">
        <f t="shared" si="1401"/>
        <v/>
      </c>
      <c r="Z2358" s="580" t="str">
        <f t="shared" si="1403"/>
        <v/>
      </c>
    </row>
    <row r="2359" spans="1:26" hidden="1" x14ac:dyDescent="0.2">
      <c r="A2359" s="97" t="s">
        <v>165</v>
      </c>
      <c r="B2359" s="1031" t="s">
        <v>165</v>
      </c>
      <c r="C2359" s="978"/>
      <c r="D2359" s="595" t="s">
        <v>257</v>
      </c>
      <c r="E2359" s="596"/>
      <c r="F2359" s="671">
        <v>180</v>
      </c>
      <c r="G2359" s="597">
        <f>VLOOKUP(D2357,'ENSAIOS DE ORÇAMENTO'!$C$3:$L$79,5,FALSE)</f>
        <v>5.5279776150000002</v>
      </c>
      <c r="H2359" s="682">
        <f>IF(F2359=0,0,IF(F2359&lt;=30,(0.7*F2359+1.45)*G2359,((0.7*30+1.45)+0.58*(F2359-30))*G2359))</f>
        <v>605.03714996175006</v>
      </c>
      <c r="I2359" s="592"/>
      <c r="J2359" s="592"/>
      <c r="K2359" s="593">
        <f t="shared" si="1399"/>
        <v>0</v>
      </c>
      <c r="L2359" s="594"/>
      <c r="M2359" s="92"/>
      <c r="N2359" s="92"/>
      <c r="O2359" s="93">
        <f t="shared" si="1407"/>
        <v>0</v>
      </c>
      <c r="P2359" s="93">
        <f t="shared" si="1408"/>
        <v>0</v>
      </c>
      <c r="Q2359" s="94"/>
      <c r="R2359" s="92">
        <f t="shared" ref="R2359:S2422" si="1413">M2359</f>
        <v>0</v>
      </c>
      <c r="S2359" s="92">
        <f t="shared" si="1413"/>
        <v>0</v>
      </c>
      <c r="T2359" s="93">
        <f t="shared" si="1409"/>
        <v>0</v>
      </c>
      <c r="U2359" s="95">
        <f t="shared" si="1405"/>
        <v>0</v>
      </c>
      <c r="V2359" s="94"/>
      <c r="W2359" s="96" t="str">
        <f>IF(U2357&gt;0,"xx",IF(P2357&gt;0,"xy",""))</f>
        <v/>
      </c>
      <c r="X2359" s="580" t="str">
        <f t="shared" si="1398"/>
        <v/>
      </c>
      <c r="Y2359" s="580" t="str">
        <f t="shared" si="1401"/>
        <v/>
      </c>
      <c r="Z2359" s="580" t="str">
        <f t="shared" si="1403"/>
        <v/>
      </c>
    </row>
    <row r="2360" spans="1:26" hidden="1" x14ac:dyDescent="0.2">
      <c r="A2360" s="97" t="s">
        <v>165</v>
      </c>
      <c r="B2360" s="1031" t="s">
        <v>165</v>
      </c>
      <c r="C2360" s="978"/>
      <c r="D2360" s="595" t="s">
        <v>261</v>
      </c>
      <c r="E2360" s="596"/>
      <c r="F2360" s="671">
        <v>20</v>
      </c>
      <c r="G2360" s="597">
        <f>VLOOKUP(D2357,'ENSAIOS DE ORÇAMENTO'!$C$3:$L$79,6,FALSE)</f>
        <v>6.6020746500000005</v>
      </c>
      <c r="H2360" s="682">
        <f>IF(F2360=0,0,IF(F2360&lt;=30,(0.7*F2360+1.45)*G2360,((0.7*30+1.45)+0.58*(F2360-30))*G2360))</f>
        <v>102.00205334250001</v>
      </c>
      <c r="I2360" s="592"/>
      <c r="J2360" s="592"/>
      <c r="K2360" s="593">
        <f t="shared" si="1399"/>
        <v>0</v>
      </c>
      <c r="L2360" s="594"/>
      <c r="M2360" s="92"/>
      <c r="N2360" s="92"/>
      <c r="O2360" s="93">
        <f t="shared" si="1407"/>
        <v>0</v>
      </c>
      <c r="P2360" s="93">
        <f t="shared" si="1408"/>
        <v>0</v>
      </c>
      <c r="Q2360" s="94"/>
      <c r="R2360" s="92">
        <f t="shared" si="1413"/>
        <v>0</v>
      </c>
      <c r="S2360" s="92">
        <f t="shared" si="1413"/>
        <v>0</v>
      </c>
      <c r="T2360" s="93">
        <f t="shared" si="1409"/>
        <v>0</v>
      </c>
      <c r="U2360" s="95">
        <f t="shared" si="1405"/>
        <v>0</v>
      </c>
      <c r="V2360" s="94"/>
      <c r="W2360" s="96" t="str">
        <f>IF(U2357&gt;0,"xx",IF(P2357&gt;0,"xy",""))</f>
        <v/>
      </c>
      <c r="X2360" s="580" t="str">
        <f t="shared" si="1398"/>
        <v/>
      </c>
      <c r="Y2360" s="580" t="str">
        <f t="shared" si="1401"/>
        <v/>
      </c>
      <c r="Z2360" s="580" t="str">
        <f t="shared" si="1403"/>
        <v/>
      </c>
    </row>
    <row r="2361" spans="1:26" hidden="1" x14ac:dyDescent="0.2">
      <c r="A2361" s="97" t="s">
        <v>165</v>
      </c>
      <c r="B2361" s="1031" t="s">
        <v>165</v>
      </c>
      <c r="C2361" s="978"/>
      <c r="D2361" s="595" t="s">
        <v>419</v>
      </c>
      <c r="E2361" s="596"/>
      <c r="F2361" s="671">
        <v>30</v>
      </c>
      <c r="G2361" s="597">
        <f>VLOOKUP(D2357,'ENSAIOS DE ORÇAMENTO'!$C$3:$L$79,3,FALSE)</f>
        <v>0</v>
      </c>
      <c r="H2361" s="682">
        <f>IF(F2361=0,0,IF(F2361&lt;=30,(0.7*F2361+1.45)*G2361,((0.7*30+1.45)+0.58*(F2361-30))*G2361))</f>
        <v>0</v>
      </c>
      <c r="I2361" s="592"/>
      <c r="J2361" s="592"/>
      <c r="K2361" s="593">
        <f t="shared" si="1399"/>
        <v>0</v>
      </c>
      <c r="L2361" s="594"/>
      <c r="M2361" s="92"/>
      <c r="N2361" s="92"/>
      <c r="O2361" s="93">
        <f t="shared" si="1407"/>
        <v>0</v>
      </c>
      <c r="P2361" s="93">
        <f t="shared" si="1408"/>
        <v>0</v>
      </c>
      <c r="Q2361" s="94"/>
      <c r="R2361" s="92">
        <f t="shared" si="1413"/>
        <v>0</v>
      </c>
      <c r="S2361" s="92">
        <f t="shared" si="1413"/>
        <v>0</v>
      </c>
      <c r="T2361" s="93">
        <f t="shared" si="1409"/>
        <v>0</v>
      </c>
      <c r="U2361" s="95">
        <f t="shared" si="1405"/>
        <v>0</v>
      </c>
      <c r="V2361" s="94"/>
      <c r="W2361" s="96" t="str">
        <f>IF(U2357&gt;0,"xx",IF(P2357&gt;0,"xy",""))</f>
        <v/>
      </c>
      <c r="X2361" s="580" t="str">
        <f t="shared" si="1398"/>
        <v/>
      </c>
      <c r="Y2361" s="580" t="str">
        <f t="shared" si="1401"/>
        <v/>
      </c>
      <c r="Z2361" s="580" t="str">
        <f t="shared" si="1403"/>
        <v/>
      </c>
    </row>
    <row r="2362" spans="1:26" hidden="1" x14ac:dyDescent="0.2">
      <c r="A2362" s="97" t="s">
        <v>165</v>
      </c>
      <c r="B2362" s="1031" t="s">
        <v>165</v>
      </c>
      <c r="C2362" s="978"/>
      <c r="D2362" s="595" t="s">
        <v>420</v>
      </c>
      <c r="E2362" s="596"/>
      <c r="F2362" s="671">
        <v>500</v>
      </c>
      <c r="G2362" s="597">
        <f>VLOOKUP(D2357,'ENSAIOS DE ORÇAMENTO'!$C$3:$L$79,10,FALSE)</f>
        <v>0</v>
      </c>
      <c r="H2362" s="682">
        <f>IF(F2362=0,0,IF(F2362&lt;=30,(0.7*F2362+1.45)*G2362,((0.7*30+1.45)+0.58*(F2362-30))*G2362))</f>
        <v>0</v>
      </c>
      <c r="I2362" s="592"/>
      <c r="J2362" s="592"/>
      <c r="K2362" s="593">
        <f t="shared" si="1399"/>
        <v>0</v>
      </c>
      <c r="L2362" s="594"/>
      <c r="M2362" s="92"/>
      <c r="N2362" s="92"/>
      <c r="O2362" s="93">
        <f t="shared" si="1407"/>
        <v>0</v>
      </c>
      <c r="P2362" s="93">
        <f t="shared" si="1408"/>
        <v>0</v>
      </c>
      <c r="Q2362" s="94"/>
      <c r="R2362" s="92">
        <f t="shared" si="1413"/>
        <v>0</v>
      </c>
      <c r="S2362" s="92">
        <f t="shared" si="1413"/>
        <v>0</v>
      </c>
      <c r="T2362" s="93">
        <f t="shared" si="1409"/>
        <v>0</v>
      </c>
      <c r="U2362" s="95">
        <f t="shared" si="1405"/>
        <v>0</v>
      </c>
      <c r="V2362" s="94"/>
      <c r="W2362" s="96" t="str">
        <f>IF(U2357&gt;0,"xx",IF(P2357&gt;0,"xy",""))</f>
        <v/>
      </c>
      <c r="X2362" s="580" t="str">
        <f t="shared" si="1398"/>
        <v/>
      </c>
      <c r="Y2362" s="580" t="str">
        <f t="shared" si="1401"/>
        <v/>
      </c>
      <c r="Z2362" s="580" t="str">
        <f t="shared" si="1403"/>
        <v/>
      </c>
    </row>
    <row r="2363" spans="1:26" hidden="1" x14ac:dyDescent="0.2">
      <c r="A2363" s="97" t="s">
        <v>130</v>
      </c>
      <c r="B2363" s="1031" t="s">
        <v>130</v>
      </c>
      <c r="C2363" s="978" t="s">
        <v>212</v>
      </c>
      <c r="D2363" s="595" t="s">
        <v>142</v>
      </c>
      <c r="E2363" s="596"/>
      <c r="F2363" s="671"/>
      <c r="G2363" s="597"/>
      <c r="H2363" s="682">
        <f>SUM(H2364:H2368)</f>
        <v>241.28776068100004</v>
      </c>
      <c r="I2363" s="592">
        <f>VLOOKUP(D2363,'ENSAIOS DE ORÇAMENTO'!$C$3:$L$79,8,FALSE)</f>
        <v>2080.0031349999999</v>
      </c>
      <c r="J2363" s="592">
        <f t="shared" ref="J2363" si="1414">IF(ISBLANK(I2363),"",SUM(H2363:I2363))</f>
        <v>2321.2908956810002</v>
      </c>
      <c r="K2363" s="593">
        <f t="shared" si="1399"/>
        <v>2825.24</v>
      </c>
      <c r="L2363" s="594" t="s">
        <v>21</v>
      </c>
      <c r="M2363" s="92"/>
      <c r="N2363" s="92"/>
      <c r="O2363" s="93">
        <f t="shared" si="1407"/>
        <v>0</v>
      </c>
      <c r="P2363" s="93">
        <f t="shared" si="1408"/>
        <v>0</v>
      </c>
      <c r="Q2363" s="94"/>
      <c r="R2363" s="92">
        <f t="shared" si="1413"/>
        <v>0</v>
      </c>
      <c r="S2363" s="92">
        <f t="shared" si="1413"/>
        <v>0</v>
      </c>
      <c r="T2363" s="93">
        <f t="shared" si="1409"/>
        <v>0</v>
      </c>
      <c r="U2363" s="95">
        <f t="shared" si="1405"/>
        <v>0</v>
      </c>
      <c r="V2363" s="94"/>
      <c r="X2363" s="580" t="str">
        <f t="shared" si="1398"/>
        <v/>
      </c>
      <c r="Y2363" s="580" t="str">
        <f t="shared" si="1401"/>
        <v/>
      </c>
      <c r="Z2363" s="580" t="str">
        <f t="shared" si="1403"/>
        <v/>
      </c>
    </row>
    <row r="2364" spans="1:26" hidden="1" x14ac:dyDescent="0.2">
      <c r="A2364" s="97" t="s">
        <v>165</v>
      </c>
      <c r="B2364" s="1031" t="s">
        <v>165</v>
      </c>
      <c r="C2364" s="978"/>
      <c r="D2364" s="595" t="s">
        <v>218</v>
      </c>
      <c r="E2364" s="596"/>
      <c r="F2364" s="671">
        <v>500</v>
      </c>
      <c r="G2364" s="597">
        <f>VLOOKUP(D2363,'ENSAIOS DE ORÇAMENTO'!$C$3:$L$79,4,FALSE)</f>
        <v>0.35276220000000008</v>
      </c>
      <c r="H2364" s="682">
        <f>IF(F2364&lt;=30,(0.51*F2364+4.28)*G2364,((0.51*30+4.28)+0.42*(F2364-30))*G2364)</f>
        <v>76.542342156000018</v>
      </c>
      <c r="I2364" s="592"/>
      <c r="J2364" s="592"/>
      <c r="K2364" s="593">
        <f t="shared" si="1399"/>
        <v>0</v>
      </c>
      <c r="L2364" s="594"/>
      <c r="M2364" s="92"/>
      <c r="N2364" s="92"/>
      <c r="O2364" s="93">
        <f t="shared" si="1407"/>
        <v>0</v>
      </c>
      <c r="P2364" s="93">
        <f t="shared" si="1408"/>
        <v>0</v>
      </c>
      <c r="Q2364" s="94"/>
      <c r="R2364" s="92">
        <f t="shared" si="1413"/>
        <v>0</v>
      </c>
      <c r="S2364" s="92">
        <f t="shared" si="1413"/>
        <v>0</v>
      </c>
      <c r="T2364" s="93">
        <f t="shared" si="1409"/>
        <v>0</v>
      </c>
      <c r="U2364" s="95">
        <f t="shared" si="1405"/>
        <v>0</v>
      </c>
      <c r="V2364" s="94"/>
      <c r="W2364" s="96" t="str">
        <f>IF(U2363&gt;0,"xx",IF(P2363&gt;0,"xy",""))</f>
        <v/>
      </c>
      <c r="X2364" s="580" t="str">
        <f t="shared" si="1398"/>
        <v/>
      </c>
      <c r="Y2364" s="580" t="str">
        <f t="shared" si="1401"/>
        <v/>
      </c>
      <c r="Z2364" s="580" t="str">
        <f t="shared" si="1403"/>
        <v/>
      </c>
    </row>
    <row r="2365" spans="1:26" hidden="1" x14ac:dyDescent="0.2">
      <c r="A2365" s="97" t="s">
        <v>165</v>
      </c>
      <c r="B2365" s="1031" t="s">
        <v>165</v>
      </c>
      <c r="C2365" s="978"/>
      <c r="D2365" s="595" t="s">
        <v>257</v>
      </c>
      <c r="E2365" s="596"/>
      <c r="F2365" s="671">
        <v>180</v>
      </c>
      <c r="G2365" s="597">
        <f>VLOOKUP(D2363,'ENSAIOS DE ORÇAMENTO'!$C$3:$L$79,5,FALSE)</f>
        <v>1.1888125000000003</v>
      </c>
      <c r="H2365" s="682">
        <f>IF(F2365=0,0,IF(F2365&lt;=30,(0.7*F2365+1.45)*G2365,((0.7*30+1.45)+0.58*(F2365-30))*G2365))</f>
        <v>130.11552812500003</v>
      </c>
      <c r="I2365" s="592"/>
      <c r="J2365" s="592"/>
      <c r="K2365" s="593">
        <f t="shared" si="1399"/>
        <v>0</v>
      </c>
      <c r="L2365" s="594"/>
      <c r="M2365" s="92"/>
      <c r="N2365" s="92"/>
      <c r="O2365" s="93">
        <f t="shared" si="1407"/>
        <v>0</v>
      </c>
      <c r="P2365" s="93">
        <f t="shared" si="1408"/>
        <v>0</v>
      </c>
      <c r="Q2365" s="94"/>
      <c r="R2365" s="92">
        <f t="shared" si="1413"/>
        <v>0</v>
      </c>
      <c r="S2365" s="92">
        <f t="shared" si="1413"/>
        <v>0</v>
      </c>
      <c r="T2365" s="93">
        <f t="shared" si="1409"/>
        <v>0</v>
      </c>
      <c r="U2365" s="95">
        <f t="shared" si="1405"/>
        <v>0</v>
      </c>
      <c r="V2365" s="94"/>
      <c r="W2365" s="96" t="str">
        <f>IF(U2363&gt;0,"xx",IF(P2363&gt;0,"xy",""))</f>
        <v/>
      </c>
      <c r="X2365" s="580" t="str">
        <f t="shared" si="1398"/>
        <v/>
      </c>
      <c r="Y2365" s="580" t="str">
        <f t="shared" si="1401"/>
        <v/>
      </c>
      <c r="Z2365" s="580" t="str">
        <f t="shared" si="1403"/>
        <v/>
      </c>
    </row>
    <row r="2366" spans="1:26" hidden="1" x14ac:dyDescent="0.2">
      <c r="A2366" s="97" t="s">
        <v>165</v>
      </c>
      <c r="B2366" s="1031" t="s">
        <v>165</v>
      </c>
      <c r="C2366" s="978"/>
      <c r="D2366" s="595" t="s">
        <v>261</v>
      </c>
      <c r="E2366" s="596"/>
      <c r="F2366" s="671">
        <v>20</v>
      </c>
      <c r="G2366" s="597">
        <f>VLOOKUP(D2363,'ENSAIOS DE ORÇAMENTO'!$C$3:$L$79,6,FALSE)</f>
        <v>1.1100000000000001</v>
      </c>
      <c r="H2366" s="682">
        <f>IF(F2366=0,0,IF(F2366&lt;=30,(0.7*F2366+1.45)*G2366,((0.7*30+1.45)+0.58*(F2366-30))*G2366))</f>
        <v>17.1495</v>
      </c>
      <c r="I2366" s="592"/>
      <c r="J2366" s="592"/>
      <c r="K2366" s="593">
        <f t="shared" si="1399"/>
        <v>0</v>
      </c>
      <c r="L2366" s="594"/>
      <c r="M2366" s="92"/>
      <c r="N2366" s="92"/>
      <c r="O2366" s="93">
        <f t="shared" si="1407"/>
        <v>0</v>
      </c>
      <c r="P2366" s="93">
        <f t="shared" si="1408"/>
        <v>0</v>
      </c>
      <c r="Q2366" s="94"/>
      <c r="R2366" s="92">
        <f t="shared" si="1413"/>
        <v>0</v>
      </c>
      <c r="S2366" s="92">
        <f t="shared" si="1413"/>
        <v>0</v>
      </c>
      <c r="T2366" s="93">
        <f t="shared" si="1409"/>
        <v>0</v>
      </c>
      <c r="U2366" s="95">
        <f t="shared" si="1405"/>
        <v>0</v>
      </c>
      <c r="V2366" s="94"/>
      <c r="W2366" s="96" t="str">
        <f>IF(U2363&gt;0,"xx",IF(P2363&gt;0,"xy",""))</f>
        <v/>
      </c>
      <c r="X2366" s="580" t="str">
        <f t="shared" si="1398"/>
        <v/>
      </c>
      <c r="Y2366" s="580" t="str">
        <f t="shared" si="1401"/>
        <v/>
      </c>
      <c r="Z2366" s="580" t="str">
        <f t="shared" si="1403"/>
        <v/>
      </c>
    </row>
    <row r="2367" spans="1:26" hidden="1" x14ac:dyDescent="0.2">
      <c r="A2367" s="97" t="s">
        <v>165</v>
      </c>
      <c r="B2367" s="1031" t="s">
        <v>165</v>
      </c>
      <c r="C2367" s="978"/>
      <c r="D2367" s="595" t="s">
        <v>419</v>
      </c>
      <c r="E2367" s="596"/>
      <c r="F2367" s="671">
        <v>30</v>
      </c>
      <c r="G2367" s="597">
        <f>VLOOKUP(D2363,'ENSAIOS DE ORÇAMENTO'!$C$3:$L$79,3,FALSE)</f>
        <v>0.54144000000000003</v>
      </c>
      <c r="H2367" s="682">
        <f>IF(F2367=0,0,IF(F2367&lt;=30,(0.7*F2367+1.45)*G2367,((0.7*30+1.45)+0.58*(F2367-30))*G2367))</f>
        <v>12.155328000000001</v>
      </c>
      <c r="I2367" s="592"/>
      <c r="J2367" s="592"/>
      <c r="K2367" s="593">
        <f t="shared" si="1399"/>
        <v>0</v>
      </c>
      <c r="L2367" s="594"/>
      <c r="M2367" s="92"/>
      <c r="N2367" s="92"/>
      <c r="O2367" s="93">
        <f t="shared" si="1407"/>
        <v>0</v>
      </c>
      <c r="P2367" s="93">
        <f t="shared" si="1408"/>
        <v>0</v>
      </c>
      <c r="Q2367" s="94"/>
      <c r="R2367" s="92">
        <f t="shared" si="1413"/>
        <v>0</v>
      </c>
      <c r="S2367" s="92">
        <f t="shared" si="1413"/>
        <v>0</v>
      </c>
      <c r="T2367" s="93">
        <f t="shared" si="1409"/>
        <v>0</v>
      </c>
      <c r="U2367" s="95">
        <f t="shared" si="1405"/>
        <v>0</v>
      </c>
      <c r="V2367" s="94"/>
      <c r="W2367" s="96" t="str">
        <f>IF(U2363&gt;0,"xx",IF(P2363&gt;0,"xy",""))</f>
        <v/>
      </c>
      <c r="X2367" s="580" t="str">
        <f t="shared" si="1398"/>
        <v/>
      </c>
      <c r="Y2367" s="580" t="str">
        <f t="shared" si="1401"/>
        <v/>
      </c>
      <c r="Z2367" s="580" t="str">
        <f t="shared" si="1403"/>
        <v/>
      </c>
    </row>
    <row r="2368" spans="1:26" hidden="1" x14ac:dyDescent="0.2">
      <c r="A2368" s="97" t="s">
        <v>165</v>
      </c>
      <c r="B2368" s="1031" t="s">
        <v>165</v>
      </c>
      <c r="C2368" s="978"/>
      <c r="D2368" s="595" t="s">
        <v>420</v>
      </c>
      <c r="E2368" s="596"/>
      <c r="F2368" s="671">
        <v>500</v>
      </c>
      <c r="G2368" s="597">
        <f>VLOOKUP(D2363,'ENSAIOS DE ORÇAMENTO'!$C$3:$L$79,10,FALSE)</f>
        <v>1.8048000000000002E-2</v>
      </c>
      <c r="H2368" s="682">
        <f>IF(F2368=0,0,IF(F2368&lt;=30,(0.7*F2368+1.45)*G2368,((0.7*30+1.45)+0.58*(F2368-30))*G2368))</f>
        <v>5.3250623999999993</v>
      </c>
      <c r="I2368" s="592"/>
      <c r="J2368" s="592"/>
      <c r="K2368" s="593">
        <f t="shared" si="1399"/>
        <v>0</v>
      </c>
      <c r="L2368" s="594"/>
      <c r="M2368" s="92"/>
      <c r="N2368" s="92"/>
      <c r="O2368" s="93">
        <f t="shared" si="1407"/>
        <v>0</v>
      </c>
      <c r="P2368" s="93">
        <f t="shared" si="1408"/>
        <v>0</v>
      </c>
      <c r="Q2368" s="94"/>
      <c r="R2368" s="92">
        <f t="shared" si="1413"/>
        <v>0</v>
      </c>
      <c r="S2368" s="92">
        <f t="shared" si="1413"/>
        <v>0</v>
      </c>
      <c r="T2368" s="93">
        <f t="shared" si="1409"/>
        <v>0</v>
      </c>
      <c r="U2368" s="95">
        <f t="shared" si="1405"/>
        <v>0</v>
      </c>
      <c r="V2368" s="94"/>
      <c r="W2368" s="96" t="str">
        <f>IF(U2363&gt;0,"xx",IF(P2363&gt;0,"xy",""))</f>
        <v/>
      </c>
      <c r="X2368" s="580" t="str">
        <f t="shared" si="1398"/>
        <v/>
      </c>
      <c r="Y2368" s="580" t="str">
        <f t="shared" si="1401"/>
        <v/>
      </c>
      <c r="Z2368" s="580" t="str">
        <f t="shared" si="1403"/>
        <v/>
      </c>
    </row>
    <row r="2369" spans="1:26" hidden="1" x14ac:dyDescent="0.2">
      <c r="A2369" s="97" t="s">
        <v>131</v>
      </c>
      <c r="B2369" s="1031" t="s">
        <v>131</v>
      </c>
      <c r="C2369" s="978" t="s">
        <v>212</v>
      </c>
      <c r="D2369" s="595" t="s">
        <v>143</v>
      </c>
      <c r="E2369" s="596"/>
      <c r="F2369" s="671"/>
      <c r="G2369" s="597"/>
      <c r="H2369" s="682">
        <f>SUM(H2370:H2374)</f>
        <v>274.02869882799996</v>
      </c>
      <c r="I2369" s="592">
        <f>VLOOKUP(D2369,'ENSAIOS DE ORÇAMENTO'!$C$3:$L$79,8,FALSE)</f>
        <v>2257.2565800000002</v>
      </c>
      <c r="J2369" s="592">
        <f t="shared" ref="J2369" si="1415">IF(ISBLANK(I2369),"",SUM(H2369:I2369))</f>
        <v>2531.2852788280002</v>
      </c>
      <c r="K2369" s="593">
        <f t="shared" si="1399"/>
        <v>3080.83</v>
      </c>
      <c r="L2369" s="594" t="s">
        <v>21</v>
      </c>
      <c r="M2369" s="92"/>
      <c r="N2369" s="92"/>
      <c r="O2369" s="93">
        <f t="shared" si="1407"/>
        <v>0</v>
      </c>
      <c r="P2369" s="93">
        <f t="shared" si="1408"/>
        <v>0</v>
      </c>
      <c r="Q2369" s="94"/>
      <c r="R2369" s="92">
        <f t="shared" si="1413"/>
        <v>0</v>
      </c>
      <c r="S2369" s="92">
        <f t="shared" si="1413"/>
        <v>0</v>
      </c>
      <c r="T2369" s="93">
        <f t="shared" si="1409"/>
        <v>0</v>
      </c>
      <c r="U2369" s="95">
        <f t="shared" si="1405"/>
        <v>0</v>
      </c>
      <c r="V2369" s="94"/>
      <c r="X2369" s="580" t="str">
        <f t="shared" si="1398"/>
        <v/>
      </c>
      <c r="Y2369" s="580" t="str">
        <f t="shared" si="1401"/>
        <v/>
      </c>
      <c r="Z2369" s="580" t="str">
        <f t="shared" si="1403"/>
        <v/>
      </c>
    </row>
    <row r="2370" spans="1:26" hidden="1" x14ac:dyDescent="0.2">
      <c r="A2370" s="97" t="s">
        <v>165</v>
      </c>
      <c r="B2370" s="1031" t="s">
        <v>165</v>
      </c>
      <c r="C2370" s="978"/>
      <c r="D2370" s="595" t="s">
        <v>218</v>
      </c>
      <c r="E2370" s="596"/>
      <c r="F2370" s="671">
        <v>500</v>
      </c>
      <c r="G2370" s="597">
        <f>VLOOKUP(D2369,'ENSAIOS DE ORÇAMENTO'!$C$3:$L$79,4,FALSE)</f>
        <v>0.38489359999999995</v>
      </c>
      <c r="H2370" s="682">
        <f>IF(F2370&lt;=30,(0.51*F2370+4.28)*G2370,((0.51*30+4.28)+0.42*(F2370-30))*G2370)</f>
        <v>83.514213327999997</v>
      </c>
      <c r="I2370" s="592"/>
      <c r="J2370" s="592"/>
      <c r="K2370" s="593">
        <f t="shared" si="1399"/>
        <v>0</v>
      </c>
      <c r="L2370" s="594"/>
      <c r="M2370" s="92"/>
      <c r="N2370" s="92"/>
      <c r="O2370" s="93">
        <f t="shared" si="1407"/>
        <v>0</v>
      </c>
      <c r="P2370" s="93">
        <f t="shared" si="1408"/>
        <v>0</v>
      </c>
      <c r="Q2370" s="94"/>
      <c r="R2370" s="92">
        <f t="shared" si="1413"/>
        <v>0</v>
      </c>
      <c r="S2370" s="92">
        <f t="shared" si="1413"/>
        <v>0</v>
      </c>
      <c r="T2370" s="93">
        <f t="shared" si="1409"/>
        <v>0</v>
      </c>
      <c r="U2370" s="95">
        <f t="shared" si="1405"/>
        <v>0</v>
      </c>
      <c r="V2370" s="94"/>
      <c r="W2370" s="96" t="str">
        <f>IF(U2369&gt;0,"xx",IF(P2369&gt;0,"xy",""))</f>
        <v/>
      </c>
      <c r="X2370" s="580" t="str">
        <f t="shared" si="1398"/>
        <v/>
      </c>
      <c r="Y2370" s="580" t="str">
        <f t="shared" si="1401"/>
        <v/>
      </c>
      <c r="Z2370" s="580" t="str">
        <f t="shared" si="1403"/>
        <v/>
      </c>
    </row>
    <row r="2371" spans="1:26" hidden="1" x14ac:dyDescent="0.2">
      <c r="A2371" s="97" t="s">
        <v>165</v>
      </c>
      <c r="B2371" s="1031" t="s">
        <v>165</v>
      </c>
      <c r="C2371" s="978"/>
      <c r="D2371" s="595" t="s">
        <v>257</v>
      </c>
      <c r="E2371" s="596"/>
      <c r="F2371" s="671">
        <v>180</v>
      </c>
      <c r="G2371" s="597">
        <f>VLOOKUP(D2369,'ENSAIOS DE ORÇAMENTO'!$C$3:$L$79,5,FALSE)</f>
        <v>1.3499699999999999</v>
      </c>
      <c r="H2371" s="682">
        <f>IF(F2371=0,0,IF(F2371&lt;=30,(0.7*F2371+1.45)*G2371,((0.7*30+1.45)+0.58*(F2371-30))*G2371))</f>
        <v>147.75421649999998</v>
      </c>
      <c r="I2371" s="592"/>
      <c r="J2371" s="592"/>
      <c r="K2371" s="593">
        <f t="shared" si="1399"/>
        <v>0</v>
      </c>
      <c r="L2371" s="594"/>
      <c r="M2371" s="92"/>
      <c r="N2371" s="92"/>
      <c r="O2371" s="93">
        <f t="shared" si="1407"/>
        <v>0</v>
      </c>
      <c r="P2371" s="93">
        <f t="shared" si="1408"/>
        <v>0</v>
      </c>
      <c r="Q2371" s="94"/>
      <c r="R2371" s="92">
        <f t="shared" si="1413"/>
        <v>0</v>
      </c>
      <c r="S2371" s="92">
        <f t="shared" si="1413"/>
        <v>0</v>
      </c>
      <c r="T2371" s="93">
        <f t="shared" si="1409"/>
        <v>0</v>
      </c>
      <c r="U2371" s="95">
        <f t="shared" si="1405"/>
        <v>0</v>
      </c>
      <c r="V2371" s="94"/>
      <c r="W2371" s="96" t="str">
        <f>IF(U2369&gt;0,"xx",IF(P2369&gt;0,"xy",""))</f>
        <v/>
      </c>
      <c r="X2371" s="580" t="str">
        <f t="shared" si="1398"/>
        <v/>
      </c>
      <c r="Y2371" s="580" t="str">
        <f t="shared" si="1401"/>
        <v/>
      </c>
      <c r="Z2371" s="580" t="str">
        <f t="shared" si="1403"/>
        <v/>
      </c>
    </row>
    <row r="2372" spans="1:26" hidden="1" x14ac:dyDescent="0.2">
      <c r="A2372" s="97" t="s">
        <v>165</v>
      </c>
      <c r="B2372" s="1031" t="s">
        <v>165</v>
      </c>
      <c r="C2372" s="978"/>
      <c r="D2372" s="595" t="s">
        <v>261</v>
      </c>
      <c r="E2372" s="596"/>
      <c r="F2372" s="671">
        <v>20</v>
      </c>
      <c r="G2372" s="597">
        <f>VLOOKUP(D2369,'ENSAIOS DE ORÇAMENTO'!$C$3:$L$79,6,FALSE)</f>
        <v>1.1766000000000001</v>
      </c>
      <c r="H2372" s="682">
        <f>IF(F2372=0,0,IF(F2372&lt;=30,(0.7*F2372+1.45)*G2372,((0.7*30+1.45)+0.58*(F2372-30))*G2372))</f>
        <v>18.178470000000001</v>
      </c>
      <c r="I2372" s="592"/>
      <c r="J2372" s="592"/>
      <c r="K2372" s="593">
        <f t="shared" si="1399"/>
        <v>0</v>
      </c>
      <c r="L2372" s="594"/>
      <c r="M2372" s="92"/>
      <c r="N2372" s="92"/>
      <c r="O2372" s="93">
        <f t="shared" si="1407"/>
        <v>0</v>
      </c>
      <c r="P2372" s="93">
        <f t="shared" si="1408"/>
        <v>0</v>
      </c>
      <c r="Q2372" s="94"/>
      <c r="R2372" s="92">
        <f t="shared" si="1413"/>
        <v>0</v>
      </c>
      <c r="S2372" s="92">
        <f t="shared" si="1413"/>
        <v>0</v>
      </c>
      <c r="T2372" s="93">
        <f t="shared" si="1409"/>
        <v>0</v>
      </c>
      <c r="U2372" s="95">
        <f t="shared" si="1405"/>
        <v>0</v>
      </c>
      <c r="V2372" s="94"/>
      <c r="W2372" s="96" t="str">
        <f>IF(U2369&gt;0,"xx",IF(P2369&gt;0,"xy",""))</f>
        <v/>
      </c>
      <c r="X2372" s="580" t="str">
        <f t="shared" si="1398"/>
        <v/>
      </c>
      <c r="Y2372" s="580" t="str">
        <f t="shared" si="1401"/>
        <v/>
      </c>
      <c r="Z2372" s="580" t="str">
        <f t="shared" si="1403"/>
        <v/>
      </c>
    </row>
    <row r="2373" spans="1:26" hidden="1" x14ac:dyDescent="0.2">
      <c r="A2373" s="97" t="s">
        <v>165</v>
      </c>
      <c r="B2373" s="1031" t="s">
        <v>165</v>
      </c>
      <c r="C2373" s="978"/>
      <c r="D2373" s="595" t="s">
        <v>419</v>
      </c>
      <c r="E2373" s="596"/>
      <c r="F2373" s="671">
        <v>30</v>
      </c>
      <c r="G2373" s="597">
        <f>VLOOKUP(D2369,'ENSAIOS DE ORÇAMENTO'!$C$3:$L$79,3,FALSE)</f>
        <v>0.76139999999999997</v>
      </c>
      <c r="H2373" s="682">
        <f>IF(F2373=0,0,IF(F2373&lt;=30,(0.7*F2373+1.45)*G2373,((0.7*30+1.45)+0.58*(F2373-30))*G2373))</f>
        <v>17.093429999999998</v>
      </c>
      <c r="I2373" s="592"/>
      <c r="J2373" s="592"/>
      <c r="K2373" s="593">
        <f t="shared" si="1399"/>
        <v>0</v>
      </c>
      <c r="L2373" s="594"/>
      <c r="M2373" s="92"/>
      <c r="N2373" s="92"/>
      <c r="O2373" s="93">
        <f t="shared" si="1407"/>
        <v>0</v>
      </c>
      <c r="P2373" s="93">
        <f t="shared" si="1408"/>
        <v>0</v>
      </c>
      <c r="Q2373" s="94"/>
      <c r="R2373" s="92">
        <f t="shared" si="1413"/>
        <v>0</v>
      </c>
      <c r="S2373" s="92">
        <f t="shared" si="1413"/>
        <v>0</v>
      </c>
      <c r="T2373" s="93">
        <f t="shared" si="1409"/>
        <v>0</v>
      </c>
      <c r="U2373" s="95">
        <f t="shared" si="1405"/>
        <v>0</v>
      </c>
      <c r="V2373" s="94"/>
      <c r="W2373" s="96" t="str">
        <f>IF(U2369&gt;0,"xx",IF(P2369&gt;0,"xy",""))</f>
        <v/>
      </c>
      <c r="X2373" s="580" t="str">
        <f t="shared" si="1398"/>
        <v/>
      </c>
      <c r="Y2373" s="580" t="str">
        <f t="shared" si="1401"/>
        <v/>
      </c>
      <c r="Z2373" s="580" t="str">
        <f t="shared" si="1403"/>
        <v/>
      </c>
    </row>
    <row r="2374" spans="1:26" hidden="1" x14ac:dyDescent="0.2">
      <c r="A2374" s="97" t="s">
        <v>165</v>
      </c>
      <c r="B2374" s="1031" t="s">
        <v>165</v>
      </c>
      <c r="C2374" s="978"/>
      <c r="D2374" s="595" t="s">
        <v>420</v>
      </c>
      <c r="E2374" s="596"/>
      <c r="F2374" s="671">
        <v>500</v>
      </c>
      <c r="G2374" s="597">
        <f>VLOOKUP(D2369,'ENSAIOS DE ORÇAMENTO'!$C$3:$L$79,10,FALSE)</f>
        <v>2.538E-2</v>
      </c>
      <c r="H2374" s="682">
        <f>IF(F2374=0,0,IF(F2374&lt;=30,(0.7*F2374+1.45)*G2374,((0.7*30+1.45)+0.58*(F2374-30))*G2374))</f>
        <v>7.4883689999999987</v>
      </c>
      <c r="I2374" s="592"/>
      <c r="J2374" s="592"/>
      <c r="K2374" s="593">
        <f t="shared" si="1399"/>
        <v>0</v>
      </c>
      <c r="L2374" s="594"/>
      <c r="M2374" s="92"/>
      <c r="N2374" s="92"/>
      <c r="O2374" s="93">
        <f t="shared" si="1407"/>
        <v>0</v>
      </c>
      <c r="P2374" s="93">
        <f t="shared" si="1408"/>
        <v>0</v>
      </c>
      <c r="Q2374" s="94"/>
      <c r="R2374" s="92">
        <f t="shared" si="1413"/>
        <v>0</v>
      </c>
      <c r="S2374" s="92">
        <f t="shared" si="1413"/>
        <v>0</v>
      </c>
      <c r="T2374" s="93">
        <f t="shared" si="1409"/>
        <v>0</v>
      </c>
      <c r="U2374" s="95">
        <f t="shared" si="1405"/>
        <v>0</v>
      </c>
      <c r="V2374" s="94"/>
      <c r="W2374" s="96" t="str">
        <f>IF(U2369&gt;0,"xx",IF(P2369&gt;0,"xy",""))</f>
        <v/>
      </c>
      <c r="X2374" s="580" t="str">
        <f t="shared" si="1398"/>
        <v/>
      </c>
      <c r="Y2374" s="580" t="str">
        <f t="shared" si="1401"/>
        <v/>
      </c>
      <c r="Z2374" s="580" t="str">
        <f t="shared" si="1403"/>
        <v/>
      </c>
    </row>
    <row r="2375" spans="1:26" hidden="1" x14ac:dyDescent="0.2">
      <c r="A2375" s="97" t="s">
        <v>132</v>
      </c>
      <c r="B2375" s="1031" t="s">
        <v>132</v>
      </c>
      <c r="C2375" s="978" t="s">
        <v>212</v>
      </c>
      <c r="D2375" s="595" t="s">
        <v>144</v>
      </c>
      <c r="E2375" s="596"/>
      <c r="F2375" s="671"/>
      <c r="G2375" s="597"/>
      <c r="H2375" s="682">
        <f>SUM(H2376:H2380)</f>
        <v>321.60453920200007</v>
      </c>
      <c r="I2375" s="592">
        <f>VLOOKUP(D2375,'ENSAIOS DE ORÇAMENTO'!$C$3:$L$79,8,FALSE)</f>
        <v>2520.3011699999997</v>
      </c>
      <c r="J2375" s="592">
        <f t="shared" ref="J2375" si="1416">IF(ISBLANK(I2375),"",SUM(H2375:I2375))</f>
        <v>2841.9057092019998</v>
      </c>
      <c r="K2375" s="593">
        <f t="shared" si="1399"/>
        <v>3458.88</v>
      </c>
      <c r="L2375" s="594" t="s">
        <v>21</v>
      </c>
      <c r="M2375" s="92"/>
      <c r="N2375" s="92"/>
      <c r="O2375" s="93">
        <f t="shared" si="1407"/>
        <v>0</v>
      </c>
      <c r="P2375" s="93">
        <f t="shared" si="1408"/>
        <v>0</v>
      </c>
      <c r="Q2375" s="94"/>
      <c r="R2375" s="92">
        <f t="shared" si="1413"/>
        <v>0</v>
      </c>
      <c r="S2375" s="92">
        <f t="shared" si="1413"/>
        <v>0</v>
      </c>
      <c r="T2375" s="93">
        <f t="shared" si="1409"/>
        <v>0</v>
      </c>
      <c r="U2375" s="95">
        <f t="shared" si="1405"/>
        <v>0</v>
      </c>
      <c r="V2375" s="94"/>
      <c r="X2375" s="580" t="str">
        <f t="shared" si="1398"/>
        <v/>
      </c>
      <c r="Y2375" s="580" t="str">
        <f t="shared" si="1401"/>
        <v/>
      </c>
      <c r="Z2375" s="580" t="str">
        <f t="shared" si="1403"/>
        <v/>
      </c>
    </row>
    <row r="2376" spans="1:26" hidden="1" x14ac:dyDescent="0.2">
      <c r="A2376" s="97" t="s">
        <v>165</v>
      </c>
      <c r="B2376" s="1031" t="s">
        <v>165</v>
      </c>
      <c r="C2376" s="978"/>
      <c r="D2376" s="595" t="s">
        <v>218</v>
      </c>
      <c r="E2376" s="596"/>
      <c r="F2376" s="671">
        <v>500</v>
      </c>
      <c r="G2376" s="597">
        <f>VLOOKUP(D2375,'ENSAIOS DE ORÇAMENTO'!$C$3:$L$79,4,FALSE)</f>
        <v>0.43281240000000004</v>
      </c>
      <c r="H2376" s="682">
        <f>IF(F2376&lt;=30,(0.51*F2376+4.28)*G2376,((0.51*30+4.28)+0.42*(F2376-30))*G2376)</f>
        <v>93.911634552000024</v>
      </c>
      <c r="I2376" s="592"/>
      <c r="J2376" s="592"/>
      <c r="K2376" s="593">
        <f t="shared" si="1399"/>
        <v>0</v>
      </c>
      <c r="L2376" s="594"/>
      <c r="M2376" s="92"/>
      <c r="N2376" s="92"/>
      <c r="O2376" s="93">
        <f t="shared" si="1407"/>
        <v>0</v>
      </c>
      <c r="P2376" s="93">
        <f t="shared" si="1408"/>
        <v>0</v>
      </c>
      <c r="Q2376" s="94"/>
      <c r="R2376" s="92">
        <f t="shared" si="1413"/>
        <v>0</v>
      </c>
      <c r="S2376" s="92">
        <f t="shared" si="1413"/>
        <v>0</v>
      </c>
      <c r="T2376" s="93">
        <f t="shared" si="1409"/>
        <v>0</v>
      </c>
      <c r="U2376" s="95">
        <f t="shared" si="1405"/>
        <v>0</v>
      </c>
      <c r="V2376" s="94"/>
      <c r="W2376" s="96" t="str">
        <f>IF(U2375&gt;0,"xx",IF(P2375&gt;0,"xy",""))</f>
        <v/>
      </c>
      <c r="X2376" s="580" t="str">
        <f t="shared" si="1398"/>
        <v/>
      </c>
      <c r="Y2376" s="580" t="str">
        <f t="shared" si="1401"/>
        <v/>
      </c>
      <c r="Z2376" s="580" t="str">
        <f t="shared" si="1403"/>
        <v/>
      </c>
    </row>
    <row r="2377" spans="1:26" hidden="1" x14ac:dyDescent="0.2">
      <c r="A2377" s="97" t="s">
        <v>165</v>
      </c>
      <c r="B2377" s="1031" t="s">
        <v>165</v>
      </c>
      <c r="C2377" s="978"/>
      <c r="D2377" s="595" t="s">
        <v>257</v>
      </c>
      <c r="E2377" s="596"/>
      <c r="F2377" s="671">
        <v>180</v>
      </c>
      <c r="G2377" s="597">
        <f>VLOOKUP(D2375,'ENSAIOS DE ORÇAMENTO'!$C$3:$L$79,5,FALSE)</f>
        <v>1.5797950000000001</v>
      </c>
      <c r="H2377" s="682">
        <f>IF(F2377=0,0,IF(F2377&lt;=30,(0.7*F2377+1.45)*G2377,((0.7*30+1.45)+0.58*(F2377-30))*G2377))</f>
        <v>172.90856275000002</v>
      </c>
      <c r="I2377" s="592"/>
      <c r="J2377" s="592"/>
      <c r="K2377" s="593">
        <f t="shared" si="1399"/>
        <v>0</v>
      </c>
      <c r="L2377" s="594"/>
      <c r="M2377" s="92"/>
      <c r="N2377" s="92"/>
      <c r="O2377" s="93">
        <f t="shared" si="1407"/>
        <v>0</v>
      </c>
      <c r="P2377" s="93">
        <f t="shared" si="1408"/>
        <v>0</v>
      </c>
      <c r="Q2377" s="94"/>
      <c r="R2377" s="92">
        <f t="shared" si="1413"/>
        <v>0</v>
      </c>
      <c r="S2377" s="92">
        <f t="shared" si="1413"/>
        <v>0</v>
      </c>
      <c r="T2377" s="93">
        <f t="shared" si="1409"/>
        <v>0</v>
      </c>
      <c r="U2377" s="95">
        <f t="shared" si="1405"/>
        <v>0</v>
      </c>
      <c r="V2377" s="94"/>
      <c r="W2377" s="96" t="str">
        <f>IF(U2375&gt;0,"xx",IF(P2375&gt;0,"xy",""))</f>
        <v/>
      </c>
      <c r="X2377" s="580" t="str">
        <f t="shared" si="1398"/>
        <v/>
      </c>
      <c r="Y2377" s="580" t="str">
        <f t="shared" si="1401"/>
        <v/>
      </c>
      <c r="Z2377" s="580" t="str">
        <f t="shared" si="1403"/>
        <v/>
      </c>
    </row>
    <row r="2378" spans="1:26" hidden="1" x14ac:dyDescent="0.2">
      <c r="A2378" s="97" t="s">
        <v>165</v>
      </c>
      <c r="B2378" s="1031" t="s">
        <v>165</v>
      </c>
      <c r="C2378" s="978"/>
      <c r="D2378" s="595" t="s">
        <v>261</v>
      </c>
      <c r="E2378" s="596"/>
      <c r="F2378" s="671">
        <v>20</v>
      </c>
      <c r="G2378" s="597">
        <f>VLOOKUP(D2375,'ENSAIOS DE ORÇAMENTO'!$C$3:$L$79,6,FALSE)</f>
        <v>1.2654000000000003</v>
      </c>
      <c r="H2378" s="682">
        <f>IF(F2378=0,0,IF(F2378&lt;=30,(0.7*F2378+1.45)*G2378,((0.7*30+1.45)+0.58*(F2378-30))*G2378))</f>
        <v>19.550430000000002</v>
      </c>
      <c r="I2378" s="592"/>
      <c r="J2378" s="592"/>
      <c r="K2378" s="593">
        <f t="shared" si="1399"/>
        <v>0</v>
      </c>
      <c r="L2378" s="594"/>
      <c r="M2378" s="92"/>
      <c r="N2378" s="92"/>
      <c r="O2378" s="93">
        <f t="shared" si="1407"/>
        <v>0</v>
      </c>
      <c r="P2378" s="93">
        <f t="shared" si="1408"/>
        <v>0</v>
      </c>
      <c r="Q2378" s="94"/>
      <c r="R2378" s="92">
        <f t="shared" si="1413"/>
        <v>0</v>
      </c>
      <c r="S2378" s="92">
        <f t="shared" si="1413"/>
        <v>0</v>
      </c>
      <c r="T2378" s="93">
        <f t="shared" si="1409"/>
        <v>0</v>
      </c>
      <c r="U2378" s="95">
        <f t="shared" si="1405"/>
        <v>0</v>
      </c>
      <c r="V2378" s="94"/>
      <c r="W2378" s="96" t="str">
        <f>IF(U2375&gt;0,"xx",IF(P2375&gt;0,"xy",""))</f>
        <v/>
      </c>
      <c r="X2378" s="580" t="str">
        <f t="shared" si="1398"/>
        <v/>
      </c>
      <c r="Y2378" s="580" t="str">
        <f t="shared" si="1401"/>
        <v/>
      </c>
      <c r="Z2378" s="580" t="str">
        <f t="shared" si="1403"/>
        <v/>
      </c>
    </row>
    <row r="2379" spans="1:26" hidden="1" x14ac:dyDescent="0.2">
      <c r="A2379" s="97" t="s">
        <v>165</v>
      </c>
      <c r="B2379" s="1031" t="s">
        <v>165</v>
      </c>
      <c r="C2379" s="978"/>
      <c r="D2379" s="595" t="s">
        <v>419</v>
      </c>
      <c r="E2379" s="596"/>
      <c r="F2379" s="671">
        <v>30</v>
      </c>
      <c r="G2379" s="597">
        <f>VLOOKUP(D2375,'ENSAIOS DE ORÇAMENTO'!$C$3:$L$79,3,FALSE)</f>
        <v>1.09134</v>
      </c>
      <c r="H2379" s="682">
        <f>IF(F2379=0,0,IF(F2379&lt;=30,(0.7*F2379+1.45)*G2379,((0.7*30+1.45)+0.58*(F2379-30))*G2379))</f>
        <v>24.500582999999999</v>
      </c>
      <c r="I2379" s="592"/>
      <c r="J2379" s="592"/>
      <c r="K2379" s="593">
        <f t="shared" si="1399"/>
        <v>0</v>
      </c>
      <c r="L2379" s="594"/>
      <c r="M2379" s="92"/>
      <c r="N2379" s="92"/>
      <c r="O2379" s="93">
        <f t="shared" si="1407"/>
        <v>0</v>
      </c>
      <c r="P2379" s="93">
        <f t="shared" si="1408"/>
        <v>0</v>
      </c>
      <c r="Q2379" s="94"/>
      <c r="R2379" s="92">
        <f t="shared" si="1413"/>
        <v>0</v>
      </c>
      <c r="S2379" s="92">
        <f t="shared" si="1413"/>
        <v>0</v>
      </c>
      <c r="T2379" s="93">
        <f t="shared" si="1409"/>
        <v>0</v>
      </c>
      <c r="U2379" s="95">
        <f t="shared" si="1405"/>
        <v>0</v>
      </c>
      <c r="V2379" s="94"/>
      <c r="W2379" s="96" t="str">
        <f>IF(U2375&gt;0,"xx",IF(P2375&gt;0,"xy",""))</f>
        <v/>
      </c>
      <c r="X2379" s="580" t="str">
        <f t="shared" ref="X2379:X2442" si="1417">IF(W2379="X","x",IF(W2379="xx","x",IF(W2379="xy","x",IF(W2379="y","x",IF(OR(P2379&gt;0,U2379&gt;0),"x","")))))</f>
        <v/>
      </c>
      <c r="Y2379" s="580" t="str">
        <f t="shared" si="1401"/>
        <v/>
      </c>
      <c r="Z2379" s="580" t="str">
        <f t="shared" si="1403"/>
        <v/>
      </c>
    </row>
    <row r="2380" spans="1:26" hidden="1" x14ac:dyDescent="0.2">
      <c r="A2380" s="97" t="s">
        <v>165</v>
      </c>
      <c r="B2380" s="1031" t="s">
        <v>165</v>
      </c>
      <c r="C2380" s="978"/>
      <c r="D2380" s="595" t="s">
        <v>420</v>
      </c>
      <c r="E2380" s="596"/>
      <c r="F2380" s="671">
        <v>500</v>
      </c>
      <c r="G2380" s="597">
        <f>VLOOKUP(D2375,'ENSAIOS DE ORÇAMENTO'!$C$3:$L$79,10,FALSE)</f>
        <v>3.6378000000000001E-2</v>
      </c>
      <c r="H2380" s="682">
        <f>IF(F2380=0,0,IF(F2380&lt;=30,(0.7*F2380+1.45)*G2380,((0.7*30+1.45)+0.58*(F2380-30))*G2380))</f>
        <v>10.733328899999998</v>
      </c>
      <c r="I2380" s="592"/>
      <c r="J2380" s="592"/>
      <c r="K2380" s="593">
        <f t="shared" si="1399"/>
        <v>0</v>
      </c>
      <c r="L2380" s="594"/>
      <c r="M2380" s="92"/>
      <c r="N2380" s="92"/>
      <c r="O2380" s="93">
        <f t="shared" si="1407"/>
        <v>0</v>
      </c>
      <c r="P2380" s="93">
        <f t="shared" si="1408"/>
        <v>0</v>
      </c>
      <c r="Q2380" s="94"/>
      <c r="R2380" s="92">
        <f t="shared" si="1413"/>
        <v>0</v>
      </c>
      <c r="S2380" s="92">
        <f t="shared" si="1413"/>
        <v>0</v>
      </c>
      <c r="T2380" s="93">
        <f t="shared" si="1409"/>
        <v>0</v>
      </c>
      <c r="U2380" s="95">
        <f t="shared" si="1405"/>
        <v>0</v>
      </c>
      <c r="V2380" s="94"/>
      <c r="W2380" s="96" t="str">
        <f>IF(U2375&gt;0,"xx",IF(P2375&gt;0,"xy",""))</f>
        <v/>
      </c>
      <c r="X2380" s="580" t="str">
        <f t="shared" si="1417"/>
        <v/>
      </c>
      <c r="Y2380" s="580" t="str">
        <f t="shared" si="1401"/>
        <v/>
      </c>
      <c r="Z2380" s="580" t="str">
        <f t="shared" si="1403"/>
        <v/>
      </c>
    </row>
    <row r="2381" spans="1:26" hidden="1" x14ac:dyDescent="0.2">
      <c r="A2381" s="97" t="s">
        <v>46</v>
      </c>
      <c r="B2381" s="1031" t="s">
        <v>46</v>
      </c>
      <c r="C2381" s="978" t="s">
        <v>212</v>
      </c>
      <c r="D2381" s="595" t="s">
        <v>145</v>
      </c>
      <c r="E2381" s="596"/>
      <c r="F2381" s="671"/>
      <c r="G2381" s="597"/>
      <c r="H2381" s="682">
        <f>SUM(H2382:H2386)</f>
        <v>351.78911100900012</v>
      </c>
      <c r="I2381" s="592">
        <f>VLOOKUP(D2381,'ENSAIOS DE ORÇAMENTO'!$C$3:$L$79,8,FALSE)</f>
        <v>2689.7708149999999</v>
      </c>
      <c r="J2381" s="592">
        <f t="shared" ref="J2381" si="1418">IF(ISBLANK(I2381),"",SUM(H2381:I2381))</f>
        <v>3041.5599260089998</v>
      </c>
      <c r="K2381" s="593">
        <f t="shared" ref="K2381:K2444" si="1419">IF(ISBLANK(I2381),0,ROUND(J2381*(1+$F$10)*(1+$F$11*E2381),2))</f>
        <v>3701.88</v>
      </c>
      <c r="L2381" s="594" t="s">
        <v>21</v>
      </c>
      <c r="M2381" s="92"/>
      <c r="N2381" s="92"/>
      <c r="O2381" s="93">
        <f t="shared" si="1407"/>
        <v>0</v>
      </c>
      <c r="P2381" s="93">
        <f t="shared" si="1408"/>
        <v>0</v>
      </c>
      <c r="Q2381" s="94"/>
      <c r="R2381" s="92">
        <f t="shared" si="1413"/>
        <v>0</v>
      </c>
      <c r="S2381" s="92">
        <f t="shared" si="1413"/>
        <v>0</v>
      </c>
      <c r="T2381" s="93">
        <f t="shared" si="1409"/>
        <v>0</v>
      </c>
      <c r="U2381" s="95">
        <f t="shared" si="1405"/>
        <v>0</v>
      </c>
      <c r="V2381" s="94"/>
      <c r="X2381" s="580" t="str">
        <f t="shared" si="1417"/>
        <v/>
      </c>
      <c r="Y2381" s="580" t="str">
        <f t="shared" si="1401"/>
        <v/>
      </c>
      <c r="Z2381" s="580" t="str">
        <f t="shared" si="1403"/>
        <v/>
      </c>
    </row>
    <row r="2382" spans="1:26" hidden="1" x14ac:dyDescent="0.2">
      <c r="A2382" s="97" t="s">
        <v>165</v>
      </c>
      <c r="B2382" s="1031" t="s">
        <v>165</v>
      </c>
      <c r="C2382" s="978"/>
      <c r="D2382" s="595" t="s">
        <v>218</v>
      </c>
      <c r="E2382" s="596"/>
      <c r="F2382" s="671">
        <v>500</v>
      </c>
      <c r="G2382" s="597">
        <f>VLOOKUP(D2381,'ENSAIOS DE ORÇAMENTO'!$C$3:$L$79,4,FALSE)</f>
        <v>0.46255580000000002</v>
      </c>
      <c r="H2382" s="682">
        <f>IF(F2382&lt;=30,(0.51*F2382+4.28)*G2382,((0.51*30+4.28)+0.42*(F2382-30))*G2382)</f>
        <v>100.36535748400001</v>
      </c>
      <c r="I2382" s="592"/>
      <c r="J2382" s="592"/>
      <c r="K2382" s="593">
        <f t="shared" si="1419"/>
        <v>0</v>
      </c>
      <c r="L2382" s="594"/>
      <c r="M2382" s="92"/>
      <c r="N2382" s="92"/>
      <c r="O2382" s="93">
        <f t="shared" si="1407"/>
        <v>0</v>
      </c>
      <c r="P2382" s="93">
        <f t="shared" si="1408"/>
        <v>0</v>
      </c>
      <c r="Q2382" s="94"/>
      <c r="R2382" s="92">
        <f t="shared" si="1413"/>
        <v>0</v>
      </c>
      <c r="S2382" s="92">
        <f t="shared" si="1413"/>
        <v>0</v>
      </c>
      <c r="T2382" s="93">
        <f t="shared" si="1409"/>
        <v>0</v>
      </c>
      <c r="U2382" s="95">
        <f t="shared" si="1405"/>
        <v>0</v>
      </c>
      <c r="V2382" s="94"/>
      <c r="W2382" s="96" t="str">
        <f>IF(U2381&gt;0,"xx",IF(P2381&gt;0,"xy",""))</f>
        <v/>
      </c>
      <c r="X2382" s="580" t="str">
        <f t="shared" si="1417"/>
        <v/>
      </c>
      <c r="Y2382" s="580" t="str">
        <f t="shared" si="1401"/>
        <v/>
      </c>
      <c r="Z2382" s="580" t="str">
        <f t="shared" si="1403"/>
        <v/>
      </c>
    </row>
    <row r="2383" spans="1:26" hidden="1" x14ac:dyDescent="0.2">
      <c r="A2383" s="97" t="s">
        <v>165</v>
      </c>
      <c r="B2383" s="1031" t="s">
        <v>165</v>
      </c>
      <c r="C2383" s="978"/>
      <c r="D2383" s="595" t="s">
        <v>257</v>
      </c>
      <c r="E2383" s="596"/>
      <c r="F2383" s="671">
        <v>180</v>
      </c>
      <c r="G2383" s="597">
        <f>VLOOKUP(D2381,'ENSAIOS DE ORÇAMENTO'!$C$3:$L$79,5,FALSE)</f>
        <v>1.7263925000000002</v>
      </c>
      <c r="H2383" s="682">
        <f>IF(F2383=0,0,IF(F2383&lt;=30,(0.7*F2383+1.45)*G2383,((0.7*30+1.45)+0.58*(F2383-30))*G2383))</f>
        <v>188.95365912500003</v>
      </c>
      <c r="I2383" s="592"/>
      <c r="J2383" s="592"/>
      <c r="K2383" s="593">
        <f t="shared" si="1419"/>
        <v>0</v>
      </c>
      <c r="L2383" s="594"/>
      <c r="M2383" s="92"/>
      <c r="N2383" s="92"/>
      <c r="O2383" s="93">
        <f t="shared" si="1407"/>
        <v>0</v>
      </c>
      <c r="P2383" s="93">
        <f t="shared" si="1408"/>
        <v>0</v>
      </c>
      <c r="Q2383" s="94"/>
      <c r="R2383" s="92">
        <f t="shared" si="1413"/>
        <v>0</v>
      </c>
      <c r="S2383" s="92">
        <f t="shared" si="1413"/>
        <v>0</v>
      </c>
      <c r="T2383" s="93">
        <f t="shared" si="1409"/>
        <v>0</v>
      </c>
      <c r="U2383" s="95">
        <f t="shared" si="1405"/>
        <v>0</v>
      </c>
      <c r="V2383" s="94"/>
      <c r="W2383" s="96" t="str">
        <f>IF(U2381&gt;0,"xx",IF(P2381&gt;0,"xy",""))</f>
        <v/>
      </c>
      <c r="X2383" s="580" t="str">
        <f t="shared" si="1417"/>
        <v/>
      </c>
      <c r="Y2383" s="580" t="str">
        <f t="shared" si="1401"/>
        <v/>
      </c>
      <c r="Z2383" s="580" t="str">
        <f t="shared" si="1403"/>
        <v/>
      </c>
    </row>
    <row r="2384" spans="1:26" hidden="1" x14ac:dyDescent="0.2">
      <c r="A2384" s="97" t="s">
        <v>165</v>
      </c>
      <c r="B2384" s="1031" t="s">
        <v>165</v>
      </c>
      <c r="C2384" s="978"/>
      <c r="D2384" s="595" t="s">
        <v>261</v>
      </c>
      <c r="E2384" s="596"/>
      <c r="F2384" s="671">
        <v>20</v>
      </c>
      <c r="G2384" s="597">
        <f>VLOOKUP(D2381,'ENSAIOS DE ORÇAMENTO'!$C$3:$L$79,6,FALSE)</f>
        <v>1.3209000000000002</v>
      </c>
      <c r="H2384" s="682">
        <f>IF(F2384=0,0,IF(F2384&lt;=30,(0.7*F2384+1.45)*G2384,((0.7*30+1.45)+0.58*(F2384-30))*G2384))</f>
        <v>20.407905000000003</v>
      </c>
      <c r="I2384" s="592"/>
      <c r="J2384" s="592"/>
      <c r="K2384" s="593">
        <f t="shared" si="1419"/>
        <v>0</v>
      </c>
      <c r="L2384" s="594"/>
      <c r="M2384" s="92"/>
      <c r="N2384" s="92"/>
      <c r="O2384" s="93">
        <f t="shared" si="1407"/>
        <v>0</v>
      </c>
      <c r="P2384" s="93">
        <f t="shared" si="1408"/>
        <v>0</v>
      </c>
      <c r="Q2384" s="94"/>
      <c r="R2384" s="92">
        <f t="shared" si="1413"/>
        <v>0</v>
      </c>
      <c r="S2384" s="92">
        <f t="shared" si="1413"/>
        <v>0</v>
      </c>
      <c r="T2384" s="93">
        <f t="shared" si="1409"/>
        <v>0</v>
      </c>
      <c r="U2384" s="95">
        <f t="shared" si="1405"/>
        <v>0</v>
      </c>
      <c r="V2384" s="94"/>
      <c r="W2384" s="96" t="str">
        <f>IF(U2381&gt;0,"xx",IF(P2381&gt;0,"xy",""))</f>
        <v/>
      </c>
      <c r="X2384" s="580" t="str">
        <f t="shared" si="1417"/>
        <v/>
      </c>
      <c r="Y2384" s="580" t="str">
        <f t="shared" si="1401"/>
        <v/>
      </c>
      <c r="Z2384" s="580" t="str">
        <f t="shared" si="1403"/>
        <v/>
      </c>
    </row>
    <row r="2385" spans="1:26" hidden="1" x14ac:dyDescent="0.2">
      <c r="A2385" s="97" t="s">
        <v>165</v>
      </c>
      <c r="B2385" s="1031" t="s">
        <v>165</v>
      </c>
      <c r="C2385" s="978"/>
      <c r="D2385" s="595" t="s">
        <v>419</v>
      </c>
      <c r="E2385" s="596"/>
      <c r="F2385" s="671">
        <v>30</v>
      </c>
      <c r="G2385" s="597">
        <f>VLOOKUP(D2381,'ENSAIOS DE ORÇAMENTO'!$C$3:$L$79,3,FALSE)</f>
        <v>1.30284</v>
      </c>
      <c r="H2385" s="682">
        <f>IF(F2385=0,0,IF(F2385&lt;=30,(0.7*F2385+1.45)*G2385,((0.7*30+1.45)+0.58*(F2385-30))*G2385))</f>
        <v>29.248757999999999</v>
      </c>
      <c r="I2385" s="592"/>
      <c r="J2385" s="592"/>
      <c r="K2385" s="593">
        <f t="shared" si="1419"/>
        <v>0</v>
      </c>
      <c r="L2385" s="594"/>
      <c r="M2385" s="92"/>
      <c r="N2385" s="92"/>
      <c r="O2385" s="93">
        <f t="shared" si="1407"/>
        <v>0</v>
      </c>
      <c r="P2385" s="93">
        <f t="shared" si="1408"/>
        <v>0</v>
      </c>
      <c r="Q2385" s="94"/>
      <c r="R2385" s="92">
        <f t="shared" si="1413"/>
        <v>0</v>
      </c>
      <c r="S2385" s="92">
        <f t="shared" si="1413"/>
        <v>0</v>
      </c>
      <c r="T2385" s="93">
        <f t="shared" si="1409"/>
        <v>0</v>
      </c>
      <c r="U2385" s="95">
        <f t="shared" si="1405"/>
        <v>0</v>
      </c>
      <c r="V2385" s="94"/>
      <c r="W2385" s="96" t="str">
        <f>IF(U2381&gt;0,"xx",IF(P2381&gt;0,"xy",""))</f>
        <v/>
      </c>
      <c r="X2385" s="580" t="str">
        <f t="shared" si="1417"/>
        <v/>
      </c>
      <c r="Y2385" s="580" t="str">
        <f t="shared" ref="Y2385:Y2448" si="1420">IF(W2385="X","x",IF(W2385="y","x",IF(W2385="xx","x",IF(U2385&gt;0,"x",""))))</f>
        <v/>
      </c>
      <c r="Z2385" s="580" t="str">
        <f t="shared" si="1403"/>
        <v/>
      </c>
    </row>
    <row r="2386" spans="1:26" hidden="1" x14ac:dyDescent="0.2">
      <c r="A2386" s="97" t="s">
        <v>165</v>
      </c>
      <c r="B2386" s="1031" t="s">
        <v>165</v>
      </c>
      <c r="C2386" s="978"/>
      <c r="D2386" s="595" t="s">
        <v>420</v>
      </c>
      <c r="E2386" s="596"/>
      <c r="F2386" s="671">
        <v>500</v>
      </c>
      <c r="G2386" s="597">
        <f>VLOOKUP(D2381,'ENSAIOS DE ORÇAMENTO'!$C$3:$L$79,10,FALSE)</f>
        <v>4.3428000000000001E-2</v>
      </c>
      <c r="H2386" s="682">
        <f>IF(F2386=0,0,IF(F2386&lt;=30,(0.7*F2386+1.45)*G2386,((0.7*30+1.45)+0.58*(F2386-30))*G2386))</f>
        <v>12.813431399999999</v>
      </c>
      <c r="I2386" s="592"/>
      <c r="J2386" s="592"/>
      <c r="K2386" s="593">
        <f t="shared" si="1419"/>
        <v>0</v>
      </c>
      <c r="L2386" s="594"/>
      <c r="M2386" s="92"/>
      <c r="N2386" s="92"/>
      <c r="O2386" s="93">
        <f t="shared" si="1407"/>
        <v>0</v>
      </c>
      <c r="P2386" s="93">
        <f t="shared" si="1408"/>
        <v>0</v>
      </c>
      <c r="Q2386" s="94"/>
      <c r="R2386" s="92">
        <f t="shared" si="1413"/>
        <v>0</v>
      </c>
      <c r="S2386" s="92">
        <f t="shared" si="1413"/>
        <v>0</v>
      </c>
      <c r="T2386" s="93">
        <f t="shared" si="1409"/>
        <v>0</v>
      </c>
      <c r="U2386" s="95">
        <f t="shared" si="1405"/>
        <v>0</v>
      </c>
      <c r="V2386" s="94"/>
      <c r="W2386" s="96" t="str">
        <f>IF(U2381&gt;0,"xx",IF(P2381&gt;0,"xy",""))</f>
        <v/>
      </c>
      <c r="X2386" s="580" t="str">
        <f t="shared" si="1417"/>
        <v/>
      </c>
      <c r="Y2386" s="580" t="str">
        <f t="shared" si="1420"/>
        <v/>
      </c>
      <c r="Z2386" s="580" t="str">
        <f t="shared" si="1403"/>
        <v/>
      </c>
    </row>
    <row r="2387" spans="1:26" hidden="1" x14ac:dyDescent="0.2">
      <c r="A2387" s="97" t="s">
        <v>129</v>
      </c>
      <c r="B2387" s="1031" t="s">
        <v>129</v>
      </c>
      <c r="C2387" s="978" t="s">
        <v>212</v>
      </c>
      <c r="D2387" s="595" t="s">
        <v>146</v>
      </c>
      <c r="E2387" s="596"/>
      <c r="F2387" s="671"/>
      <c r="G2387" s="597"/>
      <c r="H2387" s="682">
        <f>SUM(H2388:H2392)</f>
        <v>395.747158883</v>
      </c>
      <c r="I2387" s="592">
        <f>VLOOKUP(D2387,'ENSAIOS DE ORÇAMENTO'!$C$3:$L$79,8,FALSE)</f>
        <v>2945.3635049999993</v>
      </c>
      <c r="J2387" s="592">
        <f t="shared" ref="J2387" si="1421">IF(ISBLANK(I2387),"",SUM(H2387:I2387))</f>
        <v>3341.1106638829992</v>
      </c>
      <c r="K2387" s="593">
        <f t="shared" si="1419"/>
        <v>4066.47</v>
      </c>
      <c r="L2387" s="594" t="s">
        <v>21</v>
      </c>
      <c r="M2387" s="92"/>
      <c r="N2387" s="92"/>
      <c r="O2387" s="93">
        <f t="shared" si="1407"/>
        <v>0</v>
      </c>
      <c r="P2387" s="93">
        <f t="shared" si="1408"/>
        <v>0</v>
      </c>
      <c r="Q2387" s="94"/>
      <c r="R2387" s="92">
        <f t="shared" si="1413"/>
        <v>0</v>
      </c>
      <c r="S2387" s="92">
        <f t="shared" si="1413"/>
        <v>0</v>
      </c>
      <c r="T2387" s="93">
        <f t="shared" si="1409"/>
        <v>0</v>
      </c>
      <c r="U2387" s="95">
        <f t="shared" si="1405"/>
        <v>0</v>
      </c>
      <c r="V2387" s="94"/>
      <c r="X2387" s="580" t="str">
        <f t="shared" si="1417"/>
        <v/>
      </c>
      <c r="Y2387" s="580" t="str">
        <f t="shared" si="1420"/>
        <v/>
      </c>
      <c r="Z2387" s="580" t="str">
        <f t="shared" si="1403"/>
        <v/>
      </c>
    </row>
    <row r="2388" spans="1:26" hidden="1" x14ac:dyDescent="0.2">
      <c r="A2388" s="97" t="s">
        <v>165</v>
      </c>
      <c r="B2388" s="1031" t="s">
        <v>165</v>
      </c>
      <c r="C2388" s="978"/>
      <c r="D2388" s="595" t="s">
        <v>218</v>
      </c>
      <c r="E2388" s="596"/>
      <c r="F2388" s="671">
        <v>500</v>
      </c>
      <c r="G2388" s="597">
        <f>VLOOKUP(D2387,'ENSAIOS DE ORÇAMENTO'!$C$3:$L$79,4,FALSE)</f>
        <v>0.50537460000000012</v>
      </c>
      <c r="H2388" s="682">
        <f>IF(F2388&lt;=30,(0.51*F2388+4.28)*G2388,((0.51*30+4.28)+0.42*(F2388-30))*G2388)</f>
        <v>109.65618070800004</v>
      </c>
      <c r="I2388" s="592"/>
      <c r="J2388" s="592"/>
      <c r="K2388" s="593">
        <f t="shared" si="1419"/>
        <v>0</v>
      </c>
      <c r="L2388" s="594"/>
      <c r="M2388" s="92"/>
      <c r="N2388" s="92"/>
      <c r="O2388" s="93">
        <f t="shared" si="1407"/>
        <v>0</v>
      </c>
      <c r="P2388" s="93">
        <f t="shared" si="1408"/>
        <v>0</v>
      </c>
      <c r="Q2388" s="94"/>
      <c r="R2388" s="92">
        <f t="shared" si="1413"/>
        <v>0</v>
      </c>
      <c r="S2388" s="92">
        <f t="shared" si="1413"/>
        <v>0</v>
      </c>
      <c r="T2388" s="93">
        <f t="shared" si="1409"/>
        <v>0</v>
      </c>
      <c r="U2388" s="95">
        <f t="shared" si="1405"/>
        <v>0</v>
      </c>
      <c r="V2388" s="94"/>
      <c r="W2388" s="96" t="str">
        <f>IF(U2387&gt;0,"xx",IF(P2387&gt;0,"xy",""))</f>
        <v/>
      </c>
      <c r="X2388" s="580" t="str">
        <f t="shared" si="1417"/>
        <v/>
      </c>
      <c r="Y2388" s="580" t="str">
        <f t="shared" si="1420"/>
        <v/>
      </c>
      <c r="Z2388" s="580" t="str">
        <f t="shared" si="1403"/>
        <v/>
      </c>
    </row>
    <row r="2389" spans="1:26" hidden="1" x14ac:dyDescent="0.2">
      <c r="A2389" s="97" t="s">
        <v>165</v>
      </c>
      <c r="B2389" s="1031" t="s">
        <v>165</v>
      </c>
      <c r="C2389" s="978"/>
      <c r="D2389" s="595" t="s">
        <v>257</v>
      </c>
      <c r="E2389" s="596"/>
      <c r="F2389" s="671">
        <v>180</v>
      </c>
      <c r="G2389" s="597">
        <f>VLOOKUP(D2387,'ENSAIOS DE ORÇAMENTO'!$C$3:$L$79,5,FALSE)</f>
        <v>1.9364075000000001</v>
      </c>
      <c r="H2389" s="682">
        <f>IF(F2389=0,0,IF(F2389&lt;=30,(0.7*F2389+1.45)*G2389,((0.7*30+1.45)+0.58*(F2389-30))*G2389))</f>
        <v>211.939800875</v>
      </c>
      <c r="I2389" s="592"/>
      <c r="J2389" s="592"/>
      <c r="K2389" s="593">
        <f t="shared" si="1419"/>
        <v>0</v>
      </c>
      <c r="L2389" s="594"/>
      <c r="M2389" s="92"/>
      <c r="N2389" s="92"/>
      <c r="O2389" s="93">
        <f t="shared" si="1407"/>
        <v>0</v>
      </c>
      <c r="P2389" s="93">
        <f t="shared" si="1408"/>
        <v>0</v>
      </c>
      <c r="Q2389" s="94"/>
      <c r="R2389" s="92">
        <f t="shared" si="1413"/>
        <v>0</v>
      </c>
      <c r="S2389" s="92">
        <f t="shared" si="1413"/>
        <v>0</v>
      </c>
      <c r="T2389" s="93">
        <f t="shared" si="1409"/>
        <v>0</v>
      </c>
      <c r="U2389" s="95">
        <f t="shared" si="1405"/>
        <v>0</v>
      </c>
      <c r="V2389" s="94"/>
      <c r="W2389" s="96" t="str">
        <f>IF(U2387&gt;0,"xx",IF(P2387&gt;0,"xy",""))</f>
        <v/>
      </c>
      <c r="X2389" s="580" t="str">
        <f t="shared" si="1417"/>
        <v/>
      </c>
      <c r="Y2389" s="580" t="str">
        <f t="shared" si="1420"/>
        <v/>
      </c>
      <c r="Z2389" s="580" t="str">
        <f t="shared" si="1403"/>
        <v/>
      </c>
    </row>
    <row r="2390" spans="1:26" hidden="1" x14ac:dyDescent="0.2">
      <c r="A2390" s="97" t="s">
        <v>165</v>
      </c>
      <c r="B2390" s="1031" t="s">
        <v>165</v>
      </c>
      <c r="C2390" s="978"/>
      <c r="D2390" s="595" t="s">
        <v>261</v>
      </c>
      <c r="E2390" s="596"/>
      <c r="F2390" s="671">
        <v>20</v>
      </c>
      <c r="G2390" s="597">
        <f>VLOOKUP(D2387,'ENSAIOS DE ORÇAMENTO'!$C$3:$L$79,6,FALSE)</f>
        <v>1.3875000000000002</v>
      </c>
      <c r="H2390" s="682">
        <f>IF(F2390=0,0,IF(F2390&lt;=30,(0.7*F2390+1.45)*G2390,((0.7*30+1.45)+0.58*(F2390-30))*G2390))</f>
        <v>21.436875000000001</v>
      </c>
      <c r="I2390" s="592"/>
      <c r="J2390" s="592"/>
      <c r="K2390" s="593">
        <f t="shared" si="1419"/>
        <v>0</v>
      </c>
      <c r="L2390" s="594"/>
      <c r="M2390" s="92"/>
      <c r="N2390" s="92"/>
      <c r="O2390" s="93">
        <f t="shared" si="1407"/>
        <v>0</v>
      </c>
      <c r="P2390" s="93">
        <f t="shared" si="1408"/>
        <v>0</v>
      </c>
      <c r="Q2390" s="94"/>
      <c r="R2390" s="92">
        <f t="shared" si="1413"/>
        <v>0</v>
      </c>
      <c r="S2390" s="92">
        <f t="shared" si="1413"/>
        <v>0</v>
      </c>
      <c r="T2390" s="93">
        <f t="shared" si="1409"/>
        <v>0</v>
      </c>
      <c r="U2390" s="95">
        <f t="shared" si="1405"/>
        <v>0</v>
      </c>
      <c r="V2390" s="94"/>
      <c r="W2390" s="96" t="str">
        <f>IF(U2387&gt;0,"xx",IF(P2387&gt;0,"xy",""))</f>
        <v/>
      </c>
      <c r="X2390" s="580" t="str">
        <f t="shared" si="1417"/>
        <v/>
      </c>
      <c r="Y2390" s="580" t="str">
        <f t="shared" si="1420"/>
        <v/>
      </c>
      <c r="Z2390" s="580" t="str">
        <f t="shared" si="1403"/>
        <v/>
      </c>
    </row>
    <row r="2391" spans="1:26" hidden="1" x14ac:dyDescent="0.2">
      <c r="A2391" s="97" t="s">
        <v>165</v>
      </c>
      <c r="B2391" s="1031" t="s">
        <v>165</v>
      </c>
      <c r="C2391" s="978"/>
      <c r="D2391" s="595" t="s">
        <v>419</v>
      </c>
      <c r="E2391" s="596"/>
      <c r="F2391" s="671">
        <v>30</v>
      </c>
      <c r="G2391" s="597">
        <f>VLOOKUP(D2387,'ENSAIOS DE ORÇAMENTO'!$C$3:$L$79,3,FALSE)</f>
        <v>1.6327799999999999</v>
      </c>
      <c r="H2391" s="682">
        <f>IF(F2391=0,0,IF(F2391&lt;=30,(0.7*F2391+1.45)*G2391,((0.7*30+1.45)+0.58*(F2391-30))*G2391))</f>
        <v>36.655910999999996</v>
      </c>
      <c r="I2391" s="592"/>
      <c r="J2391" s="592"/>
      <c r="K2391" s="593">
        <f t="shared" si="1419"/>
        <v>0</v>
      </c>
      <c r="L2391" s="594"/>
      <c r="M2391" s="92"/>
      <c r="N2391" s="92"/>
      <c r="O2391" s="93">
        <f t="shared" si="1407"/>
        <v>0</v>
      </c>
      <c r="P2391" s="93">
        <f t="shared" si="1408"/>
        <v>0</v>
      </c>
      <c r="Q2391" s="94"/>
      <c r="R2391" s="92">
        <f t="shared" si="1413"/>
        <v>0</v>
      </c>
      <c r="S2391" s="92">
        <f t="shared" si="1413"/>
        <v>0</v>
      </c>
      <c r="T2391" s="93">
        <f t="shared" si="1409"/>
        <v>0</v>
      </c>
      <c r="U2391" s="95">
        <f t="shared" si="1405"/>
        <v>0</v>
      </c>
      <c r="V2391" s="94"/>
      <c r="W2391" s="96" t="str">
        <f>IF(U2387&gt;0,"xx",IF(P2387&gt;0,"xy",""))</f>
        <v/>
      </c>
      <c r="X2391" s="580" t="str">
        <f t="shared" si="1417"/>
        <v/>
      </c>
      <c r="Y2391" s="580" t="str">
        <f t="shared" si="1420"/>
        <v/>
      </c>
      <c r="Z2391" s="580" t="str">
        <f t="shared" ref="Z2391:Z2454" si="1422">IF(W2391="X","x",IF(U2391&gt;0,"x",""))</f>
        <v/>
      </c>
    </row>
    <row r="2392" spans="1:26" hidden="1" x14ac:dyDescent="0.2">
      <c r="A2392" s="97" t="s">
        <v>165</v>
      </c>
      <c r="B2392" s="1031" t="s">
        <v>165</v>
      </c>
      <c r="C2392" s="978"/>
      <c r="D2392" s="595" t="s">
        <v>420</v>
      </c>
      <c r="E2392" s="596"/>
      <c r="F2392" s="671">
        <v>500</v>
      </c>
      <c r="G2392" s="597">
        <f>VLOOKUP(D2387,'ENSAIOS DE ORÇAMENTO'!$C$3:$L$79,10,FALSE)</f>
        <v>5.4425999999999995E-2</v>
      </c>
      <c r="H2392" s="682">
        <f>IF(F2392=0,0,IF(F2392&lt;=30,(0.7*F2392+1.45)*G2392,((0.7*30+1.45)+0.58*(F2392-30))*G2392))</f>
        <v>16.058391299999997</v>
      </c>
      <c r="I2392" s="592"/>
      <c r="J2392" s="592"/>
      <c r="K2392" s="593">
        <f t="shared" si="1419"/>
        <v>0</v>
      </c>
      <c r="L2392" s="594"/>
      <c r="M2392" s="92"/>
      <c r="N2392" s="92"/>
      <c r="O2392" s="93">
        <f t="shared" si="1407"/>
        <v>0</v>
      </c>
      <c r="P2392" s="93">
        <f t="shared" si="1408"/>
        <v>0</v>
      </c>
      <c r="Q2392" s="94"/>
      <c r="R2392" s="92">
        <f t="shared" si="1413"/>
        <v>0</v>
      </c>
      <c r="S2392" s="92">
        <f t="shared" si="1413"/>
        <v>0</v>
      </c>
      <c r="T2392" s="93">
        <f t="shared" si="1409"/>
        <v>0</v>
      </c>
      <c r="U2392" s="95">
        <f t="shared" si="1405"/>
        <v>0</v>
      </c>
      <c r="V2392" s="94"/>
      <c r="W2392" s="96" t="str">
        <f>IF(U2387&gt;0,"xx",IF(P2387&gt;0,"xy",""))</f>
        <v/>
      </c>
      <c r="X2392" s="580" t="str">
        <f t="shared" si="1417"/>
        <v/>
      </c>
      <c r="Y2392" s="580" t="str">
        <f t="shared" si="1420"/>
        <v/>
      </c>
      <c r="Z2392" s="580" t="str">
        <f t="shared" si="1422"/>
        <v/>
      </c>
    </row>
    <row r="2393" spans="1:26" hidden="1" x14ac:dyDescent="0.2">
      <c r="A2393" s="97" t="s">
        <v>133</v>
      </c>
      <c r="B2393" s="1031" t="s">
        <v>133</v>
      </c>
      <c r="C2393" s="978" t="s">
        <v>212</v>
      </c>
      <c r="D2393" s="595" t="s">
        <v>147</v>
      </c>
      <c r="E2393" s="596"/>
      <c r="F2393" s="671"/>
      <c r="G2393" s="597"/>
      <c r="H2393" s="682">
        <f>SUM(H2394:H2398)</f>
        <v>229.69317850000004</v>
      </c>
      <c r="I2393" s="592">
        <f>VLOOKUP(D2393,'ENSAIOS DE ORÇAMENTO'!$C$3:$L$79,8,FALSE)</f>
        <v>1388.1369</v>
      </c>
      <c r="J2393" s="592">
        <f t="shared" ref="J2393" si="1423">IF(ISBLANK(I2393),"",SUM(H2393:I2393))</f>
        <v>1617.8300785000001</v>
      </c>
      <c r="K2393" s="593">
        <f t="shared" si="1419"/>
        <v>1969.06</v>
      </c>
      <c r="L2393" s="594" t="s">
        <v>21</v>
      </c>
      <c r="M2393" s="92"/>
      <c r="N2393" s="92"/>
      <c r="O2393" s="93">
        <f t="shared" si="1407"/>
        <v>0</v>
      </c>
      <c r="P2393" s="93">
        <f t="shared" si="1408"/>
        <v>0</v>
      </c>
      <c r="Q2393" s="94"/>
      <c r="R2393" s="92">
        <f t="shared" si="1413"/>
        <v>0</v>
      </c>
      <c r="S2393" s="92">
        <f t="shared" si="1413"/>
        <v>0</v>
      </c>
      <c r="T2393" s="93">
        <f t="shared" si="1409"/>
        <v>0</v>
      </c>
      <c r="U2393" s="95">
        <f t="shared" si="1405"/>
        <v>0</v>
      </c>
      <c r="V2393" s="94"/>
      <c r="X2393" s="580" t="str">
        <f t="shared" si="1417"/>
        <v/>
      </c>
      <c r="Y2393" s="580" t="str">
        <f t="shared" si="1420"/>
        <v/>
      </c>
      <c r="Z2393" s="580" t="str">
        <f t="shared" si="1422"/>
        <v/>
      </c>
    </row>
    <row r="2394" spans="1:26" hidden="1" x14ac:dyDescent="0.2">
      <c r="A2394" s="97" t="s">
        <v>165</v>
      </c>
      <c r="B2394" s="1031" t="s">
        <v>165</v>
      </c>
      <c r="C2394" s="978"/>
      <c r="D2394" s="595" t="s">
        <v>218</v>
      </c>
      <c r="E2394" s="596"/>
      <c r="F2394" s="671">
        <v>500</v>
      </c>
      <c r="G2394" s="597">
        <f>VLOOKUP(D2393,'ENSAIOS DE ORÇAMENTO'!$C$3:$L$79,4,FALSE)</f>
        <v>0.38250000000000006</v>
      </c>
      <c r="H2394" s="682">
        <f>IF(F2394&lt;=30,(0.51*F2394+4.28)*G2394,((0.51*30+4.28)+0.42*(F2394-30))*G2394)</f>
        <v>82.994850000000014</v>
      </c>
      <c r="I2394" s="592"/>
      <c r="J2394" s="592"/>
      <c r="K2394" s="593">
        <f t="shared" si="1419"/>
        <v>0</v>
      </c>
      <c r="L2394" s="594"/>
      <c r="M2394" s="92"/>
      <c r="N2394" s="92"/>
      <c r="O2394" s="93">
        <f t="shared" si="1407"/>
        <v>0</v>
      </c>
      <c r="P2394" s="93">
        <f t="shared" si="1408"/>
        <v>0</v>
      </c>
      <c r="Q2394" s="94"/>
      <c r="R2394" s="92">
        <f t="shared" si="1413"/>
        <v>0</v>
      </c>
      <c r="S2394" s="92">
        <f t="shared" si="1413"/>
        <v>0</v>
      </c>
      <c r="T2394" s="93">
        <f t="shared" si="1409"/>
        <v>0</v>
      </c>
      <c r="U2394" s="95">
        <f t="shared" si="1405"/>
        <v>0</v>
      </c>
      <c r="V2394" s="94"/>
      <c r="W2394" s="96" t="str">
        <f>IF(U2393&gt;0,"xx",IF(P2393&gt;0,"xy",""))</f>
        <v/>
      </c>
      <c r="X2394" s="580" t="str">
        <f t="shared" si="1417"/>
        <v/>
      </c>
      <c r="Y2394" s="580" t="str">
        <f t="shared" si="1420"/>
        <v/>
      </c>
      <c r="Z2394" s="580" t="str">
        <f t="shared" si="1422"/>
        <v/>
      </c>
    </row>
    <row r="2395" spans="1:26" hidden="1" x14ac:dyDescent="0.2">
      <c r="A2395" s="97" t="s">
        <v>165</v>
      </c>
      <c r="B2395" s="1031" t="s">
        <v>165</v>
      </c>
      <c r="C2395" s="978"/>
      <c r="D2395" s="595" t="s">
        <v>257</v>
      </c>
      <c r="E2395" s="596"/>
      <c r="F2395" s="671">
        <v>180</v>
      </c>
      <c r="G2395" s="597">
        <f>VLOOKUP(D2393,'ENSAIOS DE ORÇAMENTO'!$C$3:$L$79,5,FALSE)</f>
        <v>1.1483800000000002</v>
      </c>
      <c r="H2395" s="682">
        <f>IF(F2395=0,0,IF(F2395&lt;=30,(0.7*F2395+1.45)*G2395,((0.7*30+1.45)+0.58*(F2395-30))*G2395))</f>
        <v>125.69019100000003</v>
      </c>
      <c r="I2395" s="592"/>
      <c r="J2395" s="592"/>
      <c r="K2395" s="593">
        <f t="shared" si="1419"/>
        <v>0</v>
      </c>
      <c r="L2395" s="594"/>
      <c r="M2395" s="92"/>
      <c r="N2395" s="92"/>
      <c r="O2395" s="93">
        <f t="shared" si="1407"/>
        <v>0</v>
      </c>
      <c r="P2395" s="93">
        <f t="shared" si="1408"/>
        <v>0</v>
      </c>
      <c r="Q2395" s="94"/>
      <c r="R2395" s="92">
        <f t="shared" si="1413"/>
        <v>0</v>
      </c>
      <c r="S2395" s="92">
        <f t="shared" si="1413"/>
        <v>0</v>
      </c>
      <c r="T2395" s="93">
        <f t="shared" si="1409"/>
        <v>0</v>
      </c>
      <c r="U2395" s="95">
        <f t="shared" si="1405"/>
        <v>0</v>
      </c>
      <c r="V2395" s="94"/>
      <c r="W2395" s="96" t="str">
        <f>IF(U2393&gt;0,"xx",IF(P2393&gt;0,"xy",""))</f>
        <v/>
      </c>
      <c r="X2395" s="580" t="str">
        <f t="shared" si="1417"/>
        <v/>
      </c>
      <c r="Y2395" s="580" t="str">
        <f t="shared" si="1420"/>
        <v/>
      </c>
      <c r="Z2395" s="580" t="str">
        <f t="shared" si="1422"/>
        <v/>
      </c>
    </row>
    <row r="2396" spans="1:26" hidden="1" x14ac:dyDescent="0.2">
      <c r="A2396" s="97" t="s">
        <v>165</v>
      </c>
      <c r="B2396" s="1031" t="s">
        <v>165</v>
      </c>
      <c r="C2396" s="978"/>
      <c r="D2396" s="595" t="s">
        <v>261</v>
      </c>
      <c r="E2396" s="596"/>
      <c r="F2396" s="671">
        <v>20</v>
      </c>
      <c r="G2396" s="597">
        <f>VLOOKUP(D2393,'ENSAIOS DE ORÇAMENTO'!$C$3:$L$79,6,FALSE)</f>
        <v>1.35975</v>
      </c>
      <c r="H2396" s="682">
        <f>IF(F2396=0,0,IF(F2396&lt;=30,(0.7*F2396+1.45)*G2396,((0.7*30+1.45)+0.58*(F2396-30))*G2396))</f>
        <v>21.0081375</v>
      </c>
      <c r="I2396" s="592"/>
      <c r="J2396" s="592"/>
      <c r="K2396" s="593">
        <f t="shared" si="1419"/>
        <v>0</v>
      </c>
      <c r="L2396" s="594"/>
      <c r="M2396" s="92"/>
      <c r="N2396" s="92"/>
      <c r="O2396" s="93">
        <f t="shared" si="1407"/>
        <v>0</v>
      </c>
      <c r="P2396" s="93">
        <f t="shared" si="1408"/>
        <v>0</v>
      </c>
      <c r="Q2396" s="94"/>
      <c r="R2396" s="92">
        <f t="shared" si="1413"/>
        <v>0</v>
      </c>
      <c r="S2396" s="92">
        <f t="shared" si="1413"/>
        <v>0</v>
      </c>
      <c r="T2396" s="93">
        <f t="shared" si="1409"/>
        <v>0</v>
      </c>
      <c r="U2396" s="95">
        <f t="shared" si="1405"/>
        <v>0</v>
      </c>
      <c r="V2396" s="94"/>
      <c r="W2396" s="96" t="str">
        <f>IF(U2393&gt;0,"xx",IF(P2393&gt;0,"xy",""))</f>
        <v/>
      </c>
      <c r="X2396" s="580" t="str">
        <f t="shared" si="1417"/>
        <v/>
      </c>
      <c r="Y2396" s="580" t="str">
        <f t="shared" si="1420"/>
        <v/>
      </c>
      <c r="Z2396" s="580" t="str">
        <f t="shared" si="1422"/>
        <v/>
      </c>
    </row>
    <row r="2397" spans="1:26" hidden="1" x14ac:dyDescent="0.2">
      <c r="A2397" s="97" t="s">
        <v>165</v>
      </c>
      <c r="B2397" s="1031" t="s">
        <v>165</v>
      </c>
      <c r="C2397" s="978"/>
      <c r="D2397" s="595" t="s">
        <v>419</v>
      </c>
      <c r="E2397" s="596"/>
      <c r="F2397" s="671">
        <v>30</v>
      </c>
      <c r="G2397" s="597">
        <f>VLOOKUP(D2393,'ENSAIOS DE ORÇAMENTO'!$C$3:$L$79,3,FALSE)</f>
        <v>0</v>
      </c>
      <c r="H2397" s="682">
        <f>IF(F2397=0,0,IF(F2397&lt;=30,(0.7*F2397+1.45)*G2397,((0.7*30+1.45)+0.58*(F2397-30))*G2397))</f>
        <v>0</v>
      </c>
      <c r="I2397" s="592"/>
      <c r="J2397" s="592"/>
      <c r="K2397" s="593">
        <f t="shared" si="1419"/>
        <v>0</v>
      </c>
      <c r="L2397" s="594"/>
      <c r="M2397" s="92"/>
      <c r="N2397" s="92"/>
      <c r="O2397" s="93">
        <f t="shared" si="1407"/>
        <v>0</v>
      </c>
      <c r="P2397" s="93">
        <f t="shared" si="1408"/>
        <v>0</v>
      </c>
      <c r="Q2397" s="94"/>
      <c r="R2397" s="92">
        <f t="shared" si="1413"/>
        <v>0</v>
      </c>
      <c r="S2397" s="92">
        <f t="shared" si="1413"/>
        <v>0</v>
      </c>
      <c r="T2397" s="93">
        <f t="shared" si="1409"/>
        <v>0</v>
      </c>
      <c r="U2397" s="95">
        <f t="shared" si="1405"/>
        <v>0</v>
      </c>
      <c r="V2397" s="94"/>
      <c r="W2397" s="96" t="str">
        <f>IF(U2393&gt;0,"xx",IF(P2393&gt;0,"xy",""))</f>
        <v/>
      </c>
      <c r="X2397" s="580" t="str">
        <f t="shared" si="1417"/>
        <v/>
      </c>
      <c r="Y2397" s="580" t="str">
        <f t="shared" si="1420"/>
        <v/>
      </c>
      <c r="Z2397" s="580" t="str">
        <f t="shared" si="1422"/>
        <v/>
      </c>
    </row>
    <row r="2398" spans="1:26" hidden="1" x14ac:dyDescent="0.2">
      <c r="A2398" s="97" t="s">
        <v>165</v>
      </c>
      <c r="B2398" s="1031" t="s">
        <v>165</v>
      </c>
      <c r="C2398" s="978"/>
      <c r="D2398" s="595" t="s">
        <v>420</v>
      </c>
      <c r="E2398" s="596"/>
      <c r="F2398" s="671">
        <v>500</v>
      </c>
      <c r="G2398" s="597">
        <f>VLOOKUP(D2393,'ENSAIOS DE ORÇAMENTO'!$C$3:$L$79,10,FALSE)</f>
        <v>0</v>
      </c>
      <c r="H2398" s="682">
        <f>IF(F2398=0,0,IF(F2398&lt;=30,(0.7*F2398+1.45)*G2398,((0.7*30+1.45)+0.58*(F2398-30))*G2398))</f>
        <v>0</v>
      </c>
      <c r="I2398" s="592"/>
      <c r="J2398" s="592"/>
      <c r="K2398" s="593">
        <f t="shared" si="1419"/>
        <v>0</v>
      </c>
      <c r="L2398" s="594"/>
      <c r="M2398" s="92"/>
      <c r="N2398" s="92"/>
      <c r="O2398" s="93">
        <f t="shared" si="1407"/>
        <v>0</v>
      </c>
      <c r="P2398" s="93">
        <f t="shared" si="1408"/>
        <v>0</v>
      </c>
      <c r="Q2398" s="94"/>
      <c r="R2398" s="92">
        <f t="shared" si="1413"/>
        <v>0</v>
      </c>
      <c r="S2398" s="92">
        <f t="shared" si="1413"/>
        <v>0</v>
      </c>
      <c r="T2398" s="93">
        <f t="shared" si="1409"/>
        <v>0</v>
      </c>
      <c r="U2398" s="95">
        <f t="shared" si="1405"/>
        <v>0</v>
      </c>
      <c r="V2398" s="94"/>
      <c r="W2398" s="96" t="str">
        <f>IF(U2393&gt;0,"xx",IF(P2393&gt;0,"xy",""))</f>
        <v/>
      </c>
      <c r="X2398" s="580" t="str">
        <f t="shared" si="1417"/>
        <v/>
      </c>
      <c r="Y2398" s="580" t="str">
        <f t="shared" si="1420"/>
        <v/>
      </c>
      <c r="Z2398" s="580" t="str">
        <f t="shared" si="1422"/>
        <v/>
      </c>
    </row>
    <row r="2399" spans="1:26" x14ac:dyDescent="0.2">
      <c r="A2399" s="97" t="s">
        <v>134</v>
      </c>
      <c r="B2399" s="1107" t="s">
        <v>134</v>
      </c>
      <c r="C2399" s="1108" t="s">
        <v>212</v>
      </c>
      <c r="D2399" s="1109" t="s">
        <v>148</v>
      </c>
      <c r="E2399" s="1110"/>
      <c r="F2399" s="671"/>
      <c r="G2399" s="597"/>
      <c r="H2399" s="682">
        <f>SUM(H2400:H2404)</f>
        <v>33.965761200000003</v>
      </c>
      <c r="I2399" s="592">
        <f>VLOOKUP(D2399,'ENSAIOS DE ORÇAMENTO'!$C$3:$L$79,8,FALSE)</f>
        <v>1471.5483999999999</v>
      </c>
      <c r="J2399" s="592">
        <f t="shared" ref="J2399" si="1424">IF(ISBLANK(I2399),"",SUM(H2399:I2399))</f>
        <v>1505.5141612</v>
      </c>
      <c r="K2399" s="593">
        <f t="shared" si="1419"/>
        <v>1832.36</v>
      </c>
      <c r="L2399" s="594" t="s">
        <v>21</v>
      </c>
      <c r="M2399" s="92">
        <v>2</v>
      </c>
      <c r="N2399" s="92">
        <v>2141.86</v>
      </c>
      <c r="O2399" s="93">
        <f t="shared" si="1407"/>
        <v>3664.72</v>
      </c>
      <c r="P2399" s="93">
        <f t="shared" si="1408"/>
        <v>4283.72</v>
      </c>
      <c r="Q2399" s="94"/>
      <c r="R2399" s="1111">
        <f t="shared" si="1413"/>
        <v>2</v>
      </c>
      <c r="S2399" s="1111">
        <f>K2399</f>
        <v>1832.36</v>
      </c>
      <c r="T2399" s="1112">
        <f t="shared" si="1409"/>
        <v>3664.72</v>
      </c>
      <c r="U2399" s="1113">
        <f t="shared" ref="U2399:U2462" si="1425">IF(ISBLANK(R2399),0,ROUND(R2399*S2399,2))</f>
        <v>3664.72</v>
      </c>
      <c r="V2399" s="1114"/>
      <c r="X2399" s="580" t="str">
        <f t="shared" si="1417"/>
        <v>x</v>
      </c>
      <c r="Y2399" s="580" t="str">
        <f t="shared" si="1420"/>
        <v>x</v>
      </c>
      <c r="Z2399" s="580" t="str">
        <f t="shared" si="1422"/>
        <v>x</v>
      </c>
    </row>
    <row r="2400" spans="1:26" hidden="1" x14ac:dyDescent="0.2">
      <c r="A2400" s="97" t="s">
        <v>165</v>
      </c>
      <c r="B2400" s="1031" t="s">
        <v>165</v>
      </c>
      <c r="C2400" s="978"/>
      <c r="D2400" s="595" t="s">
        <v>218</v>
      </c>
      <c r="E2400" s="596"/>
      <c r="F2400" s="1089">
        <v>97.1</v>
      </c>
      <c r="G2400" s="597">
        <f>VLOOKUP(D2399,'ENSAIOS DE ORÇAMENTO'!$C$3:$L$79,4,FALSE)</f>
        <v>0.43200000000000005</v>
      </c>
      <c r="H2400" s="682">
        <f>IF(F2400&lt;=30,(0.51*F2400+4.28)*G2400,((0.51*30+4.28)+0.42*(F2400-30))*G2400)</f>
        <v>20.633184000000004</v>
      </c>
      <c r="I2400" s="592"/>
      <c r="J2400" s="592"/>
      <c r="K2400" s="593">
        <f t="shared" si="1419"/>
        <v>0</v>
      </c>
      <c r="L2400" s="594"/>
      <c r="M2400" s="92"/>
      <c r="N2400" s="92"/>
      <c r="O2400" s="93">
        <f t="shared" si="1407"/>
        <v>0</v>
      </c>
      <c r="P2400" s="93">
        <f t="shared" si="1408"/>
        <v>0</v>
      </c>
      <c r="Q2400" s="94"/>
      <c r="R2400" s="92">
        <f t="shared" si="1413"/>
        <v>0</v>
      </c>
      <c r="S2400" s="92">
        <f t="shared" si="1413"/>
        <v>0</v>
      </c>
      <c r="T2400" s="93">
        <f t="shared" si="1409"/>
        <v>0</v>
      </c>
      <c r="U2400" s="95">
        <f t="shared" si="1425"/>
        <v>0</v>
      </c>
      <c r="V2400" s="94"/>
      <c r="W2400" s="96" t="str">
        <f>IF(U2399&gt;0,"xx",IF(P2399&gt;0,"xy",""))</f>
        <v>xx</v>
      </c>
      <c r="X2400" s="580" t="str">
        <f t="shared" si="1417"/>
        <v>x</v>
      </c>
      <c r="Y2400" s="580" t="str">
        <f t="shared" si="1420"/>
        <v>x</v>
      </c>
      <c r="Z2400" s="580" t="str">
        <f t="shared" si="1422"/>
        <v/>
      </c>
    </row>
    <row r="2401" spans="1:26" hidden="1" x14ac:dyDescent="0.2">
      <c r="A2401" s="97" t="s">
        <v>165</v>
      </c>
      <c r="B2401" s="1031" t="s">
        <v>165</v>
      </c>
      <c r="C2401" s="978"/>
      <c r="D2401" s="595" t="s">
        <v>257</v>
      </c>
      <c r="E2401" s="596"/>
      <c r="F2401" s="1089">
        <v>4.7</v>
      </c>
      <c r="G2401" s="597">
        <f>VLOOKUP(D2399,'ENSAIOS DE ORÇAMENTO'!$C$3:$L$79,5,FALSE)</f>
        <v>1.28653</v>
      </c>
      <c r="H2401" s="682">
        <f>IF(F2401=0,0,IF(F2401&lt;=30,(0.7*F2401+1.45)*G2401,((0.7*30+1.45)+0.58*(F2401-30))*G2401))</f>
        <v>6.0981522000000004</v>
      </c>
      <c r="I2401" s="592"/>
      <c r="J2401" s="592"/>
      <c r="K2401" s="593">
        <f t="shared" si="1419"/>
        <v>0</v>
      </c>
      <c r="L2401" s="594"/>
      <c r="M2401" s="92"/>
      <c r="N2401" s="92"/>
      <c r="O2401" s="93">
        <f t="shared" si="1407"/>
        <v>0</v>
      </c>
      <c r="P2401" s="93">
        <f t="shared" si="1408"/>
        <v>0</v>
      </c>
      <c r="Q2401" s="94"/>
      <c r="R2401" s="92">
        <f t="shared" si="1413"/>
        <v>0</v>
      </c>
      <c r="S2401" s="92">
        <f t="shared" si="1413"/>
        <v>0</v>
      </c>
      <c r="T2401" s="93">
        <f t="shared" si="1409"/>
        <v>0</v>
      </c>
      <c r="U2401" s="95">
        <f t="shared" si="1425"/>
        <v>0</v>
      </c>
      <c r="V2401" s="94"/>
      <c r="W2401" s="96" t="str">
        <f>IF(U2399&gt;0,"xx",IF(P2399&gt;0,"xy",""))</f>
        <v>xx</v>
      </c>
      <c r="X2401" s="580" t="str">
        <f t="shared" si="1417"/>
        <v>x</v>
      </c>
      <c r="Y2401" s="580" t="str">
        <f t="shared" si="1420"/>
        <v>x</v>
      </c>
      <c r="Z2401" s="580" t="str">
        <f t="shared" si="1422"/>
        <v/>
      </c>
    </row>
    <row r="2402" spans="1:26" hidden="1" x14ac:dyDescent="0.2">
      <c r="A2402" s="97" t="s">
        <v>165</v>
      </c>
      <c r="B2402" s="1031" t="s">
        <v>165</v>
      </c>
      <c r="C2402" s="978"/>
      <c r="D2402" s="595" t="s">
        <v>261</v>
      </c>
      <c r="E2402" s="596"/>
      <c r="F2402" s="1089">
        <v>4.7</v>
      </c>
      <c r="G2402" s="597">
        <f>VLOOKUP(D2399,'ENSAIOS DE ORÇAMENTO'!$C$3:$L$79,6,FALSE)</f>
        <v>1.5262500000000001</v>
      </c>
      <c r="H2402" s="682">
        <f>IF(F2402=0,0,IF(F2402&lt;=30,(0.7*F2402+1.45)*G2402,((0.7*30+1.45)+0.58*(F2402-30))*G2402))</f>
        <v>7.2344250000000008</v>
      </c>
      <c r="I2402" s="592"/>
      <c r="J2402" s="592"/>
      <c r="K2402" s="593">
        <f t="shared" si="1419"/>
        <v>0</v>
      </c>
      <c r="L2402" s="594"/>
      <c r="M2402" s="92"/>
      <c r="N2402" s="92"/>
      <c r="O2402" s="93">
        <f t="shared" si="1407"/>
        <v>0</v>
      </c>
      <c r="P2402" s="93">
        <f t="shared" si="1408"/>
        <v>0</v>
      </c>
      <c r="Q2402" s="94"/>
      <c r="R2402" s="92">
        <f t="shared" si="1413"/>
        <v>0</v>
      </c>
      <c r="S2402" s="92">
        <f t="shared" si="1413"/>
        <v>0</v>
      </c>
      <c r="T2402" s="93">
        <f t="shared" si="1409"/>
        <v>0</v>
      </c>
      <c r="U2402" s="95">
        <f t="shared" si="1425"/>
        <v>0</v>
      </c>
      <c r="V2402" s="94"/>
      <c r="W2402" s="96" t="str">
        <f>IF(U2399&gt;0,"xx",IF(P2399&gt;0,"xy",""))</f>
        <v>xx</v>
      </c>
      <c r="X2402" s="580" t="str">
        <f t="shared" si="1417"/>
        <v>x</v>
      </c>
      <c r="Y2402" s="580" t="str">
        <f t="shared" si="1420"/>
        <v>x</v>
      </c>
      <c r="Z2402" s="580" t="str">
        <f t="shared" si="1422"/>
        <v/>
      </c>
    </row>
    <row r="2403" spans="1:26" hidden="1" x14ac:dyDescent="0.2">
      <c r="A2403" s="97" t="s">
        <v>165</v>
      </c>
      <c r="B2403" s="1031" t="s">
        <v>165</v>
      </c>
      <c r="C2403" s="978"/>
      <c r="D2403" s="595" t="s">
        <v>419</v>
      </c>
      <c r="E2403" s="596"/>
      <c r="F2403" s="1089">
        <v>0.5</v>
      </c>
      <c r="G2403" s="597">
        <f>VLOOKUP(D2399,'ENSAIOS DE ORÇAMENTO'!$C$3:$L$79,3,FALSE)</f>
        <v>0</v>
      </c>
      <c r="H2403" s="682">
        <f>IF(F2403=0,0,IF(F2403&lt;=30,(0.7*F2403+1.45)*G2403,((0.7*30+1.45)+0.58*(F2403-30))*G2403))</f>
        <v>0</v>
      </c>
      <c r="I2403" s="592"/>
      <c r="J2403" s="592"/>
      <c r="K2403" s="593">
        <f t="shared" si="1419"/>
        <v>0</v>
      </c>
      <c r="L2403" s="594"/>
      <c r="M2403" s="92"/>
      <c r="N2403" s="92"/>
      <c r="O2403" s="93">
        <f t="shared" si="1407"/>
        <v>0</v>
      </c>
      <c r="P2403" s="93">
        <f t="shared" si="1408"/>
        <v>0</v>
      </c>
      <c r="Q2403" s="94"/>
      <c r="R2403" s="92">
        <f t="shared" si="1413"/>
        <v>0</v>
      </c>
      <c r="S2403" s="92">
        <f t="shared" si="1413"/>
        <v>0</v>
      </c>
      <c r="T2403" s="93">
        <f t="shared" si="1409"/>
        <v>0</v>
      </c>
      <c r="U2403" s="95">
        <f t="shared" si="1425"/>
        <v>0</v>
      </c>
      <c r="V2403" s="94"/>
      <c r="W2403" s="96" t="str">
        <f>IF(U2399&gt;0,"xx",IF(P2399&gt;0,"xy",""))</f>
        <v>xx</v>
      </c>
      <c r="X2403" s="580" t="str">
        <f t="shared" si="1417"/>
        <v>x</v>
      </c>
      <c r="Y2403" s="580" t="str">
        <f t="shared" si="1420"/>
        <v>x</v>
      </c>
      <c r="Z2403" s="580" t="str">
        <f t="shared" si="1422"/>
        <v/>
      </c>
    </row>
    <row r="2404" spans="1:26" hidden="1" x14ac:dyDescent="0.2">
      <c r="A2404" s="97" t="s">
        <v>165</v>
      </c>
      <c r="B2404" s="1031" t="s">
        <v>165</v>
      </c>
      <c r="C2404" s="978"/>
      <c r="D2404" s="595" t="s">
        <v>420</v>
      </c>
      <c r="E2404" s="596"/>
      <c r="F2404" s="1089">
        <v>125</v>
      </c>
      <c r="G2404" s="597">
        <f>VLOOKUP(D2399,'ENSAIOS DE ORÇAMENTO'!$C$3:$L$79,10,FALSE)</f>
        <v>0</v>
      </c>
      <c r="H2404" s="682">
        <f>IF(F2404=0,0,IF(F2404&lt;=30,(0.7*F2404+1.45)*G2404,((0.7*30+1.45)+0.58*(F2404-30))*G2404))</f>
        <v>0</v>
      </c>
      <c r="I2404" s="592"/>
      <c r="J2404" s="592"/>
      <c r="K2404" s="593">
        <f t="shared" si="1419"/>
        <v>0</v>
      </c>
      <c r="L2404" s="594"/>
      <c r="M2404" s="92"/>
      <c r="N2404" s="92"/>
      <c r="O2404" s="93">
        <f t="shared" si="1407"/>
        <v>0</v>
      </c>
      <c r="P2404" s="93">
        <f t="shared" si="1408"/>
        <v>0</v>
      </c>
      <c r="Q2404" s="94"/>
      <c r="R2404" s="92">
        <f t="shared" si="1413"/>
        <v>0</v>
      </c>
      <c r="S2404" s="92">
        <f t="shared" si="1413"/>
        <v>0</v>
      </c>
      <c r="T2404" s="93">
        <f t="shared" si="1409"/>
        <v>0</v>
      </c>
      <c r="U2404" s="95">
        <f t="shared" si="1425"/>
        <v>0</v>
      </c>
      <c r="V2404" s="94"/>
      <c r="W2404" s="96" t="str">
        <f>IF(U2399&gt;0,"xx",IF(P2399&gt;0,"xy",""))</f>
        <v>xx</v>
      </c>
      <c r="X2404" s="580" t="str">
        <f t="shared" si="1417"/>
        <v>x</v>
      </c>
      <c r="Y2404" s="580" t="str">
        <f t="shared" si="1420"/>
        <v>x</v>
      </c>
      <c r="Z2404" s="580" t="str">
        <f t="shared" si="1422"/>
        <v/>
      </c>
    </row>
    <row r="2405" spans="1:26" x14ac:dyDescent="0.2">
      <c r="A2405" s="97" t="s">
        <v>135</v>
      </c>
      <c r="B2405" s="1107" t="s">
        <v>135</v>
      </c>
      <c r="C2405" s="1108" t="s">
        <v>212</v>
      </c>
      <c r="D2405" s="1109" t="s">
        <v>149</v>
      </c>
      <c r="E2405" s="1110"/>
      <c r="F2405" s="671"/>
      <c r="G2405" s="597"/>
      <c r="H2405" s="682">
        <f>SUM(H2406:H2410)</f>
        <v>39.551209200000002</v>
      </c>
      <c r="I2405" s="592">
        <f>VLOOKUP(D2405,'ENSAIOS DE ORÇAMENTO'!$C$3:$L$79,8,FALSE)</f>
        <v>1594.6416000000002</v>
      </c>
      <c r="J2405" s="592">
        <f t="shared" ref="J2405" si="1426">IF(ISBLANK(I2405),"",SUM(H2405:I2405))</f>
        <v>1634.1928092000001</v>
      </c>
      <c r="K2405" s="593">
        <f t="shared" si="1419"/>
        <v>1988.98</v>
      </c>
      <c r="L2405" s="594" t="s">
        <v>21</v>
      </c>
      <c r="M2405" s="92">
        <v>1</v>
      </c>
      <c r="N2405" s="92">
        <v>2345.92</v>
      </c>
      <c r="O2405" s="93">
        <f t="shared" si="1407"/>
        <v>1988.98</v>
      </c>
      <c r="P2405" s="93">
        <f t="shared" si="1408"/>
        <v>2345.92</v>
      </c>
      <c r="Q2405" s="94"/>
      <c r="R2405" s="1111">
        <f t="shared" si="1413"/>
        <v>1</v>
      </c>
      <c r="S2405" s="1111">
        <f>K2405</f>
        <v>1988.98</v>
      </c>
      <c r="T2405" s="1112">
        <f t="shared" si="1409"/>
        <v>1988.98</v>
      </c>
      <c r="U2405" s="1113">
        <f t="shared" si="1425"/>
        <v>1988.98</v>
      </c>
      <c r="V2405" s="1114"/>
      <c r="X2405" s="580" t="str">
        <f t="shared" si="1417"/>
        <v>x</v>
      </c>
      <c r="Y2405" s="580" t="str">
        <f t="shared" si="1420"/>
        <v>x</v>
      </c>
      <c r="Z2405" s="580" t="str">
        <f t="shared" si="1422"/>
        <v>x</v>
      </c>
    </row>
    <row r="2406" spans="1:26" hidden="1" x14ac:dyDescent="0.2">
      <c r="A2406" s="97" t="s">
        <v>165</v>
      </c>
      <c r="B2406" s="1031" t="s">
        <v>165</v>
      </c>
      <c r="C2406" s="978"/>
      <c r="D2406" s="595" t="s">
        <v>218</v>
      </c>
      <c r="E2406" s="596"/>
      <c r="F2406" s="1089">
        <v>97.1</v>
      </c>
      <c r="G2406" s="597">
        <f>VLOOKUP(D2405,'ENSAIOS DE ORÇAMENTO'!$C$3:$L$79,4,FALSE)</f>
        <v>0.50459999999999994</v>
      </c>
      <c r="H2406" s="682">
        <f>IF(F2406&lt;=30,(0.51*F2406+4.28)*G2406,((0.51*30+4.28)+0.42*(F2406-30))*G2406)</f>
        <v>24.100705199999997</v>
      </c>
      <c r="I2406" s="592"/>
      <c r="J2406" s="592"/>
      <c r="K2406" s="593">
        <f t="shared" si="1419"/>
        <v>0</v>
      </c>
      <c r="L2406" s="594"/>
      <c r="M2406" s="92"/>
      <c r="N2406" s="92"/>
      <c r="O2406" s="93">
        <f t="shared" si="1407"/>
        <v>0</v>
      </c>
      <c r="P2406" s="93">
        <f t="shared" si="1408"/>
        <v>0</v>
      </c>
      <c r="Q2406" s="94"/>
      <c r="R2406" s="92">
        <f t="shared" si="1413"/>
        <v>0</v>
      </c>
      <c r="S2406" s="92">
        <f t="shared" si="1413"/>
        <v>0</v>
      </c>
      <c r="T2406" s="93">
        <f t="shared" si="1409"/>
        <v>0</v>
      </c>
      <c r="U2406" s="95">
        <f t="shared" si="1425"/>
        <v>0</v>
      </c>
      <c r="V2406" s="94"/>
      <c r="W2406" s="96" t="str">
        <f>IF(U2405&gt;0,"xx",IF(P2405&gt;0,"xy",""))</f>
        <v>xx</v>
      </c>
      <c r="X2406" s="580" t="str">
        <f t="shared" si="1417"/>
        <v>x</v>
      </c>
      <c r="Y2406" s="580" t="str">
        <f t="shared" si="1420"/>
        <v>x</v>
      </c>
      <c r="Z2406" s="580" t="str">
        <f t="shared" si="1422"/>
        <v/>
      </c>
    </row>
    <row r="2407" spans="1:26" hidden="1" x14ac:dyDescent="0.2">
      <c r="A2407" s="97" t="s">
        <v>165</v>
      </c>
      <c r="B2407" s="1031" t="s">
        <v>165</v>
      </c>
      <c r="C2407" s="978"/>
      <c r="D2407" s="595" t="s">
        <v>257</v>
      </c>
      <c r="E2407" s="596"/>
      <c r="F2407" s="1089">
        <v>4.7</v>
      </c>
      <c r="G2407" s="597">
        <f>VLOOKUP(D2405,'ENSAIOS DE ORÇAMENTO'!$C$3:$L$79,5,FALSE)</f>
        <v>1.48915</v>
      </c>
      <c r="H2407" s="682">
        <f>IF(F2407=0,0,IF(F2407&lt;=30,(0.7*F2407+1.45)*G2407,((0.7*30+1.45)+0.58*(F2407-30))*G2407))</f>
        <v>7.0585710000000006</v>
      </c>
      <c r="I2407" s="592"/>
      <c r="J2407" s="592"/>
      <c r="K2407" s="593">
        <f t="shared" si="1419"/>
        <v>0</v>
      </c>
      <c r="L2407" s="594"/>
      <c r="M2407" s="92"/>
      <c r="N2407" s="92"/>
      <c r="O2407" s="93">
        <f t="shared" si="1407"/>
        <v>0</v>
      </c>
      <c r="P2407" s="93">
        <f t="shared" si="1408"/>
        <v>0</v>
      </c>
      <c r="Q2407" s="94"/>
      <c r="R2407" s="92">
        <f t="shared" si="1413"/>
        <v>0</v>
      </c>
      <c r="S2407" s="92">
        <f t="shared" si="1413"/>
        <v>0</v>
      </c>
      <c r="T2407" s="93">
        <f t="shared" si="1409"/>
        <v>0</v>
      </c>
      <c r="U2407" s="95">
        <f t="shared" si="1425"/>
        <v>0</v>
      </c>
      <c r="V2407" s="94"/>
      <c r="W2407" s="96" t="str">
        <f>IF(U2405&gt;0,"xx",IF(P2405&gt;0,"xy",""))</f>
        <v>xx</v>
      </c>
      <c r="X2407" s="580" t="str">
        <f t="shared" si="1417"/>
        <v>x</v>
      </c>
      <c r="Y2407" s="580" t="str">
        <f t="shared" si="1420"/>
        <v>x</v>
      </c>
      <c r="Z2407" s="580" t="str">
        <f t="shared" si="1422"/>
        <v/>
      </c>
    </row>
    <row r="2408" spans="1:26" hidden="1" x14ac:dyDescent="0.2">
      <c r="A2408" s="97" t="s">
        <v>165</v>
      </c>
      <c r="B2408" s="1031" t="s">
        <v>165</v>
      </c>
      <c r="C2408" s="978"/>
      <c r="D2408" s="595" t="s">
        <v>261</v>
      </c>
      <c r="E2408" s="596"/>
      <c r="F2408" s="1089">
        <v>4.7</v>
      </c>
      <c r="G2408" s="597">
        <f>VLOOKUP(D2405,'ENSAIOS DE ORÇAMENTO'!$C$3:$L$79,6,FALSE)</f>
        <v>1.7704500000000001</v>
      </c>
      <c r="H2408" s="682">
        <f>IF(F2408=0,0,IF(F2408&lt;=30,(0.7*F2408+1.45)*G2408,((0.7*30+1.45)+0.58*(F2408-30))*G2408))</f>
        <v>8.3919330000000016</v>
      </c>
      <c r="I2408" s="592"/>
      <c r="J2408" s="592"/>
      <c r="K2408" s="593">
        <f t="shared" si="1419"/>
        <v>0</v>
      </c>
      <c r="L2408" s="594"/>
      <c r="M2408" s="92"/>
      <c r="N2408" s="92"/>
      <c r="O2408" s="93">
        <f t="shared" ref="O2408:O2471" si="1427">IF(ISBLANK(M2408),0,ROUND(K2408*M2408,2))</f>
        <v>0</v>
      </c>
      <c r="P2408" s="93">
        <f t="shared" ref="P2408:P2471" si="1428">IF(ISBLANK(N2408),0,ROUND(M2408*N2408,2))</f>
        <v>0</v>
      </c>
      <c r="Q2408" s="94"/>
      <c r="R2408" s="92">
        <f t="shared" si="1413"/>
        <v>0</v>
      </c>
      <c r="S2408" s="92">
        <f t="shared" si="1413"/>
        <v>0</v>
      </c>
      <c r="T2408" s="93">
        <f t="shared" ref="T2408:T2471" si="1429">IF(ISBLANK(R2408),0,ROUND(K2408*R2408,2))</f>
        <v>0</v>
      </c>
      <c r="U2408" s="95">
        <f t="shared" si="1425"/>
        <v>0</v>
      </c>
      <c r="V2408" s="94"/>
      <c r="W2408" s="96" t="str">
        <f>IF(U2405&gt;0,"xx",IF(P2405&gt;0,"xy",""))</f>
        <v>xx</v>
      </c>
      <c r="X2408" s="580" t="str">
        <f t="shared" si="1417"/>
        <v>x</v>
      </c>
      <c r="Y2408" s="580" t="str">
        <f t="shared" si="1420"/>
        <v>x</v>
      </c>
      <c r="Z2408" s="580" t="str">
        <f t="shared" si="1422"/>
        <v/>
      </c>
    </row>
    <row r="2409" spans="1:26" hidden="1" x14ac:dyDescent="0.2">
      <c r="A2409" s="97" t="s">
        <v>165</v>
      </c>
      <c r="B2409" s="1031" t="s">
        <v>165</v>
      </c>
      <c r="C2409" s="978"/>
      <c r="D2409" s="595" t="s">
        <v>419</v>
      </c>
      <c r="E2409" s="596"/>
      <c r="F2409" s="1089">
        <v>0.5</v>
      </c>
      <c r="G2409" s="597">
        <f>VLOOKUP(D2405,'ENSAIOS DE ORÇAMENTO'!$C$3:$L$79,3,FALSE)</f>
        <v>0</v>
      </c>
      <c r="H2409" s="682">
        <f>IF(F2409=0,0,IF(F2409&lt;=30,(0.7*F2409+1.45)*G2409,((0.7*30+1.45)+0.58*(F2409-30))*G2409))</f>
        <v>0</v>
      </c>
      <c r="I2409" s="592"/>
      <c r="J2409" s="592"/>
      <c r="K2409" s="593">
        <f t="shared" si="1419"/>
        <v>0</v>
      </c>
      <c r="L2409" s="594"/>
      <c r="M2409" s="92"/>
      <c r="N2409" s="92"/>
      <c r="O2409" s="93">
        <f t="shared" si="1427"/>
        <v>0</v>
      </c>
      <c r="P2409" s="93">
        <f t="shared" si="1428"/>
        <v>0</v>
      </c>
      <c r="Q2409" s="94"/>
      <c r="R2409" s="92">
        <f t="shared" si="1413"/>
        <v>0</v>
      </c>
      <c r="S2409" s="92">
        <f t="shared" si="1413"/>
        <v>0</v>
      </c>
      <c r="T2409" s="93">
        <f t="shared" si="1429"/>
        <v>0</v>
      </c>
      <c r="U2409" s="95">
        <f t="shared" si="1425"/>
        <v>0</v>
      </c>
      <c r="V2409" s="94"/>
      <c r="W2409" s="96" t="str">
        <f>IF(U2405&gt;0,"xx",IF(P2405&gt;0,"xy",""))</f>
        <v>xx</v>
      </c>
      <c r="X2409" s="580" t="str">
        <f t="shared" si="1417"/>
        <v>x</v>
      </c>
      <c r="Y2409" s="580" t="str">
        <f t="shared" si="1420"/>
        <v>x</v>
      </c>
      <c r="Z2409" s="580" t="str">
        <f t="shared" si="1422"/>
        <v/>
      </c>
    </row>
    <row r="2410" spans="1:26" hidden="1" x14ac:dyDescent="0.2">
      <c r="A2410" s="97" t="s">
        <v>165</v>
      </c>
      <c r="B2410" s="1031" t="s">
        <v>165</v>
      </c>
      <c r="C2410" s="978"/>
      <c r="D2410" s="595" t="s">
        <v>420</v>
      </c>
      <c r="E2410" s="596"/>
      <c r="F2410" s="1089">
        <v>125</v>
      </c>
      <c r="G2410" s="597">
        <f>VLOOKUP(D2405,'ENSAIOS DE ORÇAMENTO'!$C$3:$L$79,10,FALSE)</f>
        <v>0</v>
      </c>
      <c r="H2410" s="682">
        <f>IF(F2410=0,0,IF(F2410&lt;=30,(0.7*F2410+1.45)*G2410,((0.7*30+1.45)+0.58*(F2410-30))*G2410))</f>
        <v>0</v>
      </c>
      <c r="I2410" s="592"/>
      <c r="J2410" s="592"/>
      <c r="K2410" s="593">
        <f t="shared" si="1419"/>
        <v>0</v>
      </c>
      <c r="L2410" s="594"/>
      <c r="M2410" s="92"/>
      <c r="N2410" s="92"/>
      <c r="O2410" s="93">
        <f t="shared" si="1427"/>
        <v>0</v>
      </c>
      <c r="P2410" s="93">
        <f t="shared" si="1428"/>
        <v>0</v>
      </c>
      <c r="Q2410" s="94"/>
      <c r="R2410" s="92">
        <f t="shared" si="1413"/>
        <v>0</v>
      </c>
      <c r="S2410" s="92">
        <f t="shared" si="1413"/>
        <v>0</v>
      </c>
      <c r="T2410" s="93">
        <f t="shared" si="1429"/>
        <v>0</v>
      </c>
      <c r="U2410" s="95">
        <f t="shared" si="1425"/>
        <v>0</v>
      </c>
      <c r="V2410" s="94"/>
      <c r="W2410" s="96" t="str">
        <f>IF(U2405&gt;0,"xx",IF(P2405&gt;0,"xy",""))</f>
        <v>xx</v>
      </c>
      <c r="X2410" s="580" t="str">
        <f t="shared" si="1417"/>
        <v>x</v>
      </c>
      <c r="Y2410" s="580" t="str">
        <f t="shared" si="1420"/>
        <v>x</v>
      </c>
      <c r="Z2410" s="580" t="str">
        <f t="shared" si="1422"/>
        <v/>
      </c>
    </row>
    <row r="2411" spans="1:26" hidden="1" x14ac:dyDescent="0.2">
      <c r="A2411" s="97" t="s">
        <v>136</v>
      </c>
      <c r="B2411" s="1031" t="s">
        <v>136</v>
      </c>
      <c r="C2411" s="978" t="s">
        <v>212</v>
      </c>
      <c r="D2411" s="595" t="s">
        <v>150</v>
      </c>
      <c r="E2411" s="596"/>
      <c r="F2411" s="671"/>
      <c r="G2411" s="597"/>
      <c r="H2411" s="682">
        <f>SUM(H2412:H2416)</f>
        <v>379.95714050000009</v>
      </c>
      <c r="I2411" s="592">
        <f>VLOOKUP(D2411,'ENSAIOS DE ORÇAMENTO'!$C$3:$L$79,8,FALSE)</f>
        <v>1783.2270999999998</v>
      </c>
      <c r="J2411" s="592">
        <f t="shared" ref="J2411" si="1430">IF(ISBLANK(I2411),"",SUM(H2411:I2411))</f>
        <v>2163.1842404999998</v>
      </c>
      <c r="K2411" s="593">
        <f t="shared" si="1419"/>
        <v>2632.81</v>
      </c>
      <c r="L2411" s="594" t="s">
        <v>21</v>
      </c>
      <c r="M2411" s="92"/>
      <c r="N2411" s="92"/>
      <c r="O2411" s="93">
        <f t="shared" si="1427"/>
        <v>0</v>
      </c>
      <c r="P2411" s="93">
        <f t="shared" si="1428"/>
        <v>0</v>
      </c>
      <c r="Q2411" s="94"/>
      <c r="R2411" s="92">
        <f t="shared" si="1413"/>
        <v>0</v>
      </c>
      <c r="S2411" s="92">
        <f t="shared" si="1413"/>
        <v>0</v>
      </c>
      <c r="T2411" s="93">
        <f t="shared" si="1429"/>
        <v>0</v>
      </c>
      <c r="U2411" s="95">
        <f t="shared" si="1425"/>
        <v>0</v>
      </c>
      <c r="V2411" s="94"/>
      <c r="X2411" s="580" t="str">
        <f t="shared" si="1417"/>
        <v/>
      </c>
      <c r="Y2411" s="580" t="str">
        <f t="shared" si="1420"/>
        <v/>
      </c>
      <c r="Z2411" s="580" t="str">
        <f t="shared" si="1422"/>
        <v/>
      </c>
    </row>
    <row r="2412" spans="1:26" hidden="1" x14ac:dyDescent="0.2">
      <c r="A2412" s="97" t="s">
        <v>165</v>
      </c>
      <c r="B2412" s="1031" t="s">
        <v>165</v>
      </c>
      <c r="C2412" s="978"/>
      <c r="D2412" s="595" t="s">
        <v>218</v>
      </c>
      <c r="E2412" s="596"/>
      <c r="F2412" s="671">
        <v>500</v>
      </c>
      <c r="G2412" s="597">
        <f>VLOOKUP(D2411,'ENSAIOS DE ORÇAMENTO'!$C$3:$L$79,4,FALSE)</f>
        <v>0.6411</v>
      </c>
      <c r="H2412" s="682">
        <f>IF(F2412&lt;=30,(0.51*F2412+4.28)*G2412,((0.51*30+4.28)+0.42*(F2412-30))*G2412)</f>
        <v>139.10587800000002</v>
      </c>
      <c r="I2412" s="592"/>
      <c r="J2412" s="592"/>
      <c r="K2412" s="593">
        <f t="shared" si="1419"/>
        <v>0</v>
      </c>
      <c r="L2412" s="594"/>
      <c r="M2412" s="92"/>
      <c r="N2412" s="92"/>
      <c r="O2412" s="93">
        <f t="shared" si="1427"/>
        <v>0</v>
      </c>
      <c r="P2412" s="93">
        <f t="shared" si="1428"/>
        <v>0</v>
      </c>
      <c r="Q2412" s="94"/>
      <c r="R2412" s="92">
        <f t="shared" si="1413"/>
        <v>0</v>
      </c>
      <c r="S2412" s="92">
        <f t="shared" si="1413"/>
        <v>0</v>
      </c>
      <c r="T2412" s="93">
        <f t="shared" si="1429"/>
        <v>0</v>
      </c>
      <c r="U2412" s="95">
        <f t="shared" si="1425"/>
        <v>0</v>
      </c>
      <c r="V2412" s="94"/>
      <c r="W2412" s="96" t="str">
        <f>IF(U2411&gt;0,"xx",IF(P2411&gt;0,"xy",""))</f>
        <v/>
      </c>
      <c r="X2412" s="580" t="str">
        <f t="shared" si="1417"/>
        <v/>
      </c>
      <c r="Y2412" s="580" t="str">
        <f t="shared" si="1420"/>
        <v/>
      </c>
      <c r="Z2412" s="580" t="str">
        <f t="shared" si="1422"/>
        <v/>
      </c>
    </row>
    <row r="2413" spans="1:26" hidden="1" x14ac:dyDescent="0.2">
      <c r="A2413" s="97" t="s">
        <v>165</v>
      </c>
      <c r="B2413" s="1031" t="s">
        <v>165</v>
      </c>
      <c r="C2413" s="978"/>
      <c r="D2413" s="595" t="s">
        <v>257</v>
      </c>
      <c r="E2413" s="596"/>
      <c r="F2413" s="671">
        <v>180</v>
      </c>
      <c r="G2413" s="597">
        <f>VLOOKUP(D2411,'ENSAIOS DE ORÇAMENTO'!$C$3:$L$79,5,FALSE)</f>
        <v>1.8840500000000002</v>
      </c>
      <c r="H2413" s="682">
        <f>IF(F2413=0,0,IF(F2413&lt;=30,(0.7*F2413+1.45)*G2413,((0.7*30+1.45)+0.58*(F2413-30))*G2413))</f>
        <v>206.20927250000003</v>
      </c>
      <c r="I2413" s="592"/>
      <c r="J2413" s="592"/>
      <c r="K2413" s="593">
        <f t="shared" si="1419"/>
        <v>0</v>
      </c>
      <c r="L2413" s="594"/>
      <c r="M2413" s="92"/>
      <c r="N2413" s="92"/>
      <c r="O2413" s="93">
        <f t="shared" si="1427"/>
        <v>0</v>
      </c>
      <c r="P2413" s="93">
        <f t="shared" si="1428"/>
        <v>0</v>
      </c>
      <c r="Q2413" s="94"/>
      <c r="R2413" s="92">
        <f t="shared" si="1413"/>
        <v>0</v>
      </c>
      <c r="S2413" s="92">
        <f t="shared" si="1413"/>
        <v>0</v>
      </c>
      <c r="T2413" s="93">
        <f t="shared" si="1429"/>
        <v>0</v>
      </c>
      <c r="U2413" s="95">
        <f t="shared" si="1425"/>
        <v>0</v>
      </c>
      <c r="V2413" s="94"/>
      <c r="W2413" s="96" t="str">
        <f>IF(U2411&gt;0,"xx",IF(P2411&gt;0,"xy",""))</f>
        <v/>
      </c>
      <c r="X2413" s="580" t="str">
        <f t="shared" si="1417"/>
        <v/>
      </c>
      <c r="Y2413" s="580" t="str">
        <f t="shared" si="1420"/>
        <v/>
      </c>
      <c r="Z2413" s="580" t="str">
        <f t="shared" si="1422"/>
        <v/>
      </c>
    </row>
    <row r="2414" spans="1:26" hidden="1" x14ac:dyDescent="0.2">
      <c r="A2414" s="97" t="s">
        <v>165</v>
      </c>
      <c r="B2414" s="1031" t="s">
        <v>165</v>
      </c>
      <c r="C2414" s="978"/>
      <c r="D2414" s="595" t="s">
        <v>261</v>
      </c>
      <c r="E2414" s="596"/>
      <c r="F2414" s="671">
        <v>20</v>
      </c>
      <c r="G2414" s="597">
        <f>VLOOKUP(D2411,'ENSAIOS DE ORÇAMENTO'!$C$3:$L$79,6,FALSE)</f>
        <v>2.2422</v>
      </c>
      <c r="H2414" s="682">
        <f>IF(F2414=0,0,IF(F2414&lt;=30,(0.7*F2414+1.45)*G2414,((0.7*30+1.45)+0.58*(F2414-30))*G2414))</f>
        <v>34.64199</v>
      </c>
      <c r="I2414" s="592"/>
      <c r="J2414" s="592"/>
      <c r="K2414" s="593">
        <f t="shared" si="1419"/>
        <v>0</v>
      </c>
      <c r="L2414" s="594"/>
      <c r="M2414" s="92"/>
      <c r="N2414" s="92"/>
      <c r="O2414" s="93">
        <f t="shared" si="1427"/>
        <v>0</v>
      </c>
      <c r="P2414" s="93">
        <f t="shared" si="1428"/>
        <v>0</v>
      </c>
      <c r="Q2414" s="94"/>
      <c r="R2414" s="92">
        <f t="shared" si="1413"/>
        <v>0</v>
      </c>
      <c r="S2414" s="92">
        <f t="shared" si="1413"/>
        <v>0</v>
      </c>
      <c r="T2414" s="93">
        <f t="shared" si="1429"/>
        <v>0</v>
      </c>
      <c r="U2414" s="95">
        <f t="shared" si="1425"/>
        <v>0</v>
      </c>
      <c r="V2414" s="94"/>
      <c r="W2414" s="96" t="str">
        <f>IF(U2411&gt;0,"xx",IF(P2411&gt;0,"xy",""))</f>
        <v/>
      </c>
      <c r="X2414" s="580" t="str">
        <f t="shared" si="1417"/>
        <v/>
      </c>
      <c r="Y2414" s="580" t="str">
        <f t="shared" si="1420"/>
        <v/>
      </c>
      <c r="Z2414" s="580" t="str">
        <f t="shared" si="1422"/>
        <v/>
      </c>
    </row>
    <row r="2415" spans="1:26" hidden="1" x14ac:dyDescent="0.2">
      <c r="A2415" s="97" t="s">
        <v>165</v>
      </c>
      <c r="B2415" s="1031" t="s">
        <v>165</v>
      </c>
      <c r="C2415" s="978"/>
      <c r="D2415" s="595" t="s">
        <v>419</v>
      </c>
      <c r="E2415" s="596"/>
      <c r="F2415" s="671">
        <v>30</v>
      </c>
      <c r="G2415" s="597">
        <f>VLOOKUP(D2411,'ENSAIOS DE ORÇAMENTO'!$C$3:$L$79,3,FALSE)</f>
        <v>0</v>
      </c>
      <c r="H2415" s="682">
        <f>IF(F2415=0,0,IF(F2415&lt;=30,(0.7*F2415+1.45)*G2415,((0.7*30+1.45)+0.58*(F2415-30))*G2415))</f>
        <v>0</v>
      </c>
      <c r="I2415" s="592"/>
      <c r="J2415" s="592"/>
      <c r="K2415" s="593">
        <f t="shared" si="1419"/>
        <v>0</v>
      </c>
      <c r="L2415" s="594"/>
      <c r="M2415" s="92"/>
      <c r="N2415" s="92"/>
      <c r="O2415" s="93">
        <f t="shared" si="1427"/>
        <v>0</v>
      </c>
      <c r="P2415" s="93">
        <f t="shared" si="1428"/>
        <v>0</v>
      </c>
      <c r="Q2415" s="94"/>
      <c r="R2415" s="92">
        <f t="shared" si="1413"/>
        <v>0</v>
      </c>
      <c r="S2415" s="92">
        <f t="shared" si="1413"/>
        <v>0</v>
      </c>
      <c r="T2415" s="93">
        <f t="shared" si="1429"/>
        <v>0</v>
      </c>
      <c r="U2415" s="95">
        <f t="shared" si="1425"/>
        <v>0</v>
      </c>
      <c r="V2415" s="94"/>
      <c r="W2415" s="96" t="str">
        <f>IF(U2411&gt;0,"xx",IF(P2411&gt;0,"xy",""))</f>
        <v/>
      </c>
      <c r="X2415" s="580" t="str">
        <f t="shared" si="1417"/>
        <v/>
      </c>
      <c r="Y2415" s="580" t="str">
        <f t="shared" si="1420"/>
        <v/>
      </c>
      <c r="Z2415" s="580" t="str">
        <f t="shared" si="1422"/>
        <v/>
      </c>
    </row>
    <row r="2416" spans="1:26" hidden="1" x14ac:dyDescent="0.2">
      <c r="A2416" s="97" t="s">
        <v>165</v>
      </c>
      <c r="B2416" s="1031" t="s">
        <v>165</v>
      </c>
      <c r="C2416" s="978"/>
      <c r="D2416" s="595" t="s">
        <v>420</v>
      </c>
      <c r="E2416" s="596"/>
      <c r="F2416" s="671">
        <v>500</v>
      </c>
      <c r="G2416" s="597">
        <f>VLOOKUP(D2411,'ENSAIOS DE ORÇAMENTO'!$C$3:$L$79,10,FALSE)</f>
        <v>0</v>
      </c>
      <c r="H2416" s="682">
        <f>IF(F2416=0,0,IF(F2416&lt;=30,(0.7*F2416+1.45)*G2416,((0.7*30+1.45)+0.58*(F2416-30))*G2416))</f>
        <v>0</v>
      </c>
      <c r="I2416" s="592"/>
      <c r="J2416" s="592"/>
      <c r="K2416" s="593">
        <f t="shared" si="1419"/>
        <v>0</v>
      </c>
      <c r="L2416" s="594"/>
      <c r="M2416" s="92"/>
      <c r="N2416" s="92"/>
      <c r="O2416" s="93">
        <f t="shared" si="1427"/>
        <v>0</v>
      </c>
      <c r="P2416" s="93">
        <f t="shared" si="1428"/>
        <v>0</v>
      </c>
      <c r="Q2416" s="94"/>
      <c r="R2416" s="92">
        <f t="shared" si="1413"/>
        <v>0</v>
      </c>
      <c r="S2416" s="92">
        <f t="shared" si="1413"/>
        <v>0</v>
      </c>
      <c r="T2416" s="93">
        <f t="shared" si="1429"/>
        <v>0</v>
      </c>
      <c r="U2416" s="95">
        <f t="shared" si="1425"/>
        <v>0</v>
      </c>
      <c r="V2416" s="94"/>
      <c r="W2416" s="96" t="str">
        <f>IF(U2411&gt;0,"xx",IF(P2411&gt;0,"xy",""))</f>
        <v/>
      </c>
      <c r="X2416" s="580" t="str">
        <f t="shared" si="1417"/>
        <v/>
      </c>
      <c r="Y2416" s="580" t="str">
        <f t="shared" si="1420"/>
        <v/>
      </c>
      <c r="Z2416" s="580" t="str">
        <f t="shared" si="1422"/>
        <v/>
      </c>
    </row>
    <row r="2417" spans="1:26" hidden="1" x14ac:dyDescent="0.2">
      <c r="A2417" s="97" t="s">
        <v>137</v>
      </c>
      <c r="B2417" s="1031" t="s">
        <v>137</v>
      </c>
      <c r="C2417" s="978" t="s">
        <v>212</v>
      </c>
      <c r="D2417" s="595" t="s">
        <v>151</v>
      </c>
      <c r="E2417" s="596"/>
      <c r="F2417" s="671"/>
      <c r="G2417" s="597"/>
      <c r="H2417" s="682">
        <f>SUM(H2418:H2422)</f>
        <v>476.45643289999998</v>
      </c>
      <c r="I2417" s="592">
        <f>VLOOKUP(D2417,'ENSAIOS DE ORÇAMENTO'!$C$3:$L$79,8,FALSE)</f>
        <v>2005.9763799999998</v>
      </c>
      <c r="J2417" s="592">
        <f t="shared" ref="J2417" si="1431">IF(ISBLANK(I2417),"",SUM(H2417:I2417))</f>
        <v>2482.4328128999996</v>
      </c>
      <c r="K2417" s="593">
        <f t="shared" si="1419"/>
        <v>3021.37</v>
      </c>
      <c r="L2417" s="594" t="s">
        <v>21</v>
      </c>
      <c r="M2417" s="92"/>
      <c r="N2417" s="92"/>
      <c r="O2417" s="93">
        <f t="shared" si="1427"/>
        <v>0</v>
      </c>
      <c r="P2417" s="93">
        <f t="shared" si="1428"/>
        <v>0</v>
      </c>
      <c r="Q2417" s="94"/>
      <c r="R2417" s="92">
        <f t="shared" si="1413"/>
        <v>0</v>
      </c>
      <c r="S2417" s="92">
        <f t="shared" si="1413"/>
        <v>0</v>
      </c>
      <c r="T2417" s="93">
        <f t="shared" si="1429"/>
        <v>0</v>
      </c>
      <c r="U2417" s="95">
        <f t="shared" si="1425"/>
        <v>0</v>
      </c>
      <c r="V2417" s="94"/>
      <c r="X2417" s="580" t="str">
        <f t="shared" si="1417"/>
        <v/>
      </c>
      <c r="Y2417" s="580" t="str">
        <f t="shared" si="1420"/>
        <v/>
      </c>
      <c r="Z2417" s="580" t="str">
        <f t="shared" si="1422"/>
        <v/>
      </c>
    </row>
    <row r="2418" spans="1:26" hidden="1" x14ac:dyDescent="0.2">
      <c r="A2418" s="97" t="s">
        <v>165</v>
      </c>
      <c r="B2418" s="1031" t="s">
        <v>165</v>
      </c>
      <c r="C2418" s="978"/>
      <c r="D2418" s="595" t="s">
        <v>218</v>
      </c>
      <c r="E2418" s="596"/>
      <c r="F2418" s="671">
        <v>500</v>
      </c>
      <c r="G2418" s="597">
        <f>VLOOKUP(D2417,'ENSAIOS DE ORÇAMENTO'!$C$3:$L$79,4,FALSE)</f>
        <v>0.80657999999999996</v>
      </c>
      <c r="H2418" s="682">
        <f>IF(F2418&lt;=30,(0.51*F2418+4.28)*G2418,((0.51*30+4.28)+0.42*(F2418-30))*G2418)</f>
        <v>175.01172840000001</v>
      </c>
      <c r="I2418" s="592"/>
      <c r="J2418" s="592"/>
      <c r="K2418" s="593">
        <f t="shared" si="1419"/>
        <v>0</v>
      </c>
      <c r="L2418" s="594"/>
      <c r="M2418" s="92"/>
      <c r="N2418" s="92"/>
      <c r="O2418" s="93">
        <f t="shared" si="1427"/>
        <v>0</v>
      </c>
      <c r="P2418" s="93">
        <f t="shared" si="1428"/>
        <v>0</v>
      </c>
      <c r="Q2418" s="94"/>
      <c r="R2418" s="92">
        <f t="shared" si="1413"/>
        <v>0</v>
      </c>
      <c r="S2418" s="92">
        <f t="shared" si="1413"/>
        <v>0</v>
      </c>
      <c r="T2418" s="93">
        <f t="shared" si="1429"/>
        <v>0</v>
      </c>
      <c r="U2418" s="95">
        <f t="shared" si="1425"/>
        <v>0</v>
      </c>
      <c r="V2418" s="94"/>
      <c r="W2418" s="96" t="str">
        <f>IF(U2417&gt;0,"xx",IF(P2417&gt;0,"xy",""))</f>
        <v/>
      </c>
      <c r="X2418" s="580" t="str">
        <f t="shared" si="1417"/>
        <v/>
      </c>
      <c r="Y2418" s="580" t="str">
        <f t="shared" si="1420"/>
        <v/>
      </c>
      <c r="Z2418" s="580" t="str">
        <f t="shared" si="1422"/>
        <v/>
      </c>
    </row>
    <row r="2419" spans="1:26" hidden="1" x14ac:dyDescent="0.2">
      <c r="A2419" s="97" t="s">
        <v>165</v>
      </c>
      <c r="B2419" s="1031" t="s">
        <v>165</v>
      </c>
      <c r="C2419" s="978"/>
      <c r="D2419" s="595" t="s">
        <v>257</v>
      </c>
      <c r="E2419" s="596"/>
      <c r="F2419" s="671">
        <v>180</v>
      </c>
      <c r="G2419" s="597">
        <f>VLOOKUP(D2417,'ENSAIOS DE ORÇAMENTO'!$C$3:$L$79,5,FALSE)</f>
        <v>2.3575999999999997</v>
      </c>
      <c r="H2419" s="682">
        <f>IF(F2419=0,0,IF(F2419&lt;=30,(0.7*F2419+1.45)*G2419,((0.7*30+1.45)+0.58*(F2419-30))*G2419))</f>
        <v>258.03931999999998</v>
      </c>
      <c r="I2419" s="592"/>
      <c r="J2419" s="592"/>
      <c r="K2419" s="593">
        <f t="shared" si="1419"/>
        <v>0</v>
      </c>
      <c r="L2419" s="594"/>
      <c r="M2419" s="92"/>
      <c r="N2419" s="92"/>
      <c r="O2419" s="93">
        <f t="shared" si="1427"/>
        <v>0</v>
      </c>
      <c r="P2419" s="93">
        <f t="shared" si="1428"/>
        <v>0</v>
      </c>
      <c r="Q2419" s="94"/>
      <c r="R2419" s="92">
        <f t="shared" si="1413"/>
        <v>0</v>
      </c>
      <c r="S2419" s="92">
        <f t="shared" si="1413"/>
        <v>0</v>
      </c>
      <c r="T2419" s="93">
        <f t="shared" si="1429"/>
        <v>0</v>
      </c>
      <c r="U2419" s="95">
        <f t="shared" si="1425"/>
        <v>0</v>
      </c>
      <c r="V2419" s="94"/>
      <c r="W2419" s="96" t="str">
        <f>IF(U2417&gt;0,"xx",IF(P2417&gt;0,"xy",""))</f>
        <v/>
      </c>
      <c r="X2419" s="580" t="str">
        <f t="shared" si="1417"/>
        <v/>
      </c>
      <c r="Y2419" s="580" t="str">
        <f t="shared" si="1420"/>
        <v/>
      </c>
      <c r="Z2419" s="580" t="str">
        <f t="shared" si="1422"/>
        <v/>
      </c>
    </row>
    <row r="2420" spans="1:26" hidden="1" x14ac:dyDescent="0.2">
      <c r="A2420" s="97" t="s">
        <v>165</v>
      </c>
      <c r="B2420" s="1031" t="s">
        <v>165</v>
      </c>
      <c r="C2420" s="978"/>
      <c r="D2420" s="595" t="s">
        <v>261</v>
      </c>
      <c r="E2420" s="596"/>
      <c r="F2420" s="671">
        <v>20</v>
      </c>
      <c r="G2420" s="597">
        <f>VLOOKUP(D2417,'ENSAIOS DE ORÇAMENTO'!$C$3:$L$79,6,FALSE)</f>
        <v>2.8094099999999997</v>
      </c>
      <c r="H2420" s="682">
        <f>IF(F2420=0,0,IF(F2420&lt;=30,(0.7*F2420+1.45)*G2420,((0.7*30+1.45)+0.58*(F2420-30))*G2420))</f>
        <v>43.405384499999997</v>
      </c>
      <c r="I2420" s="592"/>
      <c r="J2420" s="592"/>
      <c r="K2420" s="593">
        <f t="shared" si="1419"/>
        <v>0</v>
      </c>
      <c r="L2420" s="594"/>
      <c r="M2420" s="92"/>
      <c r="N2420" s="92"/>
      <c r="O2420" s="93">
        <f t="shared" si="1427"/>
        <v>0</v>
      </c>
      <c r="P2420" s="93">
        <f t="shared" si="1428"/>
        <v>0</v>
      </c>
      <c r="Q2420" s="94"/>
      <c r="R2420" s="92">
        <f t="shared" si="1413"/>
        <v>0</v>
      </c>
      <c r="S2420" s="92">
        <f t="shared" si="1413"/>
        <v>0</v>
      </c>
      <c r="T2420" s="93">
        <f t="shared" si="1429"/>
        <v>0</v>
      </c>
      <c r="U2420" s="95">
        <f t="shared" si="1425"/>
        <v>0</v>
      </c>
      <c r="V2420" s="94"/>
      <c r="W2420" s="96" t="str">
        <f>IF(U2417&gt;0,"xx",IF(P2417&gt;0,"xy",""))</f>
        <v/>
      </c>
      <c r="X2420" s="580" t="str">
        <f t="shared" si="1417"/>
        <v/>
      </c>
      <c r="Y2420" s="580" t="str">
        <f t="shared" si="1420"/>
        <v/>
      </c>
      <c r="Z2420" s="580" t="str">
        <f t="shared" si="1422"/>
        <v/>
      </c>
    </row>
    <row r="2421" spans="1:26" hidden="1" x14ac:dyDescent="0.2">
      <c r="A2421" s="97" t="s">
        <v>165</v>
      </c>
      <c r="B2421" s="1031" t="s">
        <v>165</v>
      </c>
      <c r="C2421" s="978"/>
      <c r="D2421" s="595" t="s">
        <v>419</v>
      </c>
      <c r="E2421" s="596"/>
      <c r="F2421" s="671">
        <v>30</v>
      </c>
      <c r="G2421" s="597">
        <f>VLOOKUP(D2417,'ENSAIOS DE ORÇAMENTO'!$C$3:$L$79,3,FALSE)</f>
        <v>0</v>
      </c>
      <c r="H2421" s="682">
        <f>IF(F2421=0,0,IF(F2421&lt;=30,(0.7*F2421+1.45)*G2421,((0.7*30+1.45)+0.58*(F2421-30))*G2421))</f>
        <v>0</v>
      </c>
      <c r="I2421" s="592"/>
      <c r="J2421" s="592"/>
      <c r="K2421" s="593">
        <f t="shared" si="1419"/>
        <v>0</v>
      </c>
      <c r="L2421" s="594"/>
      <c r="M2421" s="92"/>
      <c r="N2421" s="92"/>
      <c r="O2421" s="93">
        <f t="shared" si="1427"/>
        <v>0</v>
      </c>
      <c r="P2421" s="93">
        <f t="shared" si="1428"/>
        <v>0</v>
      </c>
      <c r="Q2421" s="94"/>
      <c r="R2421" s="92">
        <f t="shared" si="1413"/>
        <v>0</v>
      </c>
      <c r="S2421" s="92">
        <f t="shared" si="1413"/>
        <v>0</v>
      </c>
      <c r="T2421" s="93">
        <f t="shared" si="1429"/>
        <v>0</v>
      </c>
      <c r="U2421" s="95">
        <f t="shared" si="1425"/>
        <v>0</v>
      </c>
      <c r="V2421" s="94"/>
      <c r="W2421" s="96" t="str">
        <f>IF(U2417&gt;0,"xx",IF(P2417&gt;0,"xy",""))</f>
        <v/>
      </c>
      <c r="X2421" s="580" t="str">
        <f t="shared" si="1417"/>
        <v/>
      </c>
      <c r="Y2421" s="580" t="str">
        <f t="shared" si="1420"/>
        <v/>
      </c>
      <c r="Z2421" s="580" t="str">
        <f t="shared" si="1422"/>
        <v/>
      </c>
    </row>
    <row r="2422" spans="1:26" hidden="1" x14ac:dyDescent="0.2">
      <c r="A2422" s="97" t="s">
        <v>165</v>
      </c>
      <c r="B2422" s="1031" t="s">
        <v>165</v>
      </c>
      <c r="C2422" s="978"/>
      <c r="D2422" s="595" t="s">
        <v>420</v>
      </c>
      <c r="E2422" s="596"/>
      <c r="F2422" s="671">
        <v>500</v>
      </c>
      <c r="G2422" s="597">
        <f>VLOOKUP(D2417,'ENSAIOS DE ORÇAMENTO'!$C$3:$L$79,10,FALSE)</f>
        <v>0</v>
      </c>
      <c r="H2422" s="682">
        <f>IF(F2422=0,0,IF(F2422&lt;=30,(0.7*F2422+1.45)*G2422,((0.7*30+1.45)+0.58*(F2422-30))*G2422))</f>
        <v>0</v>
      </c>
      <c r="I2422" s="592"/>
      <c r="J2422" s="592"/>
      <c r="K2422" s="593">
        <f t="shared" si="1419"/>
        <v>0</v>
      </c>
      <c r="L2422" s="594"/>
      <c r="M2422" s="92"/>
      <c r="N2422" s="92"/>
      <c r="O2422" s="93">
        <f t="shared" si="1427"/>
        <v>0</v>
      </c>
      <c r="P2422" s="93">
        <f t="shared" si="1428"/>
        <v>0</v>
      </c>
      <c r="Q2422" s="94"/>
      <c r="R2422" s="92">
        <f t="shared" si="1413"/>
        <v>0</v>
      </c>
      <c r="S2422" s="92">
        <f t="shared" si="1413"/>
        <v>0</v>
      </c>
      <c r="T2422" s="93">
        <f t="shared" si="1429"/>
        <v>0</v>
      </c>
      <c r="U2422" s="95">
        <f t="shared" si="1425"/>
        <v>0</v>
      </c>
      <c r="V2422" s="94"/>
      <c r="W2422" s="96" t="str">
        <f>IF(U2417&gt;0,"xx",IF(P2417&gt;0,"xy",""))</f>
        <v/>
      </c>
      <c r="X2422" s="580" t="str">
        <f t="shared" si="1417"/>
        <v/>
      </c>
      <c r="Y2422" s="580" t="str">
        <f t="shared" si="1420"/>
        <v/>
      </c>
      <c r="Z2422" s="580" t="str">
        <f t="shared" si="1422"/>
        <v/>
      </c>
    </row>
    <row r="2423" spans="1:26" hidden="1" x14ac:dyDescent="0.2">
      <c r="A2423" s="97" t="s">
        <v>138</v>
      </c>
      <c r="B2423" s="1031" t="s">
        <v>138</v>
      </c>
      <c r="C2423" s="978" t="s">
        <v>212</v>
      </c>
      <c r="D2423" s="595" t="s">
        <v>152</v>
      </c>
      <c r="E2423" s="596"/>
      <c r="F2423" s="671"/>
      <c r="G2423" s="597"/>
      <c r="H2423" s="682">
        <f>SUM(H2424:H2428)</f>
        <v>229.69317850000004</v>
      </c>
      <c r="I2423" s="592">
        <f>VLOOKUP(D2423,'ENSAIOS DE ORÇAMENTO'!$C$3:$L$79,8,FALSE)</f>
        <v>3101.3288199999997</v>
      </c>
      <c r="J2423" s="592">
        <f t="shared" ref="J2423" si="1432">IF(ISBLANK(I2423),"",SUM(H2423:I2423))</f>
        <v>3331.0219984999999</v>
      </c>
      <c r="K2423" s="593">
        <f t="shared" si="1419"/>
        <v>4054.19</v>
      </c>
      <c r="L2423" s="594" t="s">
        <v>21</v>
      </c>
      <c r="M2423" s="92"/>
      <c r="N2423" s="92"/>
      <c r="O2423" s="93">
        <f t="shared" si="1427"/>
        <v>0</v>
      </c>
      <c r="P2423" s="93">
        <f t="shared" si="1428"/>
        <v>0</v>
      </c>
      <c r="Q2423" s="94"/>
      <c r="R2423" s="92">
        <f t="shared" ref="R2423:S2485" si="1433">M2423</f>
        <v>0</v>
      </c>
      <c r="S2423" s="92">
        <f t="shared" si="1433"/>
        <v>0</v>
      </c>
      <c r="T2423" s="93">
        <f t="shared" si="1429"/>
        <v>0</v>
      </c>
      <c r="U2423" s="95">
        <f t="shared" si="1425"/>
        <v>0</v>
      </c>
      <c r="V2423" s="94"/>
      <c r="X2423" s="580" t="str">
        <f t="shared" si="1417"/>
        <v/>
      </c>
      <c r="Y2423" s="580" t="str">
        <f t="shared" si="1420"/>
        <v/>
      </c>
      <c r="Z2423" s="580" t="str">
        <f t="shared" si="1422"/>
        <v/>
      </c>
    </row>
    <row r="2424" spans="1:26" hidden="1" x14ac:dyDescent="0.2">
      <c r="A2424" s="97" t="s">
        <v>165</v>
      </c>
      <c r="B2424" s="1031" t="s">
        <v>165</v>
      </c>
      <c r="C2424" s="978"/>
      <c r="D2424" s="595" t="s">
        <v>218</v>
      </c>
      <c r="E2424" s="596"/>
      <c r="F2424" s="671">
        <v>500</v>
      </c>
      <c r="G2424" s="597">
        <f>VLOOKUP(D2423,'ENSAIOS DE ORÇAMENTO'!$C$3:$L$79,4,FALSE)</f>
        <v>0.38250000000000006</v>
      </c>
      <c r="H2424" s="682">
        <f>IF(F2424&lt;=30,(0.51*F2424+4.28)*G2424,((0.51*30+4.28)+0.42*(F2424-30))*G2424)</f>
        <v>82.994850000000014</v>
      </c>
      <c r="I2424" s="592"/>
      <c r="J2424" s="592"/>
      <c r="K2424" s="593">
        <f t="shared" si="1419"/>
        <v>0</v>
      </c>
      <c r="L2424" s="594"/>
      <c r="M2424" s="92"/>
      <c r="N2424" s="92"/>
      <c r="O2424" s="93">
        <f t="shared" si="1427"/>
        <v>0</v>
      </c>
      <c r="P2424" s="93">
        <f t="shared" si="1428"/>
        <v>0</v>
      </c>
      <c r="Q2424" s="94"/>
      <c r="R2424" s="92">
        <f t="shared" si="1433"/>
        <v>0</v>
      </c>
      <c r="S2424" s="92">
        <f t="shared" si="1433"/>
        <v>0</v>
      </c>
      <c r="T2424" s="93">
        <f t="shared" si="1429"/>
        <v>0</v>
      </c>
      <c r="U2424" s="95">
        <f t="shared" si="1425"/>
        <v>0</v>
      </c>
      <c r="V2424" s="94"/>
      <c r="W2424" s="96" t="str">
        <f>IF(U2423&gt;0,"xx",IF(P2423&gt;0,"xy",""))</f>
        <v/>
      </c>
      <c r="X2424" s="580" t="str">
        <f t="shared" si="1417"/>
        <v/>
      </c>
      <c r="Y2424" s="580" t="str">
        <f t="shared" si="1420"/>
        <v/>
      </c>
      <c r="Z2424" s="580" t="str">
        <f t="shared" si="1422"/>
        <v/>
      </c>
    </row>
    <row r="2425" spans="1:26" hidden="1" x14ac:dyDescent="0.2">
      <c r="A2425" s="97" t="s">
        <v>165</v>
      </c>
      <c r="B2425" s="1031" t="s">
        <v>165</v>
      </c>
      <c r="C2425" s="978"/>
      <c r="D2425" s="595" t="s">
        <v>257</v>
      </c>
      <c r="E2425" s="596"/>
      <c r="F2425" s="671">
        <v>180</v>
      </c>
      <c r="G2425" s="597">
        <f>VLOOKUP(D2423,'ENSAIOS DE ORÇAMENTO'!$C$3:$L$79,5,FALSE)</f>
        <v>1.1483800000000002</v>
      </c>
      <c r="H2425" s="682">
        <f>IF(F2425=0,0,IF(F2425&lt;=30,(0.7*F2425+1.45)*G2425,((0.7*30+1.45)+0.58*(F2425-30))*G2425))</f>
        <v>125.69019100000003</v>
      </c>
      <c r="I2425" s="592"/>
      <c r="J2425" s="592"/>
      <c r="K2425" s="593">
        <f t="shared" si="1419"/>
        <v>0</v>
      </c>
      <c r="L2425" s="594"/>
      <c r="M2425" s="92"/>
      <c r="N2425" s="92"/>
      <c r="O2425" s="93">
        <f t="shared" si="1427"/>
        <v>0</v>
      </c>
      <c r="P2425" s="93">
        <f t="shared" si="1428"/>
        <v>0</v>
      </c>
      <c r="Q2425" s="94"/>
      <c r="R2425" s="92">
        <f t="shared" si="1433"/>
        <v>0</v>
      </c>
      <c r="S2425" s="92">
        <f t="shared" si="1433"/>
        <v>0</v>
      </c>
      <c r="T2425" s="93">
        <f t="shared" si="1429"/>
        <v>0</v>
      </c>
      <c r="U2425" s="95">
        <f t="shared" si="1425"/>
        <v>0</v>
      </c>
      <c r="V2425" s="94"/>
      <c r="W2425" s="96" t="str">
        <f>IF(U2423&gt;0,"xx",IF(P2423&gt;0,"xy",""))</f>
        <v/>
      </c>
      <c r="X2425" s="580" t="str">
        <f t="shared" si="1417"/>
        <v/>
      </c>
      <c r="Y2425" s="580" t="str">
        <f t="shared" si="1420"/>
        <v/>
      </c>
      <c r="Z2425" s="580" t="str">
        <f t="shared" si="1422"/>
        <v/>
      </c>
    </row>
    <row r="2426" spans="1:26" hidden="1" x14ac:dyDescent="0.2">
      <c r="A2426" s="97" t="s">
        <v>165</v>
      </c>
      <c r="B2426" s="1031" t="s">
        <v>165</v>
      </c>
      <c r="C2426" s="978"/>
      <c r="D2426" s="595" t="s">
        <v>261</v>
      </c>
      <c r="E2426" s="596"/>
      <c r="F2426" s="671">
        <v>20</v>
      </c>
      <c r="G2426" s="597">
        <f>VLOOKUP(D2423,'ENSAIOS DE ORÇAMENTO'!$C$3:$L$79,6,FALSE)</f>
        <v>1.35975</v>
      </c>
      <c r="H2426" s="682">
        <f>IF(F2426=0,0,IF(F2426&lt;=30,(0.7*F2426+1.45)*G2426,((0.7*30+1.45)+0.58*(F2426-30))*G2426))</f>
        <v>21.0081375</v>
      </c>
      <c r="I2426" s="592"/>
      <c r="J2426" s="592"/>
      <c r="K2426" s="593">
        <f t="shared" si="1419"/>
        <v>0</v>
      </c>
      <c r="L2426" s="594"/>
      <c r="M2426" s="92"/>
      <c r="N2426" s="92"/>
      <c r="O2426" s="93">
        <f t="shared" si="1427"/>
        <v>0</v>
      </c>
      <c r="P2426" s="93">
        <f t="shared" si="1428"/>
        <v>0</v>
      </c>
      <c r="Q2426" s="94"/>
      <c r="R2426" s="92">
        <f t="shared" si="1433"/>
        <v>0</v>
      </c>
      <c r="S2426" s="92">
        <f t="shared" si="1433"/>
        <v>0</v>
      </c>
      <c r="T2426" s="93">
        <f t="shared" si="1429"/>
        <v>0</v>
      </c>
      <c r="U2426" s="95">
        <f t="shared" si="1425"/>
        <v>0</v>
      </c>
      <c r="V2426" s="94"/>
      <c r="W2426" s="96" t="str">
        <f>IF(U2423&gt;0,"xx",IF(P2423&gt;0,"xy",""))</f>
        <v/>
      </c>
      <c r="X2426" s="580" t="str">
        <f t="shared" si="1417"/>
        <v/>
      </c>
      <c r="Y2426" s="580" t="str">
        <f t="shared" si="1420"/>
        <v/>
      </c>
      <c r="Z2426" s="580" t="str">
        <f t="shared" si="1422"/>
        <v/>
      </c>
    </row>
    <row r="2427" spans="1:26" hidden="1" x14ac:dyDescent="0.2">
      <c r="A2427" s="97" t="s">
        <v>165</v>
      </c>
      <c r="B2427" s="1031" t="s">
        <v>165</v>
      </c>
      <c r="C2427" s="978"/>
      <c r="D2427" s="595" t="s">
        <v>419</v>
      </c>
      <c r="E2427" s="596"/>
      <c r="F2427" s="671">
        <v>30</v>
      </c>
      <c r="G2427" s="597">
        <f>VLOOKUP(D2423,'ENSAIOS DE ORÇAMENTO'!$C$3:$L$79,3,FALSE)</f>
        <v>0</v>
      </c>
      <c r="H2427" s="682">
        <f>IF(F2427=0,0,IF(F2427&lt;=30,(0.7*F2427+1.45)*G2427,((0.7*30+1.45)+0.58*(F2427-30))*G2427))</f>
        <v>0</v>
      </c>
      <c r="I2427" s="592"/>
      <c r="J2427" s="592"/>
      <c r="K2427" s="593">
        <f t="shared" si="1419"/>
        <v>0</v>
      </c>
      <c r="L2427" s="594"/>
      <c r="M2427" s="92"/>
      <c r="N2427" s="92"/>
      <c r="O2427" s="93">
        <f t="shared" si="1427"/>
        <v>0</v>
      </c>
      <c r="P2427" s="93">
        <f t="shared" si="1428"/>
        <v>0</v>
      </c>
      <c r="Q2427" s="94"/>
      <c r="R2427" s="92">
        <f t="shared" si="1433"/>
        <v>0</v>
      </c>
      <c r="S2427" s="92">
        <f t="shared" si="1433"/>
        <v>0</v>
      </c>
      <c r="T2427" s="93">
        <f t="shared" si="1429"/>
        <v>0</v>
      </c>
      <c r="U2427" s="95">
        <f t="shared" si="1425"/>
        <v>0</v>
      </c>
      <c r="V2427" s="94"/>
      <c r="W2427" s="96" t="str">
        <f>IF(U2423&gt;0,"xx",IF(P2423&gt;0,"xy",""))</f>
        <v/>
      </c>
      <c r="X2427" s="580" t="str">
        <f t="shared" si="1417"/>
        <v/>
      </c>
      <c r="Y2427" s="580" t="str">
        <f t="shared" si="1420"/>
        <v/>
      </c>
      <c r="Z2427" s="580" t="str">
        <f t="shared" si="1422"/>
        <v/>
      </c>
    </row>
    <row r="2428" spans="1:26" hidden="1" x14ac:dyDescent="0.2">
      <c r="A2428" s="97" t="s">
        <v>165</v>
      </c>
      <c r="B2428" s="1031" t="s">
        <v>165</v>
      </c>
      <c r="C2428" s="978"/>
      <c r="D2428" s="595" t="s">
        <v>420</v>
      </c>
      <c r="E2428" s="596"/>
      <c r="F2428" s="671">
        <v>500</v>
      </c>
      <c r="G2428" s="597">
        <f>VLOOKUP(D2423,'ENSAIOS DE ORÇAMENTO'!$C$3:$L$79,10,FALSE)</f>
        <v>0</v>
      </c>
      <c r="H2428" s="682">
        <f>IF(F2428=0,0,IF(F2428&lt;=30,(0.7*F2428+1.45)*G2428,((0.7*30+1.45)+0.58*(F2428-30))*G2428))</f>
        <v>0</v>
      </c>
      <c r="I2428" s="592"/>
      <c r="J2428" s="592"/>
      <c r="K2428" s="593">
        <f t="shared" si="1419"/>
        <v>0</v>
      </c>
      <c r="L2428" s="594"/>
      <c r="M2428" s="92"/>
      <c r="N2428" s="92"/>
      <c r="O2428" s="93">
        <f t="shared" si="1427"/>
        <v>0</v>
      </c>
      <c r="P2428" s="93">
        <f t="shared" si="1428"/>
        <v>0</v>
      </c>
      <c r="Q2428" s="94"/>
      <c r="R2428" s="92">
        <f t="shared" si="1433"/>
        <v>0</v>
      </c>
      <c r="S2428" s="92">
        <f t="shared" si="1433"/>
        <v>0</v>
      </c>
      <c r="T2428" s="93">
        <f t="shared" si="1429"/>
        <v>0</v>
      </c>
      <c r="U2428" s="95">
        <f t="shared" si="1425"/>
        <v>0</v>
      </c>
      <c r="V2428" s="94"/>
      <c r="W2428" s="96" t="str">
        <f>IF(U2423&gt;0,"xx",IF(P2423&gt;0,"xy",""))</f>
        <v/>
      </c>
      <c r="X2428" s="580" t="str">
        <f t="shared" si="1417"/>
        <v/>
      </c>
      <c r="Y2428" s="580" t="str">
        <f t="shared" si="1420"/>
        <v/>
      </c>
      <c r="Z2428" s="580" t="str">
        <f t="shared" si="1422"/>
        <v/>
      </c>
    </row>
    <row r="2429" spans="1:26" hidden="1" x14ac:dyDescent="0.2">
      <c r="A2429" s="97" t="s">
        <v>139</v>
      </c>
      <c r="B2429" s="1031" t="s">
        <v>139</v>
      </c>
      <c r="C2429" s="978" t="s">
        <v>212</v>
      </c>
      <c r="D2429" s="595" t="s">
        <v>153</v>
      </c>
      <c r="E2429" s="596"/>
      <c r="F2429" s="671"/>
      <c r="G2429" s="597"/>
      <c r="H2429" s="682">
        <f>SUM(H2430:H2434)</f>
        <v>258.12663100000003</v>
      </c>
      <c r="I2429" s="592">
        <f>VLOOKUP(D2429,'ENSAIOS DE ORÇAMENTO'!$C$3:$L$79,8,FALSE)</f>
        <v>3431.8226699999996</v>
      </c>
      <c r="J2429" s="592">
        <f t="shared" ref="J2429" si="1434">IF(ISBLANK(I2429),"",SUM(H2429:I2429))</f>
        <v>3689.9493009999997</v>
      </c>
      <c r="K2429" s="593">
        <f t="shared" si="1419"/>
        <v>4491.04</v>
      </c>
      <c r="L2429" s="594" t="s">
        <v>21</v>
      </c>
      <c r="M2429" s="92"/>
      <c r="N2429" s="92"/>
      <c r="O2429" s="93">
        <f t="shared" si="1427"/>
        <v>0</v>
      </c>
      <c r="P2429" s="93">
        <f t="shared" si="1428"/>
        <v>0</v>
      </c>
      <c r="Q2429" s="94"/>
      <c r="R2429" s="92">
        <f t="shared" si="1433"/>
        <v>0</v>
      </c>
      <c r="S2429" s="92">
        <f t="shared" si="1433"/>
        <v>0</v>
      </c>
      <c r="T2429" s="93">
        <f t="shared" si="1429"/>
        <v>0</v>
      </c>
      <c r="U2429" s="95">
        <f t="shared" si="1425"/>
        <v>0</v>
      </c>
      <c r="V2429" s="94"/>
      <c r="X2429" s="580" t="str">
        <f t="shared" si="1417"/>
        <v/>
      </c>
      <c r="Y2429" s="580" t="str">
        <f t="shared" si="1420"/>
        <v/>
      </c>
      <c r="Z2429" s="580" t="str">
        <f t="shared" si="1422"/>
        <v/>
      </c>
    </row>
    <row r="2430" spans="1:26" hidden="1" x14ac:dyDescent="0.2">
      <c r="A2430" s="97" t="s">
        <v>165</v>
      </c>
      <c r="B2430" s="1031" t="s">
        <v>165</v>
      </c>
      <c r="C2430" s="978"/>
      <c r="D2430" s="595" t="s">
        <v>218</v>
      </c>
      <c r="E2430" s="596"/>
      <c r="F2430" s="671">
        <v>500</v>
      </c>
      <c r="G2430" s="597">
        <f>VLOOKUP(D2429,'ENSAIOS DE ORÇAMENTO'!$C$3:$L$79,4,FALSE)</f>
        <v>0.43200000000000005</v>
      </c>
      <c r="H2430" s="682">
        <f>IF(F2430&lt;=30,(0.51*F2430+4.28)*G2430,((0.51*30+4.28)+0.42*(F2430-30))*G2430)</f>
        <v>93.735360000000014</v>
      </c>
      <c r="I2430" s="592"/>
      <c r="J2430" s="592"/>
      <c r="K2430" s="593">
        <f t="shared" si="1419"/>
        <v>0</v>
      </c>
      <c r="L2430" s="594"/>
      <c r="M2430" s="92"/>
      <c r="N2430" s="92"/>
      <c r="O2430" s="93">
        <f t="shared" si="1427"/>
        <v>0</v>
      </c>
      <c r="P2430" s="93">
        <f t="shared" si="1428"/>
        <v>0</v>
      </c>
      <c r="Q2430" s="94"/>
      <c r="R2430" s="92">
        <f t="shared" si="1433"/>
        <v>0</v>
      </c>
      <c r="S2430" s="92">
        <f t="shared" si="1433"/>
        <v>0</v>
      </c>
      <c r="T2430" s="93">
        <f t="shared" si="1429"/>
        <v>0</v>
      </c>
      <c r="U2430" s="95">
        <f t="shared" si="1425"/>
        <v>0</v>
      </c>
      <c r="V2430" s="94"/>
      <c r="W2430" s="96" t="str">
        <f>IF(U2429&gt;0,"xx",IF(P2429&gt;0,"xy",""))</f>
        <v/>
      </c>
      <c r="X2430" s="580" t="str">
        <f t="shared" si="1417"/>
        <v/>
      </c>
      <c r="Y2430" s="580" t="str">
        <f t="shared" si="1420"/>
        <v/>
      </c>
      <c r="Z2430" s="580" t="str">
        <f t="shared" si="1422"/>
        <v/>
      </c>
    </row>
    <row r="2431" spans="1:26" hidden="1" x14ac:dyDescent="0.2">
      <c r="A2431" s="97" t="s">
        <v>165</v>
      </c>
      <c r="B2431" s="1031" t="s">
        <v>165</v>
      </c>
      <c r="C2431" s="978"/>
      <c r="D2431" s="595" t="s">
        <v>257</v>
      </c>
      <c r="E2431" s="596"/>
      <c r="F2431" s="671">
        <v>180</v>
      </c>
      <c r="G2431" s="597">
        <f>VLOOKUP(D2429,'ENSAIOS DE ORÇAMENTO'!$C$3:$L$79,5,FALSE)</f>
        <v>1.28653</v>
      </c>
      <c r="H2431" s="682">
        <f>IF(F2431=0,0,IF(F2431&lt;=30,(0.7*F2431+1.45)*G2431,((0.7*30+1.45)+0.58*(F2431-30))*G2431))</f>
        <v>140.8107085</v>
      </c>
      <c r="I2431" s="592"/>
      <c r="J2431" s="592"/>
      <c r="K2431" s="593">
        <f t="shared" si="1419"/>
        <v>0</v>
      </c>
      <c r="L2431" s="594"/>
      <c r="M2431" s="92"/>
      <c r="N2431" s="92"/>
      <c r="O2431" s="93">
        <f t="shared" si="1427"/>
        <v>0</v>
      </c>
      <c r="P2431" s="93">
        <f t="shared" si="1428"/>
        <v>0</v>
      </c>
      <c r="Q2431" s="94"/>
      <c r="R2431" s="92">
        <f t="shared" si="1433"/>
        <v>0</v>
      </c>
      <c r="S2431" s="92">
        <f t="shared" si="1433"/>
        <v>0</v>
      </c>
      <c r="T2431" s="93">
        <f t="shared" si="1429"/>
        <v>0</v>
      </c>
      <c r="U2431" s="95">
        <f t="shared" si="1425"/>
        <v>0</v>
      </c>
      <c r="V2431" s="94"/>
      <c r="W2431" s="96" t="str">
        <f>IF(U2429&gt;0,"xx",IF(P2429&gt;0,"xy",""))</f>
        <v/>
      </c>
      <c r="X2431" s="580" t="str">
        <f t="shared" si="1417"/>
        <v/>
      </c>
      <c r="Y2431" s="580" t="str">
        <f t="shared" si="1420"/>
        <v/>
      </c>
      <c r="Z2431" s="580" t="str">
        <f t="shared" si="1422"/>
        <v/>
      </c>
    </row>
    <row r="2432" spans="1:26" hidden="1" x14ac:dyDescent="0.2">
      <c r="A2432" s="97" t="s">
        <v>165</v>
      </c>
      <c r="B2432" s="1031" t="s">
        <v>165</v>
      </c>
      <c r="C2432" s="978"/>
      <c r="D2432" s="595" t="s">
        <v>261</v>
      </c>
      <c r="E2432" s="596"/>
      <c r="F2432" s="671">
        <v>20</v>
      </c>
      <c r="G2432" s="597">
        <f>VLOOKUP(D2429,'ENSAIOS DE ORÇAMENTO'!$C$3:$L$79,6,FALSE)</f>
        <v>1.5262500000000001</v>
      </c>
      <c r="H2432" s="682">
        <f>IF(F2432=0,0,IF(F2432&lt;=30,(0.7*F2432+1.45)*G2432,((0.7*30+1.45)+0.58*(F2432-30))*G2432))</f>
        <v>23.580562499999999</v>
      </c>
      <c r="I2432" s="592"/>
      <c r="J2432" s="592"/>
      <c r="K2432" s="593">
        <f t="shared" si="1419"/>
        <v>0</v>
      </c>
      <c r="L2432" s="594"/>
      <c r="M2432" s="92"/>
      <c r="N2432" s="92"/>
      <c r="O2432" s="93">
        <f t="shared" si="1427"/>
        <v>0</v>
      </c>
      <c r="P2432" s="93">
        <f t="shared" si="1428"/>
        <v>0</v>
      </c>
      <c r="Q2432" s="94"/>
      <c r="R2432" s="92">
        <f t="shared" si="1433"/>
        <v>0</v>
      </c>
      <c r="S2432" s="92">
        <f t="shared" si="1433"/>
        <v>0</v>
      </c>
      <c r="T2432" s="93">
        <f t="shared" si="1429"/>
        <v>0</v>
      </c>
      <c r="U2432" s="95">
        <f t="shared" si="1425"/>
        <v>0</v>
      </c>
      <c r="V2432" s="94"/>
      <c r="W2432" s="96" t="str">
        <f>IF(U2429&gt;0,"xx",IF(P2429&gt;0,"xy",""))</f>
        <v/>
      </c>
      <c r="X2432" s="580" t="str">
        <f t="shared" si="1417"/>
        <v/>
      </c>
      <c r="Y2432" s="580" t="str">
        <f t="shared" si="1420"/>
        <v/>
      </c>
      <c r="Z2432" s="580" t="str">
        <f t="shared" si="1422"/>
        <v/>
      </c>
    </row>
    <row r="2433" spans="1:26" hidden="1" x14ac:dyDescent="0.2">
      <c r="A2433" s="97" t="s">
        <v>165</v>
      </c>
      <c r="B2433" s="1031" t="s">
        <v>165</v>
      </c>
      <c r="C2433" s="978"/>
      <c r="D2433" s="595" t="s">
        <v>419</v>
      </c>
      <c r="E2433" s="596"/>
      <c r="F2433" s="671">
        <v>30</v>
      </c>
      <c r="G2433" s="597">
        <f>VLOOKUP(D2429,'ENSAIOS DE ORÇAMENTO'!$C$3:$L$79,3,FALSE)</f>
        <v>0</v>
      </c>
      <c r="H2433" s="682">
        <f>IF(F2433=0,0,IF(F2433&lt;=30,(0.7*F2433+1.45)*G2433,((0.7*30+1.45)+0.58*(F2433-30))*G2433))</f>
        <v>0</v>
      </c>
      <c r="I2433" s="592"/>
      <c r="J2433" s="592"/>
      <c r="K2433" s="593">
        <f t="shared" si="1419"/>
        <v>0</v>
      </c>
      <c r="L2433" s="594"/>
      <c r="M2433" s="92"/>
      <c r="N2433" s="92"/>
      <c r="O2433" s="93">
        <f t="shared" si="1427"/>
        <v>0</v>
      </c>
      <c r="P2433" s="93">
        <f t="shared" si="1428"/>
        <v>0</v>
      </c>
      <c r="Q2433" s="94"/>
      <c r="R2433" s="92">
        <f t="shared" si="1433"/>
        <v>0</v>
      </c>
      <c r="S2433" s="92">
        <f t="shared" si="1433"/>
        <v>0</v>
      </c>
      <c r="T2433" s="93">
        <f t="shared" si="1429"/>
        <v>0</v>
      </c>
      <c r="U2433" s="95">
        <f t="shared" si="1425"/>
        <v>0</v>
      </c>
      <c r="V2433" s="94"/>
      <c r="W2433" s="96" t="str">
        <f>IF(U2429&gt;0,"xx",IF(P2429&gt;0,"xy",""))</f>
        <v/>
      </c>
      <c r="X2433" s="580" t="str">
        <f t="shared" si="1417"/>
        <v/>
      </c>
      <c r="Y2433" s="580" t="str">
        <f t="shared" si="1420"/>
        <v/>
      </c>
      <c r="Z2433" s="580" t="str">
        <f t="shared" si="1422"/>
        <v/>
      </c>
    </row>
    <row r="2434" spans="1:26" hidden="1" x14ac:dyDescent="0.2">
      <c r="A2434" s="97" t="s">
        <v>165</v>
      </c>
      <c r="B2434" s="1031" t="s">
        <v>165</v>
      </c>
      <c r="C2434" s="978"/>
      <c r="D2434" s="595" t="s">
        <v>420</v>
      </c>
      <c r="E2434" s="596"/>
      <c r="F2434" s="671">
        <v>500</v>
      </c>
      <c r="G2434" s="597">
        <f>VLOOKUP(D2429,'ENSAIOS DE ORÇAMENTO'!$C$3:$L$79,10,FALSE)</f>
        <v>0</v>
      </c>
      <c r="H2434" s="682">
        <f>IF(F2434=0,0,IF(F2434&lt;=30,(0.7*F2434+1.45)*G2434,((0.7*30+1.45)+0.58*(F2434-30))*G2434))</f>
        <v>0</v>
      </c>
      <c r="I2434" s="592"/>
      <c r="J2434" s="592"/>
      <c r="K2434" s="593">
        <f t="shared" si="1419"/>
        <v>0</v>
      </c>
      <c r="L2434" s="594"/>
      <c r="M2434" s="92"/>
      <c r="N2434" s="92"/>
      <c r="O2434" s="93">
        <f t="shared" si="1427"/>
        <v>0</v>
      </c>
      <c r="P2434" s="93">
        <f t="shared" si="1428"/>
        <v>0</v>
      </c>
      <c r="Q2434" s="94"/>
      <c r="R2434" s="92">
        <f t="shared" si="1433"/>
        <v>0</v>
      </c>
      <c r="S2434" s="92">
        <f t="shared" si="1433"/>
        <v>0</v>
      </c>
      <c r="T2434" s="93">
        <f t="shared" si="1429"/>
        <v>0</v>
      </c>
      <c r="U2434" s="95">
        <f t="shared" si="1425"/>
        <v>0</v>
      </c>
      <c r="V2434" s="94"/>
      <c r="W2434" s="96" t="str">
        <f>IF(U2429&gt;0,"xx",IF(P2429&gt;0,"xy",""))</f>
        <v/>
      </c>
      <c r="X2434" s="580" t="str">
        <f t="shared" si="1417"/>
        <v/>
      </c>
      <c r="Y2434" s="580" t="str">
        <f t="shared" si="1420"/>
        <v/>
      </c>
      <c r="Z2434" s="580" t="str">
        <f t="shared" si="1422"/>
        <v/>
      </c>
    </row>
    <row r="2435" spans="1:26" hidden="1" x14ac:dyDescent="0.2">
      <c r="A2435" s="97" t="s">
        <v>140</v>
      </c>
      <c r="B2435" s="1031" t="s">
        <v>140</v>
      </c>
      <c r="C2435" s="978" t="s">
        <v>212</v>
      </c>
      <c r="D2435" s="595" t="s">
        <v>154</v>
      </c>
      <c r="E2435" s="596"/>
      <c r="F2435" s="671"/>
      <c r="G2435" s="597"/>
      <c r="H2435" s="682">
        <f>SUM(H2436:H2440)</f>
        <v>299.82902799999999</v>
      </c>
      <c r="I2435" s="592">
        <f>VLOOKUP(D2435,'ENSAIOS DE ORÇAMENTO'!$C$3:$L$79,8,FALSE)</f>
        <v>3918.0596499999992</v>
      </c>
      <c r="J2435" s="592">
        <f t="shared" ref="J2435" si="1435">IF(ISBLANK(I2435),"",SUM(H2435:I2435))</f>
        <v>4217.8886779999993</v>
      </c>
      <c r="K2435" s="593">
        <f t="shared" si="1419"/>
        <v>5133.59</v>
      </c>
      <c r="L2435" s="594" t="s">
        <v>21</v>
      </c>
      <c r="M2435" s="92"/>
      <c r="N2435" s="92"/>
      <c r="O2435" s="93">
        <f t="shared" si="1427"/>
        <v>0</v>
      </c>
      <c r="P2435" s="93">
        <f t="shared" si="1428"/>
        <v>0</v>
      </c>
      <c r="Q2435" s="94"/>
      <c r="R2435" s="92">
        <f t="shared" si="1433"/>
        <v>0</v>
      </c>
      <c r="S2435" s="92">
        <f t="shared" si="1433"/>
        <v>0</v>
      </c>
      <c r="T2435" s="93">
        <f t="shared" si="1429"/>
        <v>0</v>
      </c>
      <c r="U2435" s="95">
        <f t="shared" si="1425"/>
        <v>0</v>
      </c>
      <c r="V2435" s="94"/>
      <c r="X2435" s="580" t="str">
        <f t="shared" si="1417"/>
        <v/>
      </c>
      <c r="Y2435" s="580" t="str">
        <f t="shared" si="1420"/>
        <v/>
      </c>
      <c r="Z2435" s="580" t="str">
        <f t="shared" si="1422"/>
        <v/>
      </c>
    </row>
    <row r="2436" spans="1:26" hidden="1" x14ac:dyDescent="0.2">
      <c r="A2436" s="97" t="s">
        <v>165</v>
      </c>
      <c r="B2436" s="1031" t="s">
        <v>165</v>
      </c>
      <c r="C2436" s="978"/>
      <c r="D2436" s="595" t="s">
        <v>218</v>
      </c>
      <c r="E2436" s="596"/>
      <c r="F2436" s="671">
        <v>500</v>
      </c>
      <c r="G2436" s="597">
        <f>VLOOKUP(D2435,'ENSAIOS DE ORÇAMENTO'!$C$3:$L$79,4,FALSE)</f>
        <v>0.50459999999999994</v>
      </c>
      <c r="H2436" s="682">
        <f>IF(F2436&lt;=30,(0.51*F2436+4.28)*G2436,((0.51*30+4.28)+0.42*(F2436-30))*G2436)</f>
        <v>109.488108</v>
      </c>
      <c r="I2436" s="592"/>
      <c r="J2436" s="592"/>
      <c r="K2436" s="593">
        <f t="shared" si="1419"/>
        <v>0</v>
      </c>
      <c r="L2436" s="594"/>
      <c r="M2436" s="92"/>
      <c r="N2436" s="92"/>
      <c r="O2436" s="93">
        <f t="shared" si="1427"/>
        <v>0</v>
      </c>
      <c r="P2436" s="93">
        <f t="shared" si="1428"/>
        <v>0</v>
      </c>
      <c r="Q2436" s="94"/>
      <c r="R2436" s="92">
        <f t="shared" si="1433"/>
        <v>0</v>
      </c>
      <c r="S2436" s="92">
        <f t="shared" si="1433"/>
        <v>0</v>
      </c>
      <c r="T2436" s="93">
        <f t="shared" si="1429"/>
        <v>0</v>
      </c>
      <c r="U2436" s="95">
        <f t="shared" si="1425"/>
        <v>0</v>
      </c>
      <c r="V2436" s="94"/>
      <c r="W2436" s="96" t="str">
        <f>IF(U2435&gt;0,"xx",IF(P2435&gt;0,"xy",""))</f>
        <v/>
      </c>
      <c r="X2436" s="580" t="str">
        <f t="shared" si="1417"/>
        <v/>
      </c>
      <c r="Y2436" s="580" t="str">
        <f t="shared" si="1420"/>
        <v/>
      </c>
      <c r="Z2436" s="580" t="str">
        <f t="shared" si="1422"/>
        <v/>
      </c>
    </row>
    <row r="2437" spans="1:26" hidden="1" x14ac:dyDescent="0.2">
      <c r="A2437" s="97" t="s">
        <v>165</v>
      </c>
      <c r="B2437" s="1031" t="s">
        <v>165</v>
      </c>
      <c r="C2437" s="978"/>
      <c r="D2437" s="595" t="s">
        <v>257</v>
      </c>
      <c r="E2437" s="596"/>
      <c r="F2437" s="671">
        <v>180</v>
      </c>
      <c r="G2437" s="597">
        <f>VLOOKUP(D2435,'ENSAIOS DE ORÇAMENTO'!$C$3:$L$79,5,FALSE)</f>
        <v>1.48915</v>
      </c>
      <c r="H2437" s="682">
        <f>IF(F2437=0,0,IF(F2437&lt;=30,(0.7*F2437+1.45)*G2437,((0.7*30+1.45)+0.58*(F2437-30))*G2437))</f>
        <v>162.98746750000001</v>
      </c>
      <c r="I2437" s="592"/>
      <c r="J2437" s="592"/>
      <c r="K2437" s="593">
        <f t="shared" si="1419"/>
        <v>0</v>
      </c>
      <c r="L2437" s="594"/>
      <c r="M2437" s="92"/>
      <c r="N2437" s="92"/>
      <c r="O2437" s="93">
        <f t="shared" si="1427"/>
        <v>0</v>
      </c>
      <c r="P2437" s="93">
        <f t="shared" si="1428"/>
        <v>0</v>
      </c>
      <c r="Q2437" s="94"/>
      <c r="R2437" s="92">
        <f t="shared" si="1433"/>
        <v>0</v>
      </c>
      <c r="S2437" s="92">
        <f t="shared" si="1433"/>
        <v>0</v>
      </c>
      <c r="T2437" s="93">
        <f t="shared" si="1429"/>
        <v>0</v>
      </c>
      <c r="U2437" s="95">
        <f t="shared" si="1425"/>
        <v>0</v>
      </c>
      <c r="V2437" s="94"/>
      <c r="W2437" s="96" t="str">
        <f>IF(U2435&gt;0,"xx",IF(P2435&gt;0,"xy",""))</f>
        <v/>
      </c>
      <c r="X2437" s="580" t="str">
        <f t="shared" si="1417"/>
        <v/>
      </c>
      <c r="Y2437" s="580" t="str">
        <f t="shared" si="1420"/>
        <v/>
      </c>
      <c r="Z2437" s="580" t="str">
        <f t="shared" si="1422"/>
        <v/>
      </c>
    </row>
    <row r="2438" spans="1:26" hidden="1" x14ac:dyDescent="0.2">
      <c r="A2438" s="97" t="s">
        <v>165</v>
      </c>
      <c r="B2438" s="1031" t="s">
        <v>165</v>
      </c>
      <c r="C2438" s="978"/>
      <c r="D2438" s="595" t="s">
        <v>261</v>
      </c>
      <c r="E2438" s="596"/>
      <c r="F2438" s="671">
        <v>20</v>
      </c>
      <c r="G2438" s="597">
        <f>VLOOKUP(D2435,'ENSAIOS DE ORÇAMENTO'!$C$3:$L$79,6,FALSE)</f>
        <v>1.7704500000000001</v>
      </c>
      <c r="H2438" s="682">
        <f>IF(F2438=0,0,IF(F2438&lt;=30,(0.7*F2438+1.45)*G2438,((0.7*30+1.45)+0.58*(F2438-30))*G2438))</f>
        <v>27.3534525</v>
      </c>
      <c r="I2438" s="592"/>
      <c r="J2438" s="592"/>
      <c r="K2438" s="593">
        <f t="shared" si="1419"/>
        <v>0</v>
      </c>
      <c r="L2438" s="594"/>
      <c r="M2438" s="92"/>
      <c r="N2438" s="92"/>
      <c r="O2438" s="93">
        <f t="shared" si="1427"/>
        <v>0</v>
      </c>
      <c r="P2438" s="93">
        <f t="shared" si="1428"/>
        <v>0</v>
      </c>
      <c r="Q2438" s="94"/>
      <c r="R2438" s="92">
        <f t="shared" si="1433"/>
        <v>0</v>
      </c>
      <c r="S2438" s="92">
        <f t="shared" si="1433"/>
        <v>0</v>
      </c>
      <c r="T2438" s="93">
        <f t="shared" si="1429"/>
        <v>0</v>
      </c>
      <c r="U2438" s="95">
        <f t="shared" si="1425"/>
        <v>0</v>
      </c>
      <c r="V2438" s="94"/>
      <c r="W2438" s="96" t="str">
        <f>IF(U2435&gt;0,"xx",IF(P2435&gt;0,"xy",""))</f>
        <v/>
      </c>
      <c r="X2438" s="580" t="str">
        <f t="shared" si="1417"/>
        <v/>
      </c>
      <c r="Y2438" s="580" t="str">
        <f t="shared" si="1420"/>
        <v/>
      </c>
      <c r="Z2438" s="580" t="str">
        <f t="shared" si="1422"/>
        <v/>
      </c>
    </row>
    <row r="2439" spans="1:26" hidden="1" x14ac:dyDescent="0.2">
      <c r="A2439" s="97" t="s">
        <v>165</v>
      </c>
      <c r="B2439" s="1031" t="s">
        <v>165</v>
      </c>
      <c r="C2439" s="978"/>
      <c r="D2439" s="595" t="s">
        <v>419</v>
      </c>
      <c r="E2439" s="596"/>
      <c r="F2439" s="671">
        <v>30</v>
      </c>
      <c r="G2439" s="597">
        <f>VLOOKUP(D2435,'ENSAIOS DE ORÇAMENTO'!$C$3:$L$79,3,FALSE)</f>
        <v>0</v>
      </c>
      <c r="H2439" s="682">
        <f>IF(F2439=0,0,IF(F2439&lt;=30,(0.7*F2439+1.45)*G2439,((0.7*30+1.45)+0.58*(F2439-30))*G2439))</f>
        <v>0</v>
      </c>
      <c r="I2439" s="592"/>
      <c r="J2439" s="592"/>
      <c r="K2439" s="593">
        <f t="shared" si="1419"/>
        <v>0</v>
      </c>
      <c r="L2439" s="594"/>
      <c r="M2439" s="92"/>
      <c r="N2439" s="92"/>
      <c r="O2439" s="93">
        <f t="shared" si="1427"/>
        <v>0</v>
      </c>
      <c r="P2439" s="93">
        <f t="shared" si="1428"/>
        <v>0</v>
      </c>
      <c r="Q2439" s="94"/>
      <c r="R2439" s="92">
        <f t="shared" si="1433"/>
        <v>0</v>
      </c>
      <c r="S2439" s="92">
        <f t="shared" si="1433"/>
        <v>0</v>
      </c>
      <c r="T2439" s="93">
        <f t="shared" si="1429"/>
        <v>0</v>
      </c>
      <c r="U2439" s="95">
        <f t="shared" si="1425"/>
        <v>0</v>
      </c>
      <c r="V2439" s="94"/>
      <c r="W2439" s="96" t="str">
        <f>IF(U2435&gt;0,"xx",IF(P2435&gt;0,"xy",""))</f>
        <v/>
      </c>
      <c r="X2439" s="580" t="str">
        <f t="shared" si="1417"/>
        <v/>
      </c>
      <c r="Y2439" s="580" t="str">
        <f t="shared" si="1420"/>
        <v/>
      </c>
      <c r="Z2439" s="580" t="str">
        <f t="shared" si="1422"/>
        <v/>
      </c>
    </row>
    <row r="2440" spans="1:26" hidden="1" x14ac:dyDescent="0.2">
      <c r="A2440" s="97" t="s">
        <v>165</v>
      </c>
      <c r="B2440" s="1031" t="s">
        <v>165</v>
      </c>
      <c r="C2440" s="978"/>
      <c r="D2440" s="595" t="s">
        <v>420</v>
      </c>
      <c r="E2440" s="596"/>
      <c r="F2440" s="671">
        <v>500</v>
      </c>
      <c r="G2440" s="597">
        <f>VLOOKUP(D2435,'ENSAIOS DE ORÇAMENTO'!$C$3:$L$79,10,FALSE)</f>
        <v>0</v>
      </c>
      <c r="H2440" s="682">
        <f>IF(F2440=0,0,IF(F2440&lt;=30,(0.7*F2440+1.45)*G2440,((0.7*30+1.45)+0.58*(F2440-30))*G2440))</f>
        <v>0</v>
      </c>
      <c r="I2440" s="592"/>
      <c r="J2440" s="592"/>
      <c r="K2440" s="593">
        <f t="shared" si="1419"/>
        <v>0</v>
      </c>
      <c r="L2440" s="594"/>
      <c r="M2440" s="92"/>
      <c r="N2440" s="92"/>
      <c r="O2440" s="93">
        <f t="shared" si="1427"/>
        <v>0</v>
      </c>
      <c r="P2440" s="93">
        <f t="shared" si="1428"/>
        <v>0</v>
      </c>
      <c r="Q2440" s="94"/>
      <c r="R2440" s="92">
        <f t="shared" si="1433"/>
        <v>0</v>
      </c>
      <c r="S2440" s="92">
        <f t="shared" si="1433"/>
        <v>0</v>
      </c>
      <c r="T2440" s="93">
        <f t="shared" si="1429"/>
        <v>0</v>
      </c>
      <c r="U2440" s="95">
        <f t="shared" si="1425"/>
        <v>0</v>
      </c>
      <c r="V2440" s="94"/>
      <c r="W2440" s="96" t="str">
        <f>IF(U2435&gt;0,"xx",IF(P2435&gt;0,"xy",""))</f>
        <v/>
      </c>
      <c r="X2440" s="580" t="str">
        <f t="shared" si="1417"/>
        <v/>
      </c>
      <c r="Y2440" s="580" t="str">
        <f t="shared" si="1420"/>
        <v/>
      </c>
      <c r="Z2440" s="580" t="str">
        <f t="shared" si="1422"/>
        <v/>
      </c>
    </row>
    <row r="2441" spans="1:26" hidden="1" x14ac:dyDescent="0.2">
      <c r="A2441" s="97" t="s">
        <v>47</v>
      </c>
      <c r="B2441" s="1031" t="s">
        <v>47</v>
      </c>
      <c r="C2441" s="978" t="s">
        <v>212</v>
      </c>
      <c r="D2441" s="595" t="s">
        <v>155</v>
      </c>
      <c r="E2441" s="596"/>
      <c r="F2441" s="671"/>
      <c r="G2441" s="597"/>
      <c r="H2441" s="682">
        <f>SUM(H2442:H2446)</f>
        <v>379.95714050000009</v>
      </c>
      <c r="I2441" s="592">
        <f>VLOOKUP(D2441,'ENSAIOS DE ORÇAMENTO'!$C$3:$L$79,8,FALSE)</f>
        <v>4723.1767499999996</v>
      </c>
      <c r="J2441" s="592">
        <f t="shared" ref="J2441" si="1436">IF(ISBLANK(I2441),"",SUM(H2441:I2441))</f>
        <v>5103.1338904999993</v>
      </c>
      <c r="K2441" s="593">
        <f t="shared" si="1419"/>
        <v>6211.02</v>
      </c>
      <c r="L2441" s="594" t="s">
        <v>21</v>
      </c>
      <c r="M2441" s="92"/>
      <c r="N2441" s="92"/>
      <c r="O2441" s="93">
        <f t="shared" si="1427"/>
        <v>0</v>
      </c>
      <c r="P2441" s="93">
        <f t="shared" si="1428"/>
        <v>0</v>
      </c>
      <c r="Q2441" s="94"/>
      <c r="R2441" s="92">
        <f t="shared" si="1433"/>
        <v>0</v>
      </c>
      <c r="S2441" s="92">
        <f t="shared" si="1433"/>
        <v>0</v>
      </c>
      <c r="T2441" s="93">
        <f t="shared" si="1429"/>
        <v>0</v>
      </c>
      <c r="U2441" s="95">
        <f t="shared" si="1425"/>
        <v>0</v>
      </c>
      <c r="V2441" s="94"/>
      <c r="X2441" s="580" t="str">
        <f t="shared" si="1417"/>
        <v/>
      </c>
      <c r="Y2441" s="580" t="str">
        <f t="shared" si="1420"/>
        <v/>
      </c>
      <c r="Z2441" s="580" t="str">
        <f t="shared" si="1422"/>
        <v/>
      </c>
    </row>
    <row r="2442" spans="1:26" hidden="1" x14ac:dyDescent="0.2">
      <c r="A2442" s="97" t="s">
        <v>165</v>
      </c>
      <c r="B2442" s="1031" t="s">
        <v>165</v>
      </c>
      <c r="C2442" s="978"/>
      <c r="D2442" s="595" t="s">
        <v>218</v>
      </c>
      <c r="E2442" s="596"/>
      <c r="F2442" s="671">
        <v>500</v>
      </c>
      <c r="G2442" s="597">
        <f>VLOOKUP(D2441,'ENSAIOS DE ORÇAMENTO'!$C$3:$L$79,4,FALSE)</f>
        <v>0.6411</v>
      </c>
      <c r="H2442" s="682">
        <f>IF(F2442&lt;=30,(0.51*F2442+4.28)*G2442,((0.51*30+4.28)+0.42*(F2442-30))*G2442)</f>
        <v>139.10587800000002</v>
      </c>
      <c r="I2442" s="592"/>
      <c r="J2442" s="592"/>
      <c r="K2442" s="593">
        <f t="shared" si="1419"/>
        <v>0</v>
      </c>
      <c r="L2442" s="594"/>
      <c r="M2442" s="92"/>
      <c r="N2442" s="92"/>
      <c r="O2442" s="93">
        <f t="shared" si="1427"/>
        <v>0</v>
      </c>
      <c r="P2442" s="93">
        <f t="shared" si="1428"/>
        <v>0</v>
      </c>
      <c r="Q2442" s="94"/>
      <c r="R2442" s="92">
        <f t="shared" si="1433"/>
        <v>0</v>
      </c>
      <c r="S2442" s="92">
        <f t="shared" si="1433"/>
        <v>0</v>
      </c>
      <c r="T2442" s="93">
        <f t="shared" si="1429"/>
        <v>0</v>
      </c>
      <c r="U2442" s="95">
        <f t="shared" si="1425"/>
        <v>0</v>
      </c>
      <c r="V2442" s="94"/>
      <c r="W2442" s="96" t="str">
        <f>IF(U2441&gt;0,"xx",IF(P2441&gt;0,"xy",""))</f>
        <v/>
      </c>
      <c r="X2442" s="580" t="str">
        <f t="shared" si="1417"/>
        <v/>
      </c>
      <c r="Y2442" s="580" t="str">
        <f t="shared" si="1420"/>
        <v/>
      </c>
      <c r="Z2442" s="580" t="str">
        <f t="shared" si="1422"/>
        <v/>
      </c>
    </row>
    <row r="2443" spans="1:26" hidden="1" x14ac:dyDescent="0.2">
      <c r="A2443" s="97" t="s">
        <v>165</v>
      </c>
      <c r="B2443" s="1031" t="s">
        <v>165</v>
      </c>
      <c r="C2443" s="978"/>
      <c r="D2443" s="595" t="s">
        <v>257</v>
      </c>
      <c r="E2443" s="596"/>
      <c r="F2443" s="671">
        <v>180</v>
      </c>
      <c r="G2443" s="597">
        <f>VLOOKUP(D2441,'ENSAIOS DE ORÇAMENTO'!$C$3:$L$79,5,FALSE)</f>
        <v>1.8840500000000002</v>
      </c>
      <c r="H2443" s="682">
        <f>IF(F2443=0,0,IF(F2443&lt;=30,(0.7*F2443+1.45)*G2443,((0.7*30+1.45)+0.58*(F2443-30))*G2443))</f>
        <v>206.20927250000003</v>
      </c>
      <c r="I2443" s="592"/>
      <c r="J2443" s="592"/>
      <c r="K2443" s="593">
        <f t="shared" si="1419"/>
        <v>0</v>
      </c>
      <c r="L2443" s="594"/>
      <c r="M2443" s="92"/>
      <c r="N2443" s="92"/>
      <c r="O2443" s="93">
        <f t="shared" si="1427"/>
        <v>0</v>
      </c>
      <c r="P2443" s="93">
        <f t="shared" si="1428"/>
        <v>0</v>
      </c>
      <c r="Q2443" s="94"/>
      <c r="R2443" s="92">
        <f t="shared" si="1433"/>
        <v>0</v>
      </c>
      <c r="S2443" s="92">
        <f t="shared" si="1433"/>
        <v>0</v>
      </c>
      <c r="T2443" s="93">
        <f t="shared" si="1429"/>
        <v>0</v>
      </c>
      <c r="U2443" s="95">
        <f t="shared" si="1425"/>
        <v>0</v>
      </c>
      <c r="V2443" s="94"/>
      <c r="W2443" s="96" t="str">
        <f>IF(U2441&gt;0,"xx",IF(P2441&gt;0,"xy",""))</f>
        <v/>
      </c>
      <c r="X2443" s="580" t="str">
        <f t="shared" ref="X2443:X2506" si="1437">IF(W2443="X","x",IF(W2443="xx","x",IF(W2443="xy","x",IF(W2443="y","x",IF(OR(P2443&gt;0,U2443&gt;0),"x","")))))</f>
        <v/>
      </c>
      <c r="Y2443" s="580" t="str">
        <f t="shared" si="1420"/>
        <v/>
      </c>
      <c r="Z2443" s="580" t="str">
        <f t="shared" si="1422"/>
        <v/>
      </c>
    </row>
    <row r="2444" spans="1:26" hidden="1" x14ac:dyDescent="0.2">
      <c r="A2444" s="97" t="s">
        <v>165</v>
      </c>
      <c r="B2444" s="1031" t="s">
        <v>165</v>
      </c>
      <c r="C2444" s="978"/>
      <c r="D2444" s="595" t="s">
        <v>261</v>
      </c>
      <c r="E2444" s="596"/>
      <c r="F2444" s="671">
        <v>20</v>
      </c>
      <c r="G2444" s="597">
        <f>VLOOKUP(D2441,'ENSAIOS DE ORÇAMENTO'!$C$3:$L$79,6,FALSE)</f>
        <v>2.2422</v>
      </c>
      <c r="H2444" s="682">
        <f>IF(F2444=0,0,IF(F2444&lt;=30,(0.7*F2444+1.45)*G2444,((0.7*30+1.45)+0.58*(F2444-30))*G2444))</f>
        <v>34.64199</v>
      </c>
      <c r="I2444" s="592"/>
      <c r="J2444" s="592"/>
      <c r="K2444" s="593">
        <f t="shared" si="1419"/>
        <v>0</v>
      </c>
      <c r="L2444" s="594"/>
      <c r="M2444" s="92"/>
      <c r="N2444" s="92"/>
      <c r="O2444" s="93">
        <f t="shared" si="1427"/>
        <v>0</v>
      </c>
      <c r="P2444" s="93">
        <f t="shared" si="1428"/>
        <v>0</v>
      </c>
      <c r="Q2444" s="94"/>
      <c r="R2444" s="92">
        <f t="shared" si="1433"/>
        <v>0</v>
      </c>
      <c r="S2444" s="92">
        <f t="shared" si="1433"/>
        <v>0</v>
      </c>
      <c r="T2444" s="93">
        <f t="shared" si="1429"/>
        <v>0</v>
      </c>
      <c r="U2444" s="95">
        <f t="shared" si="1425"/>
        <v>0</v>
      </c>
      <c r="V2444" s="94"/>
      <c r="W2444" s="96" t="str">
        <f>IF(U2441&gt;0,"xx",IF(P2441&gt;0,"xy",""))</f>
        <v/>
      </c>
      <c r="X2444" s="580" t="str">
        <f t="shared" si="1437"/>
        <v/>
      </c>
      <c r="Y2444" s="580" t="str">
        <f t="shared" si="1420"/>
        <v/>
      </c>
      <c r="Z2444" s="580" t="str">
        <f t="shared" si="1422"/>
        <v/>
      </c>
    </row>
    <row r="2445" spans="1:26" hidden="1" x14ac:dyDescent="0.2">
      <c r="A2445" s="97" t="s">
        <v>165</v>
      </c>
      <c r="B2445" s="1031" t="s">
        <v>165</v>
      </c>
      <c r="C2445" s="978"/>
      <c r="D2445" s="595" t="s">
        <v>419</v>
      </c>
      <c r="E2445" s="596"/>
      <c r="F2445" s="671">
        <v>30</v>
      </c>
      <c r="G2445" s="597">
        <f>VLOOKUP(D2441,'ENSAIOS DE ORÇAMENTO'!$C$3:$L$79,3,FALSE)</f>
        <v>0</v>
      </c>
      <c r="H2445" s="682">
        <f>IF(F2445=0,0,IF(F2445&lt;=30,(0.7*F2445+1.45)*G2445,((0.7*30+1.45)+0.58*(F2445-30))*G2445))</f>
        <v>0</v>
      </c>
      <c r="I2445" s="592"/>
      <c r="J2445" s="592"/>
      <c r="K2445" s="593">
        <f t="shared" ref="K2445:K2508" si="1438">IF(ISBLANK(I2445),0,ROUND(J2445*(1+$F$10)*(1+$F$11*E2445),2))</f>
        <v>0</v>
      </c>
      <c r="L2445" s="594"/>
      <c r="M2445" s="92"/>
      <c r="N2445" s="92"/>
      <c r="O2445" s="93">
        <f t="shared" si="1427"/>
        <v>0</v>
      </c>
      <c r="P2445" s="93">
        <f t="shared" si="1428"/>
        <v>0</v>
      </c>
      <c r="Q2445" s="94"/>
      <c r="R2445" s="92">
        <f t="shared" si="1433"/>
        <v>0</v>
      </c>
      <c r="S2445" s="92">
        <f t="shared" si="1433"/>
        <v>0</v>
      </c>
      <c r="T2445" s="93">
        <f t="shared" si="1429"/>
        <v>0</v>
      </c>
      <c r="U2445" s="95">
        <f t="shared" si="1425"/>
        <v>0</v>
      </c>
      <c r="V2445" s="94"/>
      <c r="W2445" s="96" t="str">
        <f>IF(U2441&gt;0,"xx",IF(P2441&gt;0,"xy",""))</f>
        <v/>
      </c>
      <c r="X2445" s="580" t="str">
        <f t="shared" si="1437"/>
        <v/>
      </c>
      <c r="Y2445" s="580" t="str">
        <f t="shared" si="1420"/>
        <v/>
      </c>
      <c r="Z2445" s="580" t="str">
        <f t="shared" si="1422"/>
        <v/>
      </c>
    </row>
    <row r="2446" spans="1:26" hidden="1" x14ac:dyDescent="0.2">
      <c r="A2446" s="97" t="s">
        <v>165</v>
      </c>
      <c r="B2446" s="1031" t="s">
        <v>165</v>
      </c>
      <c r="C2446" s="978"/>
      <c r="D2446" s="595" t="s">
        <v>420</v>
      </c>
      <c r="E2446" s="596"/>
      <c r="F2446" s="671">
        <v>500</v>
      </c>
      <c r="G2446" s="597">
        <f>VLOOKUP(D2441,'ENSAIOS DE ORÇAMENTO'!$C$3:$L$79,10,FALSE)</f>
        <v>0</v>
      </c>
      <c r="H2446" s="682">
        <f>IF(F2446=0,0,IF(F2446&lt;=30,(0.7*F2446+1.45)*G2446,((0.7*30+1.45)+0.58*(F2446-30))*G2446))</f>
        <v>0</v>
      </c>
      <c r="I2446" s="592"/>
      <c r="J2446" s="592"/>
      <c r="K2446" s="593">
        <f t="shared" si="1438"/>
        <v>0</v>
      </c>
      <c r="L2446" s="594"/>
      <c r="M2446" s="92"/>
      <c r="N2446" s="92"/>
      <c r="O2446" s="93">
        <f t="shared" si="1427"/>
        <v>0</v>
      </c>
      <c r="P2446" s="93">
        <f t="shared" si="1428"/>
        <v>0</v>
      </c>
      <c r="Q2446" s="94"/>
      <c r="R2446" s="92">
        <f t="shared" si="1433"/>
        <v>0</v>
      </c>
      <c r="S2446" s="92">
        <f t="shared" si="1433"/>
        <v>0</v>
      </c>
      <c r="T2446" s="93">
        <f t="shared" si="1429"/>
        <v>0</v>
      </c>
      <c r="U2446" s="95">
        <f t="shared" si="1425"/>
        <v>0</v>
      </c>
      <c r="V2446" s="94"/>
      <c r="W2446" s="96" t="str">
        <f>IF(U2441&gt;0,"xx",IF(P2441&gt;0,"xy",""))</f>
        <v/>
      </c>
      <c r="X2446" s="580" t="str">
        <f t="shared" si="1437"/>
        <v/>
      </c>
      <c r="Y2446" s="580" t="str">
        <f t="shared" si="1420"/>
        <v/>
      </c>
      <c r="Z2446" s="580" t="str">
        <f t="shared" si="1422"/>
        <v/>
      </c>
    </row>
    <row r="2447" spans="1:26" hidden="1" x14ac:dyDescent="0.2">
      <c r="A2447" s="97" t="s">
        <v>141</v>
      </c>
      <c r="B2447" s="1031" t="s">
        <v>141</v>
      </c>
      <c r="C2447" s="978" t="s">
        <v>212</v>
      </c>
      <c r="D2447" s="595" t="s">
        <v>156</v>
      </c>
      <c r="E2447" s="596"/>
      <c r="F2447" s="671"/>
      <c r="G2447" s="597"/>
      <c r="H2447" s="682">
        <f>SUM(H2448:H2452)</f>
        <v>476.45643289999998</v>
      </c>
      <c r="I2447" s="592">
        <f>VLOOKUP(D2447,'ENSAIOS DE ORÇAMENTO'!$C$3:$L$79,8,FALSE)</f>
        <v>5696.1854399999984</v>
      </c>
      <c r="J2447" s="592">
        <f t="shared" ref="J2447" si="1439">IF(ISBLANK(I2447),"",SUM(H2447:I2447))</f>
        <v>6172.6418728999979</v>
      </c>
      <c r="K2447" s="593">
        <f t="shared" si="1438"/>
        <v>7512.72</v>
      </c>
      <c r="L2447" s="594" t="s">
        <v>21</v>
      </c>
      <c r="M2447" s="92"/>
      <c r="N2447" s="92"/>
      <c r="O2447" s="93">
        <f t="shared" si="1427"/>
        <v>0</v>
      </c>
      <c r="P2447" s="93">
        <f t="shared" si="1428"/>
        <v>0</v>
      </c>
      <c r="Q2447" s="94"/>
      <c r="R2447" s="92">
        <f t="shared" si="1433"/>
        <v>0</v>
      </c>
      <c r="S2447" s="92">
        <f t="shared" si="1433"/>
        <v>0</v>
      </c>
      <c r="T2447" s="93">
        <f t="shared" si="1429"/>
        <v>0</v>
      </c>
      <c r="U2447" s="95">
        <f t="shared" si="1425"/>
        <v>0</v>
      </c>
      <c r="V2447" s="94"/>
      <c r="X2447" s="580" t="str">
        <f t="shared" si="1437"/>
        <v/>
      </c>
      <c r="Y2447" s="580" t="str">
        <f t="shared" si="1420"/>
        <v/>
      </c>
      <c r="Z2447" s="580" t="str">
        <f t="shared" si="1422"/>
        <v/>
      </c>
    </row>
    <row r="2448" spans="1:26" hidden="1" x14ac:dyDescent="0.2">
      <c r="A2448" s="97" t="s">
        <v>165</v>
      </c>
      <c r="B2448" s="1031" t="s">
        <v>165</v>
      </c>
      <c r="C2448" s="978"/>
      <c r="D2448" s="595" t="s">
        <v>218</v>
      </c>
      <c r="E2448" s="596"/>
      <c r="F2448" s="671">
        <v>500</v>
      </c>
      <c r="G2448" s="597">
        <f>VLOOKUP(D2447,'ENSAIOS DE ORÇAMENTO'!$C$3:$L$79,4,FALSE)</f>
        <v>0.80657999999999996</v>
      </c>
      <c r="H2448" s="682">
        <f>IF(F2448&lt;=30,(0.51*F2448+4.28)*G2448,((0.51*30+4.28)+0.42*(F2448-30))*G2448)</f>
        <v>175.01172840000001</v>
      </c>
      <c r="I2448" s="592"/>
      <c r="J2448" s="592"/>
      <c r="K2448" s="593">
        <f t="shared" si="1438"/>
        <v>0</v>
      </c>
      <c r="L2448" s="594"/>
      <c r="M2448" s="92"/>
      <c r="N2448" s="92"/>
      <c r="O2448" s="93">
        <f t="shared" si="1427"/>
        <v>0</v>
      </c>
      <c r="P2448" s="93">
        <f t="shared" si="1428"/>
        <v>0</v>
      </c>
      <c r="Q2448" s="94"/>
      <c r="R2448" s="92">
        <f t="shared" si="1433"/>
        <v>0</v>
      </c>
      <c r="S2448" s="92">
        <f t="shared" si="1433"/>
        <v>0</v>
      </c>
      <c r="T2448" s="93">
        <f t="shared" si="1429"/>
        <v>0</v>
      </c>
      <c r="U2448" s="95">
        <f t="shared" si="1425"/>
        <v>0</v>
      </c>
      <c r="V2448" s="94"/>
      <c r="W2448" s="96" t="str">
        <f>IF(U2447&gt;0,"xx",IF(P2447&gt;0,"xy",""))</f>
        <v/>
      </c>
      <c r="X2448" s="580" t="str">
        <f t="shared" si="1437"/>
        <v/>
      </c>
      <c r="Y2448" s="580" t="str">
        <f t="shared" si="1420"/>
        <v/>
      </c>
      <c r="Z2448" s="580" t="str">
        <f t="shared" si="1422"/>
        <v/>
      </c>
    </row>
    <row r="2449" spans="1:26" hidden="1" x14ac:dyDescent="0.2">
      <c r="A2449" s="97" t="s">
        <v>165</v>
      </c>
      <c r="B2449" s="1031" t="s">
        <v>165</v>
      </c>
      <c r="C2449" s="978"/>
      <c r="D2449" s="595" t="s">
        <v>257</v>
      </c>
      <c r="E2449" s="596"/>
      <c r="F2449" s="671">
        <v>180</v>
      </c>
      <c r="G2449" s="597">
        <f>VLOOKUP(D2447,'ENSAIOS DE ORÇAMENTO'!$C$3:$L$79,5,FALSE)</f>
        <v>2.3575999999999997</v>
      </c>
      <c r="H2449" s="682">
        <f>IF(F2449=0,0,IF(F2449&lt;=30,(0.7*F2449+1.45)*G2449,((0.7*30+1.45)+0.58*(F2449-30))*G2449))</f>
        <v>258.03931999999998</v>
      </c>
      <c r="I2449" s="592"/>
      <c r="J2449" s="592"/>
      <c r="K2449" s="593">
        <f t="shared" si="1438"/>
        <v>0</v>
      </c>
      <c r="L2449" s="594"/>
      <c r="M2449" s="92"/>
      <c r="N2449" s="92"/>
      <c r="O2449" s="93">
        <f t="shared" si="1427"/>
        <v>0</v>
      </c>
      <c r="P2449" s="93">
        <f t="shared" si="1428"/>
        <v>0</v>
      </c>
      <c r="Q2449" s="94"/>
      <c r="R2449" s="92">
        <f t="shared" si="1433"/>
        <v>0</v>
      </c>
      <c r="S2449" s="92">
        <f t="shared" si="1433"/>
        <v>0</v>
      </c>
      <c r="T2449" s="93">
        <f t="shared" si="1429"/>
        <v>0</v>
      </c>
      <c r="U2449" s="95">
        <f t="shared" si="1425"/>
        <v>0</v>
      </c>
      <c r="V2449" s="94"/>
      <c r="W2449" s="96" t="str">
        <f>IF(U2447&gt;0,"xx",IF(P2447&gt;0,"xy",""))</f>
        <v/>
      </c>
      <c r="X2449" s="580" t="str">
        <f t="shared" si="1437"/>
        <v/>
      </c>
      <c r="Y2449" s="580" t="str">
        <f t="shared" ref="Y2449:Y2512" si="1440">IF(W2449="X","x",IF(W2449="y","x",IF(W2449="xx","x",IF(U2449&gt;0,"x",""))))</f>
        <v/>
      </c>
      <c r="Z2449" s="580" t="str">
        <f t="shared" si="1422"/>
        <v/>
      </c>
    </row>
    <row r="2450" spans="1:26" hidden="1" x14ac:dyDescent="0.2">
      <c r="A2450" s="97" t="s">
        <v>165</v>
      </c>
      <c r="B2450" s="1031" t="s">
        <v>165</v>
      </c>
      <c r="C2450" s="978"/>
      <c r="D2450" s="595" t="s">
        <v>261</v>
      </c>
      <c r="E2450" s="596"/>
      <c r="F2450" s="671">
        <v>20</v>
      </c>
      <c r="G2450" s="597">
        <f>VLOOKUP(D2447,'ENSAIOS DE ORÇAMENTO'!$C$3:$L$79,6,FALSE)</f>
        <v>2.8094099999999997</v>
      </c>
      <c r="H2450" s="682">
        <f>IF(F2450=0,0,IF(F2450&lt;=30,(0.7*F2450+1.45)*G2450,((0.7*30+1.45)+0.58*(F2450-30))*G2450))</f>
        <v>43.405384499999997</v>
      </c>
      <c r="I2450" s="592"/>
      <c r="J2450" s="592"/>
      <c r="K2450" s="593">
        <f t="shared" si="1438"/>
        <v>0</v>
      </c>
      <c r="L2450" s="594"/>
      <c r="M2450" s="92"/>
      <c r="N2450" s="92"/>
      <c r="O2450" s="93">
        <f t="shared" si="1427"/>
        <v>0</v>
      </c>
      <c r="P2450" s="93">
        <f t="shared" si="1428"/>
        <v>0</v>
      </c>
      <c r="Q2450" s="94"/>
      <c r="R2450" s="92">
        <f t="shared" si="1433"/>
        <v>0</v>
      </c>
      <c r="S2450" s="92">
        <f t="shared" si="1433"/>
        <v>0</v>
      </c>
      <c r="T2450" s="93">
        <f t="shared" si="1429"/>
        <v>0</v>
      </c>
      <c r="U2450" s="95">
        <f t="shared" si="1425"/>
        <v>0</v>
      </c>
      <c r="V2450" s="94"/>
      <c r="W2450" s="96" t="str">
        <f>IF(U2447&gt;0,"xx",IF(P2447&gt;0,"xy",""))</f>
        <v/>
      </c>
      <c r="X2450" s="580" t="str">
        <f t="shared" si="1437"/>
        <v/>
      </c>
      <c r="Y2450" s="580" t="str">
        <f t="shared" si="1440"/>
        <v/>
      </c>
      <c r="Z2450" s="580" t="str">
        <f t="shared" si="1422"/>
        <v/>
      </c>
    </row>
    <row r="2451" spans="1:26" hidden="1" x14ac:dyDescent="0.2">
      <c r="A2451" s="97" t="s">
        <v>165</v>
      </c>
      <c r="B2451" s="1031" t="s">
        <v>165</v>
      </c>
      <c r="C2451" s="978"/>
      <c r="D2451" s="595" t="s">
        <v>419</v>
      </c>
      <c r="E2451" s="596"/>
      <c r="F2451" s="671">
        <v>30</v>
      </c>
      <c r="G2451" s="597">
        <f>VLOOKUP(D2447,'ENSAIOS DE ORÇAMENTO'!$C$3:$L$79,3,FALSE)</f>
        <v>0</v>
      </c>
      <c r="H2451" s="682">
        <f>IF(F2451=0,0,IF(F2451&lt;=30,(0.7*F2451+1.45)*G2451,((0.7*30+1.45)+0.58*(F2451-30))*G2451))</f>
        <v>0</v>
      </c>
      <c r="I2451" s="592"/>
      <c r="J2451" s="592"/>
      <c r="K2451" s="593">
        <f t="shared" si="1438"/>
        <v>0</v>
      </c>
      <c r="L2451" s="594"/>
      <c r="M2451" s="92"/>
      <c r="N2451" s="92"/>
      <c r="O2451" s="93">
        <f t="shared" si="1427"/>
        <v>0</v>
      </c>
      <c r="P2451" s="93">
        <f t="shared" si="1428"/>
        <v>0</v>
      </c>
      <c r="Q2451" s="94"/>
      <c r="R2451" s="92">
        <f t="shared" si="1433"/>
        <v>0</v>
      </c>
      <c r="S2451" s="92">
        <f t="shared" si="1433"/>
        <v>0</v>
      </c>
      <c r="T2451" s="93">
        <f t="shared" si="1429"/>
        <v>0</v>
      </c>
      <c r="U2451" s="95">
        <f t="shared" si="1425"/>
        <v>0</v>
      </c>
      <c r="V2451" s="94"/>
      <c r="W2451" s="96" t="str">
        <f>IF(U2447&gt;0,"xx",IF(P2447&gt;0,"xy",""))</f>
        <v/>
      </c>
      <c r="X2451" s="580" t="str">
        <f t="shared" si="1437"/>
        <v/>
      </c>
      <c r="Y2451" s="580" t="str">
        <f t="shared" si="1440"/>
        <v/>
      </c>
      <c r="Z2451" s="580" t="str">
        <f t="shared" si="1422"/>
        <v/>
      </c>
    </row>
    <row r="2452" spans="1:26" hidden="1" x14ac:dyDescent="0.2">
      <c r="A2452" s="97" t="s">
        <v>165</v>
      </c>
      <c r="B2452" s="1031" t="s">
        <v>165</v>
      </c>
      <c r="C2452" s="978"/>
      <c r="D2452" s="595" t="s">
        <v>420</v>
      </c>
      <c r="E2452" s="596"/>
      <c r="F2452" s="671">
        <v>500</v>
      </c>
      <c r="G2452" s="597">
        <f>VLOOKUP(D2447,'ENSAIOS DE ORÇAMENTO'!$C$3:$L$79,10,FALSE)</f>
        <v>0</v>
      </c>
      <c r="H2452" s="682">
        <f>IF(F2452=0,0,IF(F2452&lt;=30,(0.7*F2452+1.45)*G2452,((0.7*30+1.45)+0.58*(F2452-30))*G2452))</f>
        <v>0</v>
      </c>
      <c r="I2452" s="592"/>
      <c r="J2452" s="592"/>
      <c r="K2452" s="593">
        <f t="shared" si="1438"/>
        <v>0</v>
      </c>
      <c r="L2452" s="594"/>
      <c r="M2452" s="92"/>
      <c r="N2452" s="92"/>
      <c r="O2452" s="93">
        <f t="shared" si="1427"/>
        <v>0</v>
      </c>
      <c r="P2452" s="93">
        <f t="shared" si="1428"/>
        <v>0</v>
      </c>
      <c r="Q2452" s="94"/>
      <c r="R2452" s="92">
        <f t="shared" si="1433"/>
        <v>0</v>
      </c>
      <c r="S2452" s="92">
        <f t="shared" si="1433"/>
        <v>0</v>
      </c>
      <c r="T2452" s="93">
        <f t="shared" si="1429"/>
        <v>0</v>
      </c>
      <c r="U2452" s="95">
        <f t="shared" si="1425"/>
        <v>0</v>
      </c>
      <c r="V2452" s="94"/>
      <c r="W2452" s="96" t="str">
        <f>IF(U2447&gt;0,"xx",IF(P2447&gt;0,"xy",""))</f>
        <v/>
      </c>
      <c r="X2452" s="580" t="str">
        <f t="shared" si="1437"/>
        <v/>
      </c>
      <c r="Y2452" s="580" t="str">
        <f t="shared" si="1440"/>
        <v/>
      </c>
      <c r="Z2452" s="580" t="str">
        <f t="shared" si="1422"/>
        <v/>
      </c>
    </row>
    <row r="2453" spans="1:26" hidden="1" x14ac:dyDescent="0.2">
      <c r="A2453" s="97" t="s">
        <v>48</v>
      </c>
      <c r="B2453" s="1031" t="s">
        <v>48</v>
      </c>
      <c r="C2453" s="978" t="s">
        <v>212</v>
      </c>
      <c r="D2453" s="595" t="s">
        <v>157</v>
      </c>
      <c r="E2453" s="596"/>
      <c r="F2453" s="671"/>
      <c r="G2453" s="597"/>
      <c r="H2453" s="682">
        <f>SUM(H2454:H2458)</f>
        <v>530.675269985</v>
      </c>
      <c r="I2453" s="592">
        <f>VLOOKUP(D2453,'ENSAIOS DE ORÇAMENTO'!$C$3:$L$79,8,FALSE)</f>
        <v>6242.2876447777762</v>
      </c>
      <c r="J2453" s="592">
        <f t="shared" ref="J2453" si="1441">IF(ISBLANK(I2453),"",SUM(H2453:I2453))</f>
        <v>6772.9629147627766</v>
      </c>
      <c r="K2453" s="593">
        <f t="shared" si="1438"/>
        <v>8243.3700000000008</v>
      </c>
      <c r="L2453" s="594" t="s">
        <v>21</v>
      </c>
      <c r="M2453" s="92"/>
      <c r="N2453" s="92"/>
      <c r="O2453" s="93">
        <f t="shared" si="1427"/>
        <v>0</v>
      </c>
      <c r="P2453" s="93">
        <f t="shared" si="1428"/>
        <v>0</v>
      </c>
      <c r="Q2453" s="94"/>
      <c r="R2453" s="92">
        <f t="shared" si="1433"/>
        <v>0</v>
      </c>
      <c r="S2453" s="92">
        <f t="shared" si="1433"/>
        <v>0</v>
      </c>
      <c r="T2453" s="93">
        <f t="shared" si="1429"/>
        <v>0</v>
      </c>
      <c r="U2453" s="95">
        <f t="shared" si="1425"/>
        <v>0</v>
      </c>
      <c r="V2453" s="94"/>
      <c r="X2453" s="580" t="str">
        <f t="shared" si="1437"/>
        <v/>
      </c>
      <c r="Y2453" s="580" t="str">
        <f t="shared" si="1440"/>
        <v/>
      </c>
      <c r="Z2453" s="580" t="str">
        <f t="shared" si="1422"/>
        <v/>
      </c>
    </row>
    <row r="2454" spans="1:26" hidden="1" x14ac:dyDescent="0.2">
      <c r="A2454" s="97" t="s">
        <v>165</v>
      </c>
      <c r="B2454" s="1031" t="s">
        <v>165</v>
      </c>
      <c r="C2454" s="978"/>
      <c r="D2454" s="595" t="s">
        <v>218</v>
      </c>
      <c r="E2454" s="596"/>
      <c r="F2454" s="671">
        <v>500</v>
      </c>
      <c r="G2454" s="597">
        <f>VLOOKUP(D2453,'ENSAIOS DE ORÇAMENTO'!$C$3:$L$79,4,FALSE)</f>
        <v>0.89753699999999992</v>
      </c>
      <c r="H2454" s="682">
        <f>IF(F2454&lt;=30,(0.51*F2454+4.28)*G2454,((0.51*30+4.28)+0.42*(F2454-30))*G2454)</f>
        <v>194.74757826000001</v>
      </c>
      <c r="I2454" s="592"/>
      <c r="J2454" s="592"/>
      <c r="K2454" s="593">
        <f t="shared" si="1438"/>
        <v>0</v>
      </c>
      <c r="L2454" s="594"/>
      <c r="M2454" s="92"/>
      <c r="N2454" s="92"/>
      <c r="O2454" s="93">
        <f t="shared" si="1427"/>
        <v>0</v>
      </c>
      <c r="P2454" s="93">
        <f t="shared" si="1428"/>
        <v>0</v>
      </c>
      <c r="Q2454" s="94"/>
      <c r="R2454" s="92">
        <f t="shared" si="1433"/>
        <v>0</v>
      </c>
      <c r="S2454" s="92">
        <f t="shared" si="1433"/>
        <v>0</v>
      </c>
      <c r="T2454" s="93">
        <f t="shared" si="1429"/>
        <v>0</v>
      </c>
      <c r="U2454" s="95">
        <f t="shared" si="1425"/>
        <v>0</v>
      </c>
      <c r="V2454" s="94"/>
      <c r="W2454" s="96" t="str">
        <f>IF(U2453&gt;0,"xx",IF(P2453&gt;0,"xy",""))</f>
        <v/>
      </c>
      <c r="X2454" s="580" t="str">
        <f t="shared" si="1437"/>
        <v/>
      </c>
      <c r="Y2454" s="580" t="str">
        <f t="shared" si="1440"/>
        <v/>
      </c>
      <c r="Z2454" s="580" t="str">
        <f t="shared" si="1422"/>
        <v/>
      </c>
    </row>
    <row r="2455" spans="1:26" hidden="1" x14ac:dyDescent="0.2">
      <c r="A2455" s="97" t="s">
        <v>165</v>
      </c>
      <c r="B2455" s="1031" t="s">
        <v>165</v>
      </c>
      <c r="C2455" s="978"/>
      <c r="D2455" s="595" t="s">
        <v>257</v>
      </c>
      <c r="E2455" s="596"/>
      <c r="F2455" s="671">
        <v>180</v>
      </c>
      <c r="G2455" s="597">
        <f>VLOOKUP(D2453,'ENSAIOS DE ORÇAMENTO'!$C$3:$L$79,5,FALSE)</f>
        <v>2.6274289999999998</v>
      </c>
      <c r="H2455" s="682">
        <f>IF(F2455=0,0,IF(F2455&lt;=30,(0.7*F2455+1.45)*G2455,((0.7*30+1.45)+0.58*(F2455-30))*G2455))</f>
        <v>287.57210405000001</v>
      </c>
      <c r="I2455" s="592"/>
      <c r="J2455" s="592"/>
      <c r="K2455" s="593">
        <f t="shared" si="1438"/>
        <v>0</v>
      </c>
      <c r="L2455" s="594"/>
      <c r="M2455" s="92"/>
      <c r="N2455" s="92"/>
      <c r="O2455" s="93">
        <f t="shared" si="1427"/>
        <v>0</v>
      </c>
      <c r="P2455" s="93">
        <f t="shared" si="1428"/>
        <v>0</v>
      </c>
      <c r="Q2455" s="94"/>
      <c r="R2455" s="92">
        <f t="shared" si="1433"/>
        <v>0</v>
      </c>
      <c r="S2455" s="92">
        <f t="shared" si="1433"/>
        <v>0</v>
      </c>
      <c r="T2455" s="93">
        <f t="shared" si="1429"/>
        <v>0</v>
      </c>
      <c r="U2455" s="95">
        <f t="shared" si="1425"/>
        <v>0</v>
      </c>
      <c r="V2455" s="94"/>
      <c r="W2455" s="96" t="str">
        <f>IF(U2453&gt;0,"xx",IF(P2453&gt;0,"xy",""))</f>
        <v/>
      </c>
      <c r="X2455" s="580" t="str">
        <f t="shared" si="1437"/>
        <v/>
      </c>
      <c r="Y2455" s="580" t="str">
        <f t="shared" si="1440"/>
        <v/>
      </c>
      <c r="Z2455" s="580" t="str">
        <f t="shared" ref="Z2455:Z2518" si="1442">IF(W2455="X","x",IF(U2455&gt;0,"x",""))</f>
        <v/>
      </c>
    </row>
    <row r="2456" spans="1:26" hidden="1" x14ac:dyDescent="0.2">
      <c r="A2456" s="97" t="s">
        <v>165</v>
      </c>
      <c r="B2456" s="1031" t="s">
        <v>165</v>
      </c>
      <c r="C2456" s="978"/>
      <c r="D2456" s="595" t="s">
        <v>261</v>
      </c>
      <c r="E2456" s="596"/>
      <c r="F2456" s="671">
        <v>20</v>
      </c>
      <c r="G2456" s="597">
        <f>VLOOKUP(D2453,'ENSAIOS DE ORÇAMENTO'!$C$3:$L$79,6,FALSE)</f>
        <v>3.1298114999999997</v>
      </c>
      <c r="H2456" s="682">
        <f>IF(F2456=0,0,IF(F2456&lt;=30,(0.7*F2456+1.45)*G2456,((0.7*30+1.45)+0.58*(F2456-30))*G2456))</f>
        <v>48.355587674999995</v>
      </c>
      <c r="I2456" s="592"/>
      <c r="J2456" s="592"/>
      <c r="K2456" s="593">
        <f t="shared" si="1438"/>
        <v>0</v>
      </c>
      <c r="L2456" s="594"/>
      <c r="M2456" s="92"/>
      <c r="N2456" s="92"/>
      <c r="O2456" s="93">
        <f t="shared" si="1427"/>
        <v>0</v>
      </c>
      <c r="P2456" s="93">
        <f t="shared" si="1428"/>
        <v>0</v>
      </c>
      <c r="Q2456" s="94"/>
      <c r="R2456" s="92">
        <f t="shared" si="1433"/>
        <v>0</v>
      </c>
      <c r="S2456" s="92">
        <f t="shared" si="1433"/>
        <v>0</v>
      </c>
      <c r="T2456" s="93">
        <f t="shared" si="1429"/>
        <v>0</v>
      </c>
      <c r="U2456" s="95">
        <f t="shared" si="1425"/>
        <v>0</v>
      </c>
      <c r="V2456" s="94"/>
      <c r="W2456" s="96" t="str">
        <f>IF(U2453&gt;0,"xx",IF(P2453&gt;0,"xy",""))</f>
        <v/>
      </c>
      <c r="X2456" s="580" t="str">
        <f t="shared" si="1437"/>
        <v/>
      </c>
      <c r="Y2456" s="580" t="str">
        <f t="shared" si="1440"/>
        <v/>
      </c>
      <c r="Z2456" s="580" t="str">
        <f t="shared" si="1442"/>
        <v/>
      </c>
    </row>
    <row r="2457" spans="1:26" hidden="1" x14ac:dyDescent="0.2">
      <c r="A2457" s="97" t="s">
        <v>165</v>
      </c>
      <c r="B2457" s="1031" t="s">
        <v>165</v>
      </c>
      <c r="C2457" s="978"/>
      <c r="D2457" s="595" t="s">
        <v>419</v>
      </c>
      <c r="E2457" s="596"/>
      <c r="F2457" s="671">
        <v>30</v>
      </c>
      <c r="G2457" s="597">
        <f>VLOOKUP(D2453,'ENSAIOS DE ORÇAMENTO'!$C$3:$L$79,3,FALSE)</f>
        <v>0</v>
      </c>
      <c r="H2457" s="682">
        <f>IF(F2457=0,0,IF(F2457&lt;=30,(0.7*F2457+1.45)*G2457,((0.7*30+1.45)+0.58*(F2457-30))*G2457))</f>
        <v>0</v>
      </c>
      <c r="I2457" s="592"/>
      <c r="J2457" s="592"/>
      <c r="K2457" s="593">
        <f t="shared" si="1438"/>
        <v>0</v>
      </c>
      <c r="L2457" s="594"/>
      <c r="M2457" s="92"/>
      <c r="N2457" s="92"/>
      <c r="O2457" s="93">
        <f t="shared" si="1427"/>
        <v>0</v>
      </c>
      <c r="P2457" s="93">
        <f t="shared" si="1428"/>
        <v>0</v>
      </c>
      <c r="Q2457" s="94"/>
      <c r="R2457" s="92">
        <f t="shared" si="1433"/>
        <v>0</v>
      </c>
      <c r="S2457" s="92">
        <f t="shared" si="1433"/>
        <v>0</v>
      </c>
      <c r="T2457" s="93">
        <f t="shared" si="1429"/>
        <v>0</v>
      </c>
      <c r="U2457" s="95">
        <f t="shared" si="1425"/>
        <v>0</v>
      </c>
      <c r="V2457" s="94"/>
      <c r="W2457" s="96" t="str">
        <f>IF(U2453&gt;0,"xx",IF(P2453&gt;0,"xy",""))</f>
        <v/>
      </c>
      <c r="X2457" s="580" t="str">
        <f t="shared" si="1437"/>
        <v/>
      </c>
      <c r="Y2457" s="580" t="str">
        <f t="shared" si="1440"/>
        <v/>
      </c>
      <c r="Z2457" s="580" t="str">
        <f t="shared" si="1442"/>
        <v/>
      </c>
    </row>
    <row r="2458" spans="1:26" hidden="1" x14ac:dyDescent="0.2">
      <c r="A2458" s="97" t="s">
        <v>165</v>
      </c>
      <c r="B2458" s="1031" t="s">
        <v>165</v>
      </c>
      <c r="C2458" s="978"/>
      <c r="D2458" s="595" t="s">
        <v>420</v>
      </c>
      <c r="E2458" s="596"/>
      <c r="F2458" s="671">
        <v>500</v>
      </c>
      <c r="G2458" s="597">
        <f>VLOOKUP(D2453,'ENSAIOS DE ORÇAMENTO'!$C$3:$L$79,10,FALSE)</f>
        <v>0</v>
      </c>
      <c r="H2458" s="682">
        <f>IF(F2458=0,0,IF(F2458&lt;=30,(0.7*F2458+1.45)*G2458,((0.7*30+1.45)+0.58*(F2458-30))*G2458))</f>
        <v>0</v>
      </c>
      <c r="I2458" s="592"/>
      <c r="J2458" s="592"/>
      <c r="K2458" s="593">
        <f t="shared" si="1438"/>
        <v>0</v>
      </c>
      <c r="L2458" s="594"/>
      <c r="M2458" s="92"/>
      <c r="N2458" s="92"/>
      <c r="O2458" s="93">
        <f t="shared" si="1427"/>
        <v>0</v>
      </c>
      <c r="P2458" s="93">
        <f t="shared" si="1428"/>
        <v>0</v>
      </c>
      <c r="Q2458" s="94"/>
      <c r="R2458" s="92">
        <f t="shared" si="1433"/>
        <v>0</v>
      </c>
      <c r="S2458" s="92">
        <f t="shared" si="1433"/>
        <v>0</v>
      </c>
      <c r="T2458" s="93">
        <f t="shared" si="1429"/>
        <v>0</v>
      </c>
      <c r="U2458" s="95">
        <f t="shared" si="1425"/>
        <v>0</v>
      </c>
      <c r="V2458" s="94"/>
      <c r="W2458" s="96" t="str">
        <f>IF(U2453&gt;0,"xx",IF(P2453&gt;0,"xy",""))</f>
        <v/>
      </c>
      <c r="X2458" s="580" t="str">
        <f t="shared" si="1437"/>
        <v/>
      </c>
      <c r="Y2458" s="580" t="str">
        <f t="shared" si="1440"/>
        <v/>
      </c>
      <c r="Z2458" s="580" t="str">
        <f t="shared" si="1442"/>
        <v/>
      </c>
    </row>
    <row r="2459" spans="1:26" hidden="1" x14ac:dyDescent="0.2">
      <c r="A2459" s="97" t="s">
        <v>49</v>
      </c>
      <c r="B2459" s="1031" t="s">
        <v>49</v>
      </c>
      <c r="C2459" s="978" t="s">
        <v>212</v>
      </c>
      <c r="D2459" s="595" t="s">
        <v>158</v>
      </c>
      <c r="E2459" s="596"/>
      <c r="F2459" s="671"/>
      <c r="G2459" s="597"/>
      <c r="H2459" s="682">
        <f>SUM(H2460:H2464)</f>
        <v>659.56121148274997</v>
      </c>
      <c r="I2459" s="592">
        <f>VLOOKUP(D2459,'ENSAIOS DE ORÇAMENTO'!$C$3:$L$79,8,FALSE)</f>
        <v>7594.3781092722211</v>
      </c>
      <c r="J2459" s="592">
        <f t="shared" ref="J2459" si="1443">IF(ISBLANK(I2459),"",SUM(H2459:I2459))</f>
        <v>8253.939320754971</v>
      </c>
      <c r="K2459" s="593">
        <f t="shared" si="1438"/>
        <v>10045.870000000001</v>
      </c>
      <c r="L2459" s="594" t="s">
        <v>21</v>
      </c>
      <c r="M2459" s="92"/>
      <c r="N2459" s="92"/>
      <c r="O2459" s="93">
        <f t="shared" si="1427"/>
        <v>0</v>
      </c>
      <c r="P2459" s="93">
        <f t="shared" si="1428"/>
        <v>0</v>
      </c>
      <c r="Q2459" s="94"/>
      <c r="R2459" s="92">
        <f t="shared" si="1433"/>
        <v>0</v>
      </c>
      <c r="S2459" s="92">
        <f t="shared" si="1433"/>
        <v>0</v>
      </c>
      <c r="T2459" s="93">
        <f t="shared" si="1429"/>
        <v>0</v>
      </c>
      <c r="U2459" s="95">
        <f t="shared" si="1425"/>
        <v>0</v>
      </c>
      <c r="V2459" s="94"/>
      <c r="X2459" s="580" t="str">
        <f t="shared" si="1437"/>
        <v/>
      </c>
      <c r="Y2459" s="580" t="str">
        <f t="shared" si="1440"/>
        <v/>
      </c>
      <c r="Z2459" s="580" t="str">
        <f t="shared" si="1442"/>
        <v/>
      </c>
    </row>
    <row r="2460" spans="1:26" hidden="1" x14ac:dyDescent="0.2">
      <c r="A2460" s="97" t="s">
        <v>165</v>
      </c>
      <c r="B2460" s="1031" t="s">
        <v>165</v>
      </c>
      <c r="C2460" s="978"/>
      <c r="D2460" s="595" t="s">
        <v>218</v>
      </c>
      <c r="E2460" s="596"/>
      <c r="F2460" s="671">
        <v>500</v>
      </c>
      <c r="G2460" s="597">
        <f>VLOOKUP(D2459,'ENSAIOS DE ORÇAMENTO'!$C$3:$L$79,4,FALSE)</f>
        <v>1.1179675499999999</v>
      </c>
      <c r="H2460" s="682">
        <f>IF(F2460&lt;=30,(0.51*F2460+4.28)*G2460,((0.51*30+4.28)+0.42*(F2460-30))*G2460)</f>
        <v>242.576598999</v>
      </c>
      <c r="I2460" s="592"/>
      <c r="J2460" s="592"/>
      <c r="K2460" s="593">
        <f t="shared" si="1438"/>
        <v>0</v>
      </c>
      <c r="L2460" s="594"/>
      <c r="M2460" s="92"/>
      <c r="N2460" s="92"/>
      <c r="O2460" s="93">
        <f t="shared" si="1427"/>
        <v>0</v>
      </c>
      <c r="P2460" s="93">
        <f t="shared" si="1428"/>
        <v>0</v>
      </c>
      <c r="Q2460" s="94"/>
      <c r="R2460" s="92">
        <f t="shared" si="1433"/>
        <v>0</v>
      </c>
      <c r="S2460" s="92">
        <f t="shared" si="1433"/>
        <v>0</v>
      </c>
      <c r="T2460" s="93">
        <f t="shared" si="1429"/>
        <v>0</v>
      </c>
      <c r="U2460" s="95">
        <f t="shared" si="1425"/>
        <v>0</v>
      </c>
      <c r="V2460" s="94"/>
      <c r="W2460" s="96" t="str">
        <f>IF(U2459&gt;0,"xx",IF(P2459&gt;0,"xy",""))</f>
        <v/>
      </c>
      <c r="X2460" s="580" t="str">
        <f t="shared" si="1437"/>
        <v/>
      </c>
      <c r="Y2460" s="580" t="str">
        <f t="shared" si="1440"/>
        <v/>
      </c>
      <c r="Z2460" s="580" t="str">
        <f t="shared" si="1442"/>
        <v/>
      </c>
    </row>
    <row r="2461" spans="1:26" hidden="1" x14ac:dyDescent="0.2">
      <c r="A2461" s="97" t="s">
        <v>165</v>
      </c>
      <c r="B2461" s="1031" t="s">
        <v>165</v>
      </c>
      <c r="C2461" s="978"/>
      <c r="D2461" s="595" t="s">
        <v>257</v>
      </c>
      <c r="E2461" s="596"/>
      <c r="F2461" s="671">
        <v>180</v>
      </c>
      <c r="G2461" s="597">
        <f>VLOOKUP(D2459,'ENSAIOS DE ORÇAMENTO'!$C$3:$L$79,5,FALSE)</f>
        <v>3.2610033499999997</v>
      </c>
      <c r="H2461" s="682">
        <f>IF(F2461=0,0,IF(F2461&lt;=30,(0.7*F2461+1.45)*G2461,((0.7*30+1.45)+0.58*(F2461-30))*G2461))</f>
        <v>356.91681665749996</v>
      </c>
      <c r="I2461" s="592"/>
      <c r="J2461" s="592"/>
      <c r="K2461" s="593">
        <f t="shared" si="1438"/>
        <v>0</v>
      </c>
      <c r="L2461" s="594"/>
      <c r="M2461" s="92"/>
      <c r="N2461" s="92"/>
      <c r="O2461" s="93">
        <f t="shared" si="1427"/>
        <v>0</v>
      </c>
      <c r="P2461" s="93">
        <f t="shared" si="1428"/>
        <v>0</v>
      </c>
      <c r="Q2461" s="94"/>
      <c r="R2461" s="92">
        <f t="shared" si="1433"/>
        <v>0</v>
      </c>
      <c r="S2461" s="92">
        <f t="shared" si="1433"/>
        <v>0</v>
      </c>
      <c r="T2461" s="93">
        <f t="shared" si="1429"/>
        <v>0</v>
      </c>
      <c r="U2461" s="95">
        <f t="shared" si="1425"/>
        <v>0</v>
      </c>
      <c r="V2461" s="94"/>
      <c r="W2461" s="96" t="str">
        <f>IF(U2459&gt;0,"xx",IF(P2459&gt;0,"xy",""))</f>
        <v/>
      </c>
      <c r="X2461" s="580" t="str">
        <f t="shared" si="1437"/>
        <v/>
      </c>
      <c r="Y2461" s="580" t="str">
        <f t="shared" si="1440"/>
        <v/>
      </c>
      <c r="Z2461" s="580" t="str">
        <f t="shared" si="1442"/>
        <v/>
      </c>
    </row>
    <row r="2462" spans="1:26" hidden="1" x14ac:dyDescent="0.2">
      <c r="A2462" s="97" t="s">
        <v>165</v>
      </c>
      <c r="B2462" s="1031" t="s">
        <v>165</v>
      </c>
      <c r="C2462" s="978"/>
      <c r="D2462" s="595" t="s">
        <v>261</v>
      </c>
      <c r="E2462" s="596"/>
      <c r="F2462" s="671">
        <v>20</v>
      </c>
      <c r="G2462" s="597">
        <f>VLOOKUP(D2459,'ENSAIOS DE ORÇAMENTO'!$C$3:$L$79,6,FALSE)</f>
        <v>3.8878832249999999</v>
      </c>
      <c r="H2462" s="682">
        <f>IF(F2462=0,0,IF(F2462&lt;=30,(0.7*F2462+1.45)*G2462,((0.7*30+1.45)+0.58*(F2462-30))*G2462))</f>
        <v>60.067795826249998</v>
      </c>
      <c r="I2462" s="592"/>
      <c r="J2462" s="592"/>
      <c r="K2462" s="593">
        <f t="shared" si="1438"/>
        <v>0</v>
      </c>
      <c r="L2462" s="594"/>
      <c r="M2462" s="92"/>
      <c r="N2462" s="92"/>
      <c r="O2462" s="93">
        <f t="shared" si="1427"/>
        <v>0</v>
      </c>
      <c r="P2462" s="93">
        <f t="shared" si="1428"/>
        <v>0</v>
      </c>
      <c r="Q2462" s="94"/>
      <c r="R2462" s="92">
        <f t="shared" si="1433"/>
        <v>0</v>
      </c>
      <c r="S2462" s="92">
        <f t="shared" si="1433"/>
        <v>0</v>
      </c>
      <c r="T2462" s="93">
        <f t="shared" si="1429"/>
        <v>0</v>
      </c>
      <c r="U2462" s="95">
        <f t="shared" si="1425"/>
        <v>0</v>
      </c>
      <c r="V2462" s="94"/>
      <c r="W2462" s="96" t="str">
        <f>IF(U2459&gt;0,"xx",IF(P2459&gt;0,"xy",""))</f>
        <v/>
      </c>
      <c r="X2462" s="580" t="str">
        <f t="shared" si="1437"/>
        <v/>
      </c>
      <c r="Y2462" s="580" t="str">
        <f t="shared" si="1440"/>
        <v/>
      </c>
      <c r="Z2462" s="580" t="str">
        <f t="shared" si="1442"/>
        <v/>
      </c>
    </row>
    <row r="2463" spans="1:26" hidden="1" x14ac:dyDescent="0.2">
      <c r="A2463" s="97" t="s">
        <v>165</v>
      </c>
      <c r="B2463" s="1031" t="s">
        <v>165</v>
      </c>
      <c r="C2463" s="978"/>
      <c r="D2463" s="595" t="s">
        <v>419</v>
      </c>
      <c r="E2463" s="596"/>
      <c r="F2463" s="671">
        <v>30</v>
      </c>
      <c r="G2463" s="597">
        <f>VLOOKUP(D2459,'ENSAIOS DE ORÇAMENTO'!$C$3:$L$79,3,FALSE)</f>
        <v>0</v>
      </c>
      <c r="H2463" s="682">
        <f>IF(F2463=0,0,IF(F2463&lt;=30,(0.7*F2463+1.45)*G2463,((0.7*30+1.45)+0.58*(F2463-30))*G2463))</f>
        <v>0</v>
      </c>
      <c r="I2463" s="592"/>
      <c r="J2463" s="592"/>
      <c r="K2463" s="593">
        <f t="shared" si="1438"/>
        <v>0</v>
      </c>
      <c r="L2463" s="594"/>
      <c r="M2463" s="92"/>
      <c r="N2463" s="92"/>
      <c r="O2463" s="93">
        <f t="shared" si="1427"/>
        <v>0</v>
      </c>
      <c r="P2463" s="93">
        <f t="shared" si="1428"/>
        <v>0</v>
      </c>
      <c r="Q2463" s="94"/>
      <c r="R2463" s="92">
        <f t="shared" si="1433"/>
        <v>0</v>
      </c>
      <c r="S2463" s="92">
        <f t="shared" si="1433"/>
        <v>0</v>
      </c>
      <c r="T2463" s="93">
        <f t="shared" si="1429"/>
        <v>0</v>
      </c>
      <c r="U2463" s="95">
        <f t="shared" ref="U2463:U2518" si="1444">IF(ISBLANK(R2463),0,ROUND(R2463*S2463,2))</f>
        <v>0</v>
      </c>
      <c r="V2463" s="94"/>
      <c r="W2463" s="96" t="str">
        <f>IF(U2459&gt;0,"xx",IF(P2459&gt;0,"xy",""))</f>
        <v/>
      </c>
      <c r="X2463" s="580" t="str">
        <f t="shared" si="1437"/>
        <v/>
      </c>
      <c r="Y2463" s="580" t="str">
        <f t="shared" si="1440"/>
        <v/>
      </c>
      <c r="Z2463" s="580" t="str">
        <f t="shared" si="1442"/>
        <v/>
      </c>
    </row>
    <row r="2464" spans="1:26" hidden="1" x14ac:dyDescent="0.2">
      <c r="A2464" s="97" t="s">
        <v>165</v>
      </c>
      <c r="B2464" s="1031" t="s">
        <v>165</v>
      </c>
      <c r="C2464" s="978"/>
      <c r="D2464" s="595" t="s">
        <v>420</v>
      </c>
      <c r="E2464" s="596"/>
      <c r="F2464" s="671">
        <v>500</v>
      </c>
      <c r="G2464" s="597">
        <f>VLOOKUP(D2459,'ENSAIOS DE ORÇAMENTO'!$C$3:$L$79,10,FALSE)</f>
        <v>0</v>
      </c>
      <c r="H2464" s="682">
        <f>IF(F2464=0,0,IF(F2464&lt;=30,(0.7*F2464+1.45)*G2464,((0.7*30+1.45)+0.58*(F2464-30))*G2464))</f>
        <v>0</v>
      </c>
      <c r="I2464" s="592"/>
      <c r="J2464" s="592"/>
      <c r="K2464" s="593">
        <f t="shared" si="1438"/>
        <v>0</v>
      </c>
      <c r="L2464" s="594"/>
      <c r="M2464" s="92"/>
      <c r="N2464" s="92"/>
      <c r="O2464" s="93">
        <f t="shared" si="1427"/>
        <v>0</v>
      </c>
      <c r="P2464" s="93">
        <f t="shared" si="1428"/>
        <v>0</v>
      </c>
      <c r="Q2464" s="94"/>
      <c r="R2464" s="92">
        <f t="shared" si="1433"/>
        <v>0</v>
      </c>
      <c r="S2464" s="92">
        <f t="shared" si="1433"/>
        <v>0</v>
      </c>
      <c r="T2464" s="93">
        <f t="shared" si="1429"/>
        <v>0</v>
      </c>
      <c r="U2464" s="95">
        <f t="shared" si="1444"/>
        <v>0</v>
      </c>
      <c r="V2464" s="94"/>
      <c r="W2464" s="96" t="str">
        <f>IF(U2459&gt;0,"xx",IF(P2459&gt;0,"xy",""))</f>
        <v/>
      </c>
      <c r="X2464" s="580" t="str">
        <f t="shared" si="1437"/>
        <v/>
      </c>
      <c r="Y2464" s="580" t="str">
        <f t="shared" si="1440"/>
        <v/>
      </c>
      <c r="Z2464" s="580" t="str">
        <f t="shared" si="1442"/>
        <v/>
      </c>
    </row>
    <row r="2465" spans="1:26" hidden="1" x14ac:dyDescent="0.2">
      <c r="A2465" s="97" t="s">
        <v>50</v>
      </c>
      <c r="B2465" s="1031" t="s">
        <v>50</v>
      </c>
      <c r="C2465" s="978" t="s">
        <v>212</v>
      </c>
      <c r="D2465" s="595" t="s">
        <v>441</v>
      </c>
      <c r="E2465" s="596"/>
      <c r="F2465" s="671"/>
      <c r="G2465" s="597"/>
      <c r="H2465" s="682">
        <f>SUM(H2466:H2470)</f>
        <v>64.638715350000012</v>
      </c>
      <c r="I2465" s="592">
        <f>VLOOKUP(D2465,'ENSAIOS DE ORÇAMENTO'!$C$3:$L$79,8,FALSE)</f>
        <v>813.88541000000009</v>
      </c>
      <c r="J2465" s="592">
        <f t="shared" ref="J2465" si="1445">IF(ISBLANK(I2465),"",SUM(H2465:I2465))</f>
        <v>878.52412535000008</v>
      </c>
      <c r="K2465" s="593">
        <f t="shared" si="1438"/>
        <v>1069.25</v>
      </c>
      <c r="L2465" s="594" t="s">
        <v>21</v>
      </c>
      <c r="M2465" s="92"/>
      <c r="N2465" s="92"/>
      <c r="O2465" s="93">
        <f t="shared" si="1427"/>
        <v>0</v>
      </c>
      <c r="P2465" s="93">
        <f t="shared" si="1428"/>
        <v>0</v>
      </c>
      <c r="Q2465" s="94"/>
      <c r="R2465" s="92">
        <f t="shared" si="1433"/>
        <v>0</v>
      </c>
      <c r="S2465" s="92">
        <f t="shared" si="1433"/>
        <v>0</v>
      </c>
      <c r="T2465" s="93">
        <f t="shared" si="1429"/>
        <v>0</v>
      </c>
      <c r="U2465" s="95">
        <f t="shared" si="1444"/>
        <v>0</v>
      </c>
      <c r="V2465" s="94"/>
      <c r="X2465" s="580" t="str">
        <f t="shared" si="1437"/>
        <v/>
      </c>
      <c r="Y2465" s="580" t="str">
        <f t="shared" si="1440"/>
        <v/>
      </c>
      <c r="Z2465" s="580" t="str">
        <f t="shared" si="1442"/>
        <v/>
      </c>
    </row>
    <row r="2466" spans="1:26" hidden="1" x14ac:dyDescent="0.2">
      <c r="A2466" s="97" t="s">
        <v>165</v>
      </c>
      <c r="B2466" s="1031" t="s">
        <v>165</v>
      </c>
      <c r="C2466" s="978"/>
      <c r="D2466" s="595" t="s">
        <v>218</v>
      </c>
      <c r="E2466" s="596"/>
      <c r="F2466" s="671">
        <v>500</v>
      </c>
      <c r="G2466" s="597">
        <f>VLOOKUP(D2465,'ENSAIOS DE ORÇAMENTO'!$C$3:$L$79,4,FALSE)</f>
        <v>0.11253000000000002</v>
      </c>
      <c r="H2466" s="682">
        <f>IF(F2466&lt;=30,(0.51*F2466+4.28)*G2466,((0.51*30+4.28)+0.42*(F2466-30))*G2466)</f>
        <v>24.416759400000007</v>
      </c>
      <c r="I2466" s="592"/>
      <c r="J2466" s="592"/>
      <c r="K2466" s="593">
        <f t="shared" si="1438"/>
        <v>0</v>
      </c>
      <c r="L2466" s="594"/>
      <c r="M2466" s="92"/>
      <c r="N2466" s="92"/>
      <c r="O2466" s="93">
        <f t="shared" si="1427"/>
        <v>0</v>
      </c>
      <c r="P2466" s="93">
        <f t="shared" si="1428"/>
        <v>0</v>
      </c>
      <c r="Q2466" s="94"/>
      <c r="R2466" s="92">
        <f t="shared" si="1433"/>
        <v>0</v>
      </c>
      <c r="S2466" s="92">
        <f t="shared" si="1433"/>
        <v>0</v>
      </c>
      <c r="T2466" s="93">
        <f t="shared" si="1429"/>
        <v>0</v>
      </c>
      <c r="U2466" s="95">
        <f t="shared" si="1444"/>
        <v>0</v>
      </c>
      <c r="V2466" s="94"/>
      <c r="W2466" s="96" t="str">
        <f>IF(U2465&gt;0,"xx",IF(P2465&gt;0,"xy",""))</f>
        <v/>
      </c>
      <c r="X2466" s="580" t="str">
        <f t="shared" si="1437"/>
        <v/>
      </c>
      <c r="Y2466" s="580" t="str">
        <f t="shared" si="1440"/>
        <v/>
      </c>
      <c r="Z2466" s="580" t="str">
        <f t="shared" si="1442"/>
        <v/>
      </c>
    </row>
    <row r="2467" spans="1:26" hidden="1" x14ac:dyDescent="0.2">
      <c r="A2467" s="97" t="s">
        <v>165</v>
      </c>
      <c r="B2467" s="1031" t="s">
        <v>165</v>
      </c>
      <c r="C2467" s="978"/>
      <c r="D2467" s="595" t="s">
        <v>257</v>
      </c>
      <c r="E2467" s="596"/>
      <c r="F2467" s="671">
        <v>180</v>
      </c>
      <c r="G2467" s="597">
        <f>VLOOKUP(D2465,'ENSAIOS DE ORÇAMENTO'!$C$3:$L$79,5,FALSE)</f>
        <v>0.31406100000000003</v>
      </c>
      <c r="H2467" s="682">
        <f>IF(F2467=0,0,IF(F2467&lt;=30,(0.7*F2467+1.45)*G2467,((0.7*30+1.45)+0.58*(F2467-30))*G2467))</f>
        <v>34.373976450000008</v>
      </c>
      <c r="I2467" s="592"/>
      <c r="J2467" s="592"/>
      <c r="K2467" s="593">
        <f t="shared" si="1438"/>
        <v>0</v>
      </c>
      <c r="L2467" s="594"/>
      <c r="M2467" s="92"/>
      <c r="N2467" s="92"/>
      <c r="O2467" s="93">
        <f t="shared" si="1427"/>
        <v>0</v>
      </c>
      <c r="P2467" s="93">
        <f t="shared" si="1428"/>
        <v>0</v>
      </c>
      <c r="Q2467" s="94"/>
      <c r="R2467" s="92">
        <f t="shared" si="1433"/>
        <v>0</v>
      </c>
      <c r="S2467" s="92">
        <f t="shared" si="1433"/>
        <v>0</v>
      </c>
      <c r="T2467" s="93">
        <f t="shared" si="1429"/>
        <v>0</v>
      </c>
      <c r="U2467" s="95">
        <f t="shared" si="1444"/>
        <v>0</v>
      </c>
      <c r="V2467" s="94"/>
      <c r="W2467" s="96" t="str">
        <f>IF(U2465&gt;0,"xx",IF(P2465&gt;0,"xy",""))</f>
        <v/>
      </c>
      <c r="X2467" s="580" t="str">
        <f t="shared" si="1437"/>
        <v/>
      </c>
      <c r="Y2467" s="580" t="str">
        <f t="shared" si="1440"/>
        <v/>
      </c>
      <c r="Z2467" s="580" t="str">
        <f t="shared" si="1442"/>
        <v/>
      </c>
    </row>
    <row r="2468" spans="1:26" hidden="1" x14ac:dyDescent="0.2">
      <c r="A2468" s="97" t="s">
        <v>165</v>
      </c>
      <c r="B2468" s="1031" t="s">
        <v>165</v>
      </c>
      <c r="C2468" s="978"/>
      <c r="D2468" s="595" t="s">
        <v>261</v>
      </c>
      <c r="E2468" s="596"/>
      <c r="F2468" s="671">
        <v>20</v>
      </c>
      <c r="G2468" s="597">
        <f>VLOOKUP(D2465,'ENSAIOS DE ORÇAMENTO'!$C$3:$L$79,6,FALSE)</f>
        <v>0.37851000000000007</v>
      </c>
      <c r="H2468" s="682">
        <f>IF(F2468=0,0,IF(F2468&lt;=30,(0.7*F2468+1.45)*G2468,((0.7*30+1.45)+0.58*(F2468-30))*G2468))</f>
        <v>5.847979500000001</v>
      </c>
      <c r="I2468" s="592"/>
      <c r="J2468" s="592"/>
      <c r="K2468" s="593">
        <f t="shared" si="1438"/>
        <v>0</v>
      </c>
      <c r="L2468" s="594"/>
      <c r="M2468" s="92"/>
      <c r="N2468" s="92"/>
      <c r="O2468" s="93">
        <f t="shared" si="1427"/>
        <v>0</v>
      </c>
      <c r="P2468" s="93">
        <f t="shared" si="1428"/>
        <v>0</v>
      </c>
      <c r="Q2468" s="94"/>
      <c r="R2468" s="92">
        <f t="shared" si="1433"/>
        <v>0</v>
      </c>
      <c r="S2468" s="92">
        <f t="shared" si="1433"/>
        <v>0</v>
      </c>
      <c r="T2468" s="93">
        <f t="shared" si="1429"/>
        <v>0</v>
      </c>
      <c r="U2468" s="95">
        <f t="shared" si="1444"/>
        <v>0</v>
      </c>
      <c r="V2468" s="94"/>
      <c r="W2468" s="96" t="str">
        <f>IF(U2465&gt;0,"xx",IF(P2465&gt;0,"xy",""))</f>
        <v/>
      </c>
      <c r="X2468" s="580" t="str">
        <f t="shared" si="1437"/>
        <v/>
      </c>
      <c r="Y2468" s="580" t="str">
        <f t="shared" si="1440"/>
        <v/>
      </c>
      <c r="Z2468" s="580" t="str">
        <f t="shared" si="1442"/>
        <v/>
      </c>
    </row>
    <row r="2469" spans="1:26" hidden="1" x14ac:dyDescent="0.2">
      <c r="A2469" s="97" t="s">
        <v>165</v>
      </c>
      <c r="B2469" s="1031" t="s">
        <v>165</v>
      </c>
      <c r="C2469" s="978"/>
      <c r="D2469" s="595" t="s">
        <v>419</v>
      </c>
      <c r="E2469" s="596"/>
      <c r="F2469" s="671">
        <v>30</v>
      </c>
      <c r="G2469" s="597">
        <f>VLOOKUP(D2465,'ENSAIOS DE ORÇAMENTO'!$C$3:$L$79,3,FALSE)</f>
        <v>0</v>
      </c>
      <c r="H2469" s="682">
        <f>IF(F2469=0,0,IF(F2469&lt;=30,(0.7*F2469+1.45)*G2469,((0.7*30+1.45)+0.58*(F2469-30))*G2469))</f>
        <v>0</v>
      </c>
      <c r="I2469" s="592"/>
      <c r="J2469" s="592"/>
      <c r="K2469" s="593">
        <f t="shared" si="1438"/>
        <v>0</v>
      </c>
      <c r="L2469" s="594"/>
      <c r="M2469" s="92"/>
      <c r="N2469" s="92"/>
      <c r="O2469" s="93">
        <f t="shared" si="1427"/>
        <v>0</v>
      </c>
      <c r="P2469" s="93">
        <f t="shared" si="1428"/>
        <v>0</v>
      </c>
      <c r="Q2469" s="94"/>
      <c r="R2469" s="92">
        <f t="shared" si="1433"/>
        <v>0</v>
      </c>
      <c r="S2469" s="92">
        <f t="shared" si="1433"/>
        <v>0</v>
      </c>
      <c r="T2469" s="93">
        <f t="shared" si="1429"/>
        <v>0</v>
      </c>
      <c r="U2469" s="95">
        <f t="shared" si="1444"/>
        <v>0</v>
      </c>
      <c r="V2469" s="94"/>
      <c r="W2469" s="96" t="str">
        <f>IF(U2465&gt;0,"xx",IF(P2465&gt;0,"xy",""))</f>
        <v/>
      </c>
      <c r="X2469" s="580" t="str">
        <f t="shared" si="1437"/>
        <v/>
      </c>
      <c r="Y2469" s="580" t="str">
        <f t="shared" si="1440"/>
        <v/>
      </c>
      <c r="Z2469" s="580" t="str">
        <f t="shared" si="1442"/>
        <v/>
      </c>
    </row>
    <row r="2470" spans="1:26" hidden="1" x14ac:dyDescent="0.2">
      <c r="A2470" s="97" t="s">
        <v>165</v>
      </c>
      <c r="B2470" s="1031" t="s">
        <v>165</v>
      </c>
      <c r="C2470" s="978"/>
      <c r="D2470" s="595" t="s">
        <v>420</v>
      </c>
      <c r="E2470" s="596"/>
      <c r="F2470" s="671">
        <v>500</v>
      </c>
      <c r="G2470" s="597">
        <f>VLOOKUP(D2465,'ENSAIOS DE ORÇAMENTO'!$C$3:$L$79,10,FALSE)</f>
        <v>0</v>
      </c>
      <c r="H2470" s="682">
        <f>IF(F2470=0,0,IF(F2470&lt;=30,(0.7*F2470+1.45)*G2470,((0.7*30+1.45)+0.58*(F2470-30))*G2470))</f>
        <v>0</v>
      </c>
      <c r="I2470" s="592"/>
      <c r="J2470" s="592"/>
      <c r="K2470" s="593">
        <f t="shared" si="1438"/>
        <v>0</v>
      </c>
      <c r="L2470" s="594"/>
      <c r="M2470" s="92"/>
      <c r="N2470" s="92"/>
      <c r="O2470" s="93">
        <f t="shared" si="1427"/>
        <v>0</v>
      </c>
      <c r="P2470" s="93">
        <f t="shared" si="1428"/>
        <v>0</v>
      </c>
      <c r="Q2470" s="94"/>
      <c r="R2470" s="92">
        <f t="shared" si="1433"/>
        <v>0</v>
      </c>
      <c r="S2470" s="92">
        <f t="shared" si="1433"/>
        <v>0</v>
      </c>
      <c r="T2470" s="93">
        <f t="shared" si="1429"/>
        <v>0</v>
      </c>
      <c r="U2470" s="95">
        <f t="shared" si="1444"/>
        <v>0</v>
      </c>
      <c r="V2470" s="94"/>
      <c r="W2470" s="96" t="str">
        <f>IF(U2465&gt;0,"xx",IF(P2465&gt;0,"xy",""))</f>
        <v/>
      </c>
      <c r="X2470" s="580" t="str">
        <f t="shared" si="1437"/>
        <v/>
      </c>
      <c r="Y2470" s="580" t="str">
        <f t="shared" si="1440"/>
        <v/>
      </c>
      <c r="Z2470" s="580" t="str">
        <f t="shared" si="1442"/>
        <v/>
      </c>
    </row>
    <row r="2471" spans="1:26" hidden="1" x14ac:dyDescent="0.2">
      <c r="A2471" s="97" t="s">
        <v>51</v>
      </c>
      <c r="B2471" s="1031" t="s">
        <v>51</v>
      </c>
      <c r="C2471" s="978" t="s">
        <v>212</v>
      </c>
      <c r="D2471" s="595" t="s">
        <v>442</v>
      </c>
      <c r="E2471" s="596"/>
      <c r="F2471" s="671"/>
      <c r="G2471" s="597"/>
      <c r="H2471" s="682">
        <f>SUM(H2472:H2476)</f>
        <v>70.325405850000024</v>
      </c>
      <c r="I2471" s="592">
        <f>VLOOKUP(D2471,'ENSAIOS DE ORÇAMENTO'!$C$3:$L$79,8,FALSE)</f>
        <v>912.06511</v>
      </c>
      <c r="J2471" s="592">
        <f t="shared" ref="J2471" si="1446">IF(ISBLANK(I2471),"",SUM(H2471:I2471))</f>
        <v>982.39051585000004</v>
      </c>
      <c r="K2471" s="593">
        <f t="shared" si="1438"/>
        <v>1195.67</v>
      </c>
      <c r="L2471" s="594" t="s">
        <v>21</v>
      </c>
      <c r="M2471" s="92"/>
      <c r="N2471" s="92"/>
      <c r="O2471" s="93">
        <f t="shared" si="1427"/>
        <v>0</v>
      </c>
      <c r="P2471" s="93">
        <f t="shared" si="1428"/>
        <v>0</v>
      </c>
      <c r="Q2471" s="94"/>
      <c r="R2471" s="92">
        <f t="shared" si="1433"/>
        <v>0</v>
      </c>
      <c r="S2471" s="92">
        <f t="shared" si="1433"/>
        <v>0</v>
      </c>
      <c r="T2471" s="93">
        <f t="shared" si="1429"/>
        <v>0</v>
      </c>
      <c r="U2471" s="95">
        <f t="shared" si="1444"/>
        <v>0</v>
      </c>
      <c r="V2471" s="94"/>
      <c r="X2471" s="580" t="str">
        <f t="shared" si="1437"/>
        <v/>
      </c>
      <c r="Y2471" s="580" t="str">
        <f t="shared" si="1440"/>
        <v/>
      </c>
      <c r="Z2471" s="580" t="str">
        <f t="shared" si="1442"/>
        <v/>
      </c>
    </row>
    <row r="2472" spans="1:26" hidden="1" x14ac:dyDescent="0.2">
      <c r="A2472" s="97" t="s">
        <v>165</v>
      </c>
      <c r="B2472" s="1031" t="s">
        <v>165</v>
      </c>
      <c r="C2472" s="978"/>
      <c r="D2472" s="595" t="s">
        <v>218</v>
      </c>
      <c r="E2472" s="596"/>
      <c r="F2472" s="671">
        <v>500</v>
      </c>
      <c r="G2472" s="597">
        <f>VLOOKUP(D2471,'ENSAIOS DE ORÇAMENTO'!$C$3:$L$79,4,FALSE)</f>
        <v>0.12243000000000002</v>
      </c>
      <c r="H2472" s="682">
        <f>IF(F2472&lt;=30,(0.51*F2472+4.28)*G2472,((0.51*30+4.28)+0.42*(F2472-30))*G2472)</f>
        <v>26.564861400000009</v>
      </c>
      <c r="I2472" s="592"/>
      <c r="J2472" s="592"/>
      <c r="K2472" s="593">
        <f t="shared" si="1438"/>
        <v>0</v>
      </c>
      <c r="L2472" s="594"/>
      <c r="M2472" s="92"/>
      <c r="N2472" s="92"/>
      <c r="O2472" s="93">
        <f t="shared" ref="O2472:O2518" si="1447">IF(ISBLANK(M2472),0,ROUND(K2472*M2472,2))</f>
        <v>0</v>
      </c>
      <c r="P2472" s="93">
        <f t="shared" ref="P2472:P2518" si="1448">IF(ISBLANK(N2472),0,ROUND(M2472*N2472,2))</f>
        <v>0</v>
      </c>
      <c r="Q2472" s="94"/>
      <c r="R2472" s="92">
        <f t="shared" si="1433"/>
        <v>0</v>
      </c>
      <c r="S2472" s="92">
        <f t="shared" si="1433"/>
        <v>0</v>
      </c>
      <c r="T2472" s="93">
        <f t="shared" ref="T2472:T2518" si="1449">IF(ISBLANK(R2472),0,ROUND(K2472*R2472,2))</f>
        <v>0</v>
      </c>
      <c r="U2472" s="95">
        <f t="shared" si="1444"/>
        <v>0</v>
      </c>
      <c r="V2472" s="94"/>
      <c r="W2472" s="96" t="str">
        <f>IF(U2471&gt;0,"xx",IF(P2471&gt;0,"xy",""))</f>
        <v/>
      </c>
      <c r="X2472" s="580" t="str">
        <f t="shared" si="1437"/>
        <v/>
      </c>
      <c r="Y2472" s="580" t="str">
        <f t="shared" si="1440"/>
        <v/>
      </c>
      <c r="Z2472" s="580" t="str">
        <f t="shared" si="1442"/>
        <v/>
      </c>
    </row>
    <row r="2473" spans="1:26" hidden="1" x14ac:dyDescent="0.2">
      <c r="A2473" s="97" t="s">
        <v>165</v>
      </c>
      <c r="B2473" s="1031" t="s">
        <v>165</v>
      </c>
      <c r="C2473" s="978"/>
      <c r="D2473" s="595" t="s">
        <v>257</v>
      </c>
      <c r="E2473" s="596"/>
      <c r="F2473" s="671">
        <v>180</v>
      </c>
      <c r="G2473" s="597">
        <f>VLOOKUP(D2471,'ENSAIOS DE ORÇAMENTO'!$C$3:$L$79,5,FALSE)</f>
        <v>0.34169100000000008</v>
      </c>
      <c r="H2473" s="682">
        <f>IF(F2473=0,0,IF(F2473&lt;=30,(0.7*F2473+1.45)*G2473,((0.7*30+1.45)+0.58*(F2473-30))*G2473))</f>
        <v>37.39807995000001</v>
      </c>
      <c r="I2473" s="592"/>
      <c r="J2473" s="592"/>
      <c r="K2473" s="593">
        <f t="shared" si="1438"/>
        <v>0</v>
      </c>
      <c r="L2473" s="594"/>
      <c r="M2473" s="92"/>
      <c r="N2473" s="92"/>
      <c r="O2473" s="93">
        <f t="shared" si="1447"/>
        <v>0</v>
      </c>
      <c r="P2473" s="93">
        <f t="shared" si="1448"/>
        <v>0</v>
      </c>
      <c r="Q2473" s="94"/>
      <c r="R2473" s="92">
        <f t="shared" si="1433"/>
        <v>0</v>
      </c>
      <c r="S2473" s="92">
        <f t="shared" si="1433"/>
        <v>0</v>
      </c>
      <c r="T2473" s="93">
        <f t="shared" si="1449"/>
        <v>0</v>
      </c>
      <c r="U2473" s="95">
        <f t="shared" si="1444"/>
        <v>0</v>
      </c>
      <c r="V2473" s="94"/>
      <c r="W2473" s="96" t="str">
        <f>IF(U2471&gt;0,"xx",IF(P2471&gt;0,"xy",""))</f>
        <v/>
      </c>
      <c r="X2473" s="580" t="str">
        <f t="shared" si="1437"/>
        <v/>
      </c>
      <c r="Y2473" s="580" t="str">
        <f t="shared" si="1440"/>
        <v/>
      </c>
      <c r="Z2473" s="580" t="str">
        <f t="shared" si="1442"/>
        <v/>
      </c>
    </row>
    <row r="2474" spans="1:26" hidden="1" x14ac:dyDescent="0.2">
      <c r="A2474" s="97" t="s">
        <v>165</v>
      </c>
      <c r="B2474" s="1031" t="s">
        <v>165</v>
      </c>
      <c r="C2474" s="978"/>
      <c r="D2474" s="595" t="s">
        <v>261</v>
      </c>
      <c r="E2474" s="596"/>
      <c r="F2474" s="671">
        <v>20</v>
      </c>
      <c r="G2474" s="597">
        <f>VLOOKUP(D2471,'ENSAIOS DE ORÇAMENTO'!$C$3:$L$79,6,FALSE)</f>
        <v>0.41181000000000012</v>
      </c>
      <c r="H2474" s="682">
        <f>IF(F2474=0,0,IF(F2474&lt;=30,(0.7*F2474+1.45)*G2474,((0.7*30+1.45)+0.58*(F2474-30))*G2474))</f>
        <v>6.3624645000000015</v>
      </c>
      <c r="I2474" s="592"/>
      <c r="J2474" s="592"/>
      <c r="K2474" s="593">
        <f t="shared" si="1438"/>
        <v>0</v>
      </c>
      <c r="L2474" s="594"/>
      <c r="M2474" s="92"/>
      <c r="N2474" s="92"/>
      <c r="O2474" s="93">
        <f t="shared" si="1447"/>
        <v>0</v>
      </c>
      <c r="P2474" s="93">
        <f t="shared" si="1448"/>
        <v>0</v>
      </c>
      <c r="Q2474" s="94"/>
      <c r="R2474" s="92">
        <f t="shared" si="1433"/>
        <v>0</v>
      </c>
      <c r="S2474" s="92">
        <f t="shared" si="1433"/>
        <v>0</v>
      </c>
      <c r="T2474" s="93">
        <f t="shared" si="1449"/>
        <v>0</v>
      </c>
      <c r="U2474" s="95">
        <f t="shared" si="1444"/>
        <v>0</v>
      </c>
      <c r="V2474" s="94"/>
      <c r="W2474" s="96" t="str">
        <f>IF(U2471&gt;0,"xx",IF(P2471&gt;0,"xy",""))</f>
        <v/>
      </c>
      <c r="X2474" s="580" t="str">
        <f t="shared" si="1437"/>
        <v/>
      </c>
      <c r="Y2474" s="580" t="str">
        <f t="shared" si="1440"/>
        <v/>
      </c>
      <c r="Z2474" s="580" t="str">
        <f t="shared" si="1442"/>
        <v/>
      </c>
    </row>
    <row r="2475" spans="1:26" hidden="1" x14ac:dyDescent="0.2">
      <c r="A2475" s="97" t="s">
        <v>165</v>
      </c>
      <c r="B2475" s="1031" t="s">
        <v>165</v>
      </c>
      <c r="C2475" s="978"/>
      <c r="D2475" s="595" t="s">
        <v>419</v>
      </c>
      <c r="E2475" s="596"/>
      <c r="F2475" s="671">
        <v>30</v>
      </c>
      <c r="G2475" s="597">
        <f>VLOOKUP(D2471,'ENSAIOS DE ORÇAMENTO'!$C$3:$L$79,3,FALSE)</f>
        <v>0</v>
      </c>
      <c r="H2475" s="682">
        <f>IF(F2475=0,0,IF(F2475&lt;=30,(0.7*F2475+1.45)*G2475,((0.7*30+1.45)+0.58*(F2475-30))*G2475))</f>
        <v>0</v>
      </c>
      <c r="I2475" s="592"/>
      <c r="J2475" s="592"/>
      <c r="K2475" s="593">
        <f t="shared" si="1438"/>
        <v>0</v>
      </c>
      <c r="L2475" s="594"/>
      <c r="M2475" s="92"/>
      <c r="N2475" s="92"/>
      <c r="O2475" s="93">
        <f t="shared" si="1447"/>
        <v>0</v>
      </c>
      <c r="P2475" s="93">
        <f t="shared" si="1448"/>
        <v>0</v>
      </c>
      <c r="Q2475" s="94"/>
      <c r="R2475" s="92">
        <f t="shared" si="1433"/>
        <v>0</v>
      </c>
      <c r="S2475" s="92">
        <f t="shared" si="1433"/>
        <v>0</v>
      </c>
      <c r="T2475" s="93">
        <f t="shared" si="1449"/>
        <v>0</v>
      </c>
      <c r="U2475" s="95">
        <f t="shared" si="1444"/>
        <v>0</v>
      </c>
      <c r="V2475" s="94"/>
      <c r="W2475" s="96" t="str">
        <f>IF(U2471&gt;0,"xx",IF(P2471&gt;0,"xy",""))</f>
        <v/>
      </c>
      <c r="X2475" s="580" t="str">
        <f t="shared" si="1437"/>
        <v/>
      </c>
      <c r="Y2475" s="580" t="str">
        <f t="shared" si="1440"/>
        <v/>
      </c>
      <c r="Z2475" s="580" t="str">
        <f t="shared" si="1442"/>
        <v/>
      </c>
    </row>
    <row r="2476" spans="1:26" hidden="1" x14ac:dyDescent="0.2">
      <c r="A2476" s="97" t="s">
        <v>165</v>
      </c>
      <c r="B2476" s="1031" t="s">
        <v>165</v>
      </c>
      <c r="C2476" s="978"/>
      <c r="D2476" s="595" t="s">
        <v>420</v>
      </c>
      <c r="E2476" s="596"/>
      <c r="F2476" s="671">
        <v>500</v>
      </c>
      <c r="G2476" s="597">
        <f>VLOOKUP(D2471,'ENSAIOS DE ORÇAMENTO'!$C$3:$L$79,10,FALSE)</f>
        <v>0</v>
      </c>
      <c r="H2476" s="682">
        <f>IF(F2476=0,0,IF(F2476&lt;=30,(0.7*F2476+1.45)*G2476,((0.7*30+1.45)+0.58*(F2476-30))*G2476))</f>
        <v>0</v>
      </c>
      <c r="I2476" s="592"/>
      <c r="J2476" s="592"/>
      <c r="K2476" s="593">
        <f t="shared" si="1438"/>
        <v>0</v>
      </c>
      <c r="L2476" s="594"/>
      <c r="M2476" s="92"/>
      <c r="N2476" s="92"/>
      <c r="O2476" s="93">
        <f t="shared" si="1447"/>
        <v>0</v>
      </c>
      <c r="P2476" s="93">
        <f t="shared" si="1448"/>
        <v>0</v>
      </c>
      <c r="Q2476" s="94"/>
      <c r="R2476" s="92">
        <f t="shared" si="1433"/>
        <v>0</v>
      </c>
      <c r="S2476" s="92">
        <f t="shared" si="1433"/>
        <v>0</v>
      </c>
      <c r="T2476" s="93">
        <f t="shared" si="1449"/>
        <v>0</v>
      </c>
      <c r="U2476" s="95">
        <f t="shared" si="1444"/>
        <v>0</v>
      </c>
      <c r="V2476" s="94"/>
      <c r="W2476" s="96" t="str">
        <f>IF(U2471&gt;0,"xx",IF(P2471&gt;0,"xy",""))</f>
        <v/>
      </c>
      <c r="X2476" s="580" t="str">
        <f t="shared" si="1437"/>
        <v/>
      </c>
      <c r="Y2476" s="580" t="str">
        <f t="shared" si="1440"/>
        <v/>
      </c>
      <c r="Z2476" s="580" t="str">
        <f t="shared" si="1442"/>
        <v/>
      </c>
    </row>
    <row r="2477" spans="1:26" hidden="1" x14ac:dyDescent="0.2">
      <c r="A2477" s="97" t="s">
        <v>52</v>
      </c>
      <c r="B2477" s="1031" t="s">
        <v>52</v>
      </c>
      <c r="C2477" s="978" t="s">
        <v>212</v>
      </c>
      <c r="D2477" s="595" t="s">
        <v>443</v>
      </c>
      <c r="E2477" s="596"/>
      <c r="F2477" s="671"/>
      <c r="G2477" s="597"/>
      <c r="H2477" s="682">
        <f>SUM(H2478:H2482)</f>
        <v>76.012096350000007</v>
      </c>
      <c r="I2477" s="592">
        <f>VLOOKUP(D2477,'ENSAIOS DE ORÇAMENTO'!$C$3:$L$79,8,FALSE)</f>
        <v>1028.23101</v>
      </c>
      <c r="J2477" s="592">
        <f t="shared" ref="J2477" si="1450">IF(ISBLANK(I2477),"",SUM(H2477:I2477))</f>
        <v>1104.2431063500001</v>
      </c>
      <c r="K2477" s="593">
        <f t="shared" si="1438"/>
        <v>1343.97</v>
      </c>
      <c r="L2477" s="594" t="s">
        <v>21</v>
      </c>
      <c r="M2477" s="92"/>
      <c r="N2477" s="92"/>
      <c r="O2477" s="93">
        <f t="shared" si="1447"/>
        <v>0</v>
      </c>
      <c r="P2477" s="93">
        <f t="shared" si="1448"/>
        <v>0</v>
      </c>
      <c r="Q2477" s="94"/>
      <c r="R2477" s="92">
        <f t="shared" si="1433"/>
        <v>0</v>
      </c>
      <c r="S2477" s="92">
        <f t="shared" si="1433"/>
        <v>0</v>
      </c>
      <c r="T2477" s="93">
        <f t="shared" si="1449"/>
        <v>0</v>
      </c>
      <c r="U2477" s="95">
        <f t="shared" si="1444"/>
        <v>0</v>
      </c>
      <c r="V2477" s="94"/>
      <c r="X2477" s="580" t="str">
        <f t="shared" si="1437"/>
        <v/>
      </c>
      <c r="Y2477" s="580" t="str">
        <f t="shared" si="1440"/>
        <v/>
      </c>
      <c r="Z2477" s="580" t="str">
        <f t="shared" si="1442"/>
        <v/>
      </c>
    </row>
    <row r="2478" spans="1:26" hidden="1" x14ac:dyDescent="0.2">
      <c r="A2478" s="97" t="s">
        <v>165</v>
      </c>
      <c r="B2478" s="1031" t="s">
        <v>165</v>
      </c>
      <c r="C2478" s="978"/>
      <c r="D2478" s="595" t="s">
        <v>218</v>
      </c>
      <c r="E2478" s="596"/>
      <c r="F2478" s="671">
        <v>500</v>
      </c>
      <c r="G2478" s="597">
        <f>VLOOKUP(D2477,'ENSAIOS DE ORÇAMENTO'!$C$3:$L$79,4,FALSE)</f>
        <v>0.13233</v>
      </c>
      <c r="H2478" s="682">
        <f>IF(F2478&lt;=30,(0.51*F2478+4.28)*G2478,((0.51*30+4.28)+0.42*(F2478-30))*G2478)</f>
        <v>28.712963400000003</v>
      </c>
      <c r="I2478" s="592"/>
      <c r="J2478" s="592"/>
      <c r="K2478" s="593">
        <f t="shared" si="1438"/>
        <v>0</v>
      </c>
      <c r="L2478" s="594"/>
      <c r="M2478" s="92"/>
      <c r="N2478" s="92"/>
      <c r="O2478" s="93">
        <f t="shared" si="1447"/>
        <v>0</v>
      </c>
      <c r="P2478" s="93">
        <f t="shared" si="1448"/>
        <v>0</v>
      </c>
      <c r="Q2478" s="94"/>
      <c r="R2478" s="92">
        <f t="shared" si="1433"/>
        <v>0</v>
      </c>
      <c r="S2478" s="92">
        <f t="shared" si="1433"/>
        <v>0</v>
      </c>
      <c r="T2478" s="93">
        <f t="shared" si="1449"/>
        <v>0</v>
      </c>
      <c r="U2478" s="95">
        <f t="shared" si="1444"/>
        <v>0</v>
      </c>
      <c r="V2478" s="94"/>
      <c r="W2478" s="96" t="str">
        <f>IF(U2477&gt;0,"xx",IF(P2477&gt;0,"xy",""))</f>
        <v/>
      </c>
      <c r="X2478" s="580" t="str">
        <f t="shared" si="1437"/>
        <v/>
      </c>
      <c r="Y2478" s="580" t="str">
        <f t="shared" si="1440"/>
        <v/>
      </c>
      <c r="Z2478" s="580" t="str">
        <f t="shared" si="1442"/>
        <v/>
      </c>
    </row>
    <row r="2479" spans="1:26" hidden="1" x14ac:dyDescent="0.2">
      <c r="A2479" s="97" t="s">
        <v>165</v>
      </c>
      <c r="B2479" s="1031" t="s">
        <v>165</v>
      </c>
      <c r="C2479" s="978"/>
      <c r="D2479" s="595" t="s">
        <v>257</v>
      </c>
      <c r="E2479" s="596"/>
      <c r="F2479" s="671">
        <v>180</v>
      </c>
      <c r="G2479" s="597">
        <f>VLOOKUP(D2477,'ENSAIOS DE ORÇAMENTO'!$C$3:$L$79,5,FALSE)</f>
        <v>0.36932100000000001</v>
      </c>
      <c r="H2479" s="682">
        <f>IF(F2479=0,0,IF(F2479&lt;=30,(0.7*F2479+1.45)*G2479,((0.7*30+1.45)+0.58*(F2479-30))*G2479))</f>
        <v>40.422183450000006</v>
      </c>
      <c r="I2479" s="592"/>
      <c r="J2479" s="592"/>
      <c r="K2479" s="593">
        <f t="shared" si="1438"/>
        <v>0</v>
      </c>
      <c r="L2479" s="594"/>
      <c r="M2479" s="92"/>
      <c r="N2479" s="92"/>
      <c r="O2479" s="93">
        <f t="shared" si="1447"/>
        <v>0</v>
      </c>
      <c r="P2479" s="93">
        <f t="shared" si="1448"/>
        <v>0</v>
      </c>
      <c r="Q2479" s="94"/>
      <c r="R2479" s="92">
        <f t="shared" si="1433"/>
        <v>0</v>
      </c>
      <c r="S2479" s="92">
        <f t="shared" si="1433"/>
        <v>0</v>
      </c>
      <c r="T2479" s="93">
        <f t="shared" si="1449"/>
        <v>0</v>
      </c>
      <c r="U2479" s="95">
        <f t="shared" si="1444"/>
        <v>0</v>
      </c>
      <c r="V2479" s="94"/>
      <c r="W2479" s="96" t="str">
        <f>IF(U2477&gt;0,"xx",IF(P2477&gt;0,"xy",""))</f>
        <v/>
      </c>
      <c r="X2479" s="580" t="str">
        <f t="shared" si="1437"/>
        <v/>
      </c>
      <c r="Y2479" s="580" t="str">
        <f t="shared" si="1440"/>
        <v/>
      </c>
      <c r="Z2479" s="580" t="str">
        <f t="shared" si="1442"/>
        <v/>
      </c>
    </row>
    <row r="2480" spans="1:26" hidden="1" x14ac:dyDescent="0.2">
      <c r="A2480" s="97" t="s">
        <v>165</v>
      </c>
      <c r="B2480" s="1031" t="s">
        <v>165</v>
      </c>
      <c r="C2480" s="978"/>
      <c r="D2480" s="595" t="s">
        <v>261</v>
      </c>
      <c r="E2480" s="596"/>
      <c r="F2480" s="671">
        <v>20</v>
      </c>
      <c r="G2480" s="597">
        <f>VLOOKUP(D2477,'ENSAIOS DE ORÇAMENTO'!$C$3:$L$79,6,FALSE)</f>
        <v>0.44511000000000006</v>
      </c>
      <c r="H2480" s="682">
        <f>IF(F2480=0,0,IF(F2480&lt;=30,(0.7*F2480+1.45)*G2480,((0.7*30+1.45)+0.58*(F2480-30))*G2480))</f>
        <v>6.8769495000000003</v>
      </c>
      <c r="I2480" s="592"/>
      <c r="J2480" s="592"/>
      <c r="K2480" s="593">
        <f t="shared" si="1438"/>
        <v>0</v>
      </c>
      <c r="L2480" s="594"/>
      <c r="M2480" s="92"/>
      <c r="N2480" s="92"/>
      <c r="O2480" s="93">
        <f t="shared" si="1447"/>
        <v>0</v>
      </c>
      <c r="P2480" s="93">
        <f t="shared" si="1448"/>
        <v>0</v>
      </c>
      <c r="Q2480" s="94"/>
      <c r="R2480" s="92">
        <f t="shared" si="1433"/>
        <v>0</v>
      </c>
      <c r="S2480" s="92">
        <f t="shared" si="1433"/>
        <v>0</v>
      </c>
      <c r="T2480" s="93">
        <f t="shared" si="1449"/>
        <v>0</v>
      </c>
      <c r="U2480" s="95">
        <f t="shared" si="1444"/>
        <v>0</v>
      </c>
      <c r="V2480" s="94"/>
      <c r="W2480" s="96" t="str">
        <f>IF(U2477&gt;0,"xx",IF(P2477&gt;0,"xy",""))</f>
        <v/>
      </c>
      <c r="X2480" s="580" t="str">
        <f t="shared" si="1437"/>
        <v/>
      </c>
      <c r="Y2480" s="580" t="str">
        <f t="shared" si="1440"/>
        <v/>
      </c>
      <c r="Z2480" s="580" t="str">
        <f t="shared" si="1442"/>
        <v/>
      </c>
    </row>
    <row r="2481" spans="1:26" hidden="1" x14ac:dyDescent="0.2">
      <c r="A2481" s="97" t="s">
        <v>165</v>
      </c>
      <c r="B2481" s="1031" t="s">
        <v>165</v>
      </c>
      <c r="C2481" s="978"/>
      <c r="D2481" s="595" t="s">
        <v>419</v>
      </c>
      <c r="E2481" s="596"/>
      <c r="F2481" s="671">
        <v>30</v>
      </c>
      <c r="G2481" s="597">
        <f>VLOOKUP(D2477,'ENSAIOS DE ORÇAMENTO'!$C$3:$L$79,3,FALSE)</f>
        <v>0</v>
      </c>
      <c r="H2481" s="682">
        <f>IF(F2481=0,0,IF(F2481&lt;=30,(0.7*F2481+1.45)*G2481,((0.7*30+1.45)+0.58*(F2481-30))*G2481))</f>
        <v>0</v>
      </c>
      <c r="I2481" s="592"/>
      <c r="J2481" s="592"/>
      <c r="K2481" s="593">
        <f t="shared" si="1438"/>
        <v>0</v>
      </c>
      <c r="L2481" s="594"/>
      <c r="M2481" s="92"/>
      <c r="N2481" s="92"/>
      <c r="O2481" s="93">
        <f t="shared" si="1447"/>
        <v>0</v>
      </c>
      <c r="P2481" s="93">
        <f t="shared" si="1448"/>
        <v>0</v>
      </c>
      <c r="Q2481" s="94"/>
      <c r="R2481" s="92">
        <f t="shared" si="1433"/>
        <v>0</v>
      </c>
      <c r="S2481" s="92">
        <f t="shared" si="1433"/>
        <v>0</v>
      </c>
      <c r="T2481" s="93">
        <f t="shared" si="1449"/>
        <v>0</v>
      </c>
      <c r="U2481" s="95">
        <f t="shared" si="1444"/>
        <v>0</v>
      </c>
      <c r="V2481" s="94"/>
      <c r="W2481" s="96" t="str">
        <f>IF(U2477&gt;0,"xx",IF(P2477&gt;0,"xy",""))</f>
        <v/>
      </c>
      <c r="X2481" s="580" t="str">
        <f t="shared" si="1437"/>
        <v/>
      </c>
      <c r="Y2481" s="580" t="str">
        <f t="shared" si="1440"/>
        <v/>
      </c>
      <c r="Z2481" s="580" t="str">
        <f t="shared" si="1442"/>
        <v/>
      </c>
    </row>
    <row r="2482" spans="1:26" hidden="1" x14ac:dyDescent="0.2">
      <c r="A2482" s="97" t="s">
        <v>165</v>
      </c>
      <c r="B2482" s="1031" t="s">
        <v>165</v>
      </c>
      <c r="C2482" s="978"/>
      <c r="D2482" s="595" t="s">
        <v>420</v>
      </c>
      <c r="E2482" s="596"/>
      <c r="F2482" s="671">
        <v>500</v>
      </c>
      <c r="G2482" s="597">
        <f>VLOOKUP(D2477,'ENSAIOS DE ORÇAMENTO'!$C$3:$L$79,10,FALSE)</f>
        <v>0</v>
      </c>
      <c r="H2482" s="682">
        <f>IF(F2482=0,0,IF(F2482&lt;=30,(0.7*F2482+1.45)*G2482,((0.7*30+1.45)+0.58*(F2482-30))*G2482))</f>
        <v>0</v>
      </c>
      <c r="I2482" s="592"/>
      <c r="J2482" s="592"/>
      <c r="K2482" s="593">
        <f t="shared" si="1438"/>
        <v>0</v>
      </c>
      <c r="L2482" s="594"/>
      <c r="M2482" s="92"/>
      <c r="N2482" s="92"/>
      <c r="O2482" s="93">
        <f t="shared" si="1447"/>
        <v>0</v>
      </c>
      <c r="P2482" s="93">
        <f t="shared" si="1448"/>
        <v>0</v>
      </c>
      <c r="Q2482" s="94"/>
      <c r="R2482" s="92">
        <f t="shared" si="1433"/>
        <v>0</v>
      </c>
      <c r="S2482" s="92">
        <f t="shared" si="1433"/>
        <v>0</v>
      </c>
      <c r="T2482" s="93">
        <f t="shared" si="1449"/>
        <v>0</v>
      </c>
      <c r="U2482" s="95">
        <f t="shared" si="1444"/>
        <v>0</v>
      </c>
      <c r="V2482" s="94"/>
      <c r="W2482" s="96" t="str">
        <f>IF(U2477&gt;0,"xx",IF(P2477&gt;0,"xy",""))</f>
        <v/>
      </c>
      <c r="X2482" s="580" t="str">
        <f t="shared" si="1437"/>
        <v/>
      </c>
      <c r="Y2482" s="580" t="str">
        <f t="shared" si="1440"/>
        <v/>
      </c>
      <c r="Z2482" s="580" t="str">
        <f t="shared" si="1442"/>
        <v/>
      </c>
    </row>
    <row r="2483" spans="1:26" x14ac:dyDescent="0.2">
      <c r="A2483" s="97" t="s">
        <v>53</v>
      </c>
      <c r="B2483" s="1107" t="s">
        <v>53</v>
      </c>
      <c r="C2483" s="1108" t="s">
        <v>212</v>
      </c>
      <c r="D2483" s="1109" t="s">
        <v>444</v>
      </c>
      <c r="E2483" s="1110"/>
      <c r="F2483" s="671"/>
      <c r="G2483" s="597"/>
      <c r="H2483" s="682">
        <f>SUM(H2484:H2488)</f>
        <v>39.499413340000004</v>
      </c>
      <c r="I2483" s="592">
        <f>VLOOKUP(D2483,'ENSAIOS DE ORÇAMENTO'!$C$3:$L$79,8,FALSE)</f>
        <v>882.17088000000001</v>
      </c>
      <c r="J2483" s="592">
        <f t="shared" ref="J2483" si="1451">IF(ISBLANK(I2483),"",SUM(H2483:I2483))</f>
        <v>921.67029334000006</v>
      </c>
      <c r="K2483" s="593">
        <f t="shared" si="1438"/>
        <v>1121.76</v>
      </c>
      <c r="L2483" s="594" t="s">
        <v>21</v>
      </c>
      <c r="M2483" s="92">
        <v>1</v>
      </c>
      <c r="N2483" s="92">
        <v>1122.99</v>
      </c>
      <c r="O2483" s="93">
        <f t="shared" si="1447"/>
        <v>1121.76</v>
      </c>
      <c r="P2483" s="93">
        <f t="shared" si="1448"/>
        <v>1122.99</v>
      </c>
      <c r="Q2483" s="94"/>
      <c r="R2483" s="1111">
        <f t="shared" si="1433"/>
        <v>1</v>
      </c>
      <c r="S2483" s="1111">
        <f>K2483</f>
        <v>1121.76</v>
      </c>
      <c r="T2483" s="1112">
        <f t="shared" si="1449"/>
        <v>1121.76</v>
      </c>
      <c r="U2483" s="1113">
        <f t="shared" si="1444"/>
        <v>1121.76</v>
      </c>
      <c r="V2483" s="1114"/>
      <c r="X2483" s="580" t="str">
        <f t="shared" si="1437"/>
        <v>x</v>
      </c>
      <c r="Y2483" s="580" t="str">
        <f t="shared" si="1440"/>
        <v>x</v>
      </c>
      <c r="Z2483" s="580" t="str">
        <f t="shared" si="1442"/>
        <v>x</v>
      </c>
    </row>
    <row r="2484" spans="1:26" hidden="1" x14ac:dyDescent="0.2">
      <c r="A2484" s="97" t="s">
        <v>165</v>
      </c>
      <c r="B2484" s="1031" t="s">
        <v>165</v>
      </c>
      <c r="C2484" s="978"/>
      <c r="D2484" s="595" t="s">
        <v>218</v>
      </c>
      <c r="E2484" s="596"/>
      <c r="F2484" s="1089">
        <v>97.1</v>
      </c>
      <c r="G2484" s="597">
        <f>VLOOKUP(D2483,'ENSAIOS DE ORÇAMENTO'!$C$3:$L$79,4,FALSE)</f>
        <v>0.38417000000000001</v>
      </c>
      <c r="H2484" s="682">
        <f>IF(F2484&lt;=30,(0.51*F2484+4.28)*G2484,((0.51*30+4.28)+0.42*(F2484-30))*G2484)</f>
        <v>18.348727540000002</v>
      </c>
      <c r="I2484" s="592"/>
      <c r="J2484" s="592"/>
      <c r="K2484" s="593">
        <f t="shared" si="1438"/>
        <v>0</v>
      </c>
      <c r="L2484" s="594"/>
      <c r="M2484" s="92"/>
      <c r="N2484" s="92"/>
      <c r="O2484" s="93">
        <f t="shared" si="1447"/>
        <v>0</v>
      </c>
      <c r="P2484" s="93">
        <f t="shared" si="1448"/>
        <v>0</v>
      </c>
      <c r="Q2484" s="94"/>
      <c r="R2484" s="92">
        <f t="shared" si="1433"/>
        <v>0</v>
      </c>
      <c r="S2484" s="92">
        <f t="shared" si="1433"/>
        <v>0</v>
      </c>
      <c r="T2484" s="93">
        <f t="shared" si="1449"/>
        <v>0</v>
      </c>
      <c r="U2484" s="95">
        <f t="shared" si="1444"/>
        <v>0</v>
      </c>
      <c r="V2484" s="94"/>
      <c r="W2484" s="96" t="str">
        <f>IF(U2483&gt;0,"xx",IF(P2483&gt;0,"xy",""))</f>
        <v>xx</v>
      </c>
      <c r="X2484" s="580" t="str">
        <f t="shared" si="1437"/>
        <v>x</v>
      </c>
      <c r="Y2484" s="580" t="str">
        <f t="shared" si="1440"/>
        <v>x</v>
      </c>
      <c r="Z2484" s="580" t="str">
        <f t="shared" si="1442"/>
        <v/>
      </c>
    </row>
    <row r="2485" spans="1:26" hidden="1" x14ac:dyDescent="0.2">
      <c r="A2485" s="97" t="s">
        <v>165</v>
      </c>
      <c r="B2485" s="1031" t="s">
        <v>165</v>
      </c>
      <c r="C2485" s="978"/>
      <c r="D2485" s="595" t="s">
        <v>257</v>
      </c>
      <c r="E2485" s="596"/>
      <c r="F2485" s="1089">
        <v>4.7</v>
      </c>
      <c r="G2485" s="597">
        <f>VLOOKUP(D2483,'ENSAIOS DE ORÇAMENTO'!$C$3:$L$79,5,FALSE)</f>
        <v>1.55436</v>
      </c>
      <c r="H2485" s="682">
        <f>IF(F2485=0,0,IF(F2485&lt;=30,(0.7*F2485+1.45)*G2485,((0.7*30+1.45)+0.58*(F2485-30))*G2485))</f>
        <v>7.3676664000000001</v>
      </c>
      <c r="I2485" s="592"/>
      <c r="J2485" s="592"/>
      <c r="K2485" s="593">
        <f t="shared" si="1438"/>
        <v>0</v>
      </c>
      <c r="L2485" s="594"/>
      <c r="M2485" s="92"/>
      <c r="N2485" s="92"/>
      <c r="O2485" s="93">
        <f t="shared" si="1447"/>
        <v>0</v>
      </c>
      <c r="P2485" s="93">
        <f t="shared" si="1448"/>
        <v>0</v>
      </c>
      <c r="Q2485" s="94"/>
      <c r="R2485" s="92">
        <f t="shared" si="1433"/>
        <v>0</v>
      </c>
      <c r="S2485" s="92">
        <f t="shared" si="1433"/>
        <v>0</v>
      </c>
      <c r="T2485" s="93">
        <f t="shared" si="1449"/>
        <v>0</v>
      </c>
      <c r="U2485" s="95">
        <f t="shared" si="1444"/>
        <v>0</v>
      </c>
      <c r="V2485" s="94"/>
      <c r="W2485" s="96" t="str">
        <f>IF(U2483&gt;0,"xx",IF(P2483&gt;0,"xy",""))</f>
        <v>xx</v>
      </c>
      <c r="X2485" s="580" t="str">
        <f t="shared" si="1437"/>
        <v>x</v>
      </c>
      <c r="Y2485" s="580" t="str">
        <f t="shared" si="1440"/>
        <v>x</v>
      </c>
      <c r="Z2485" s="580" t="str">
        <f t="shared" si="1442"/>
        <v/>
      </c>
    </row>
    <row r="2486" spans="1:26" hidden="1" x14ac:dyDescent="0.2">
      <c r="A2486" s="97" t="s">
        <v>165</v>
      </c>
      <c r="B2486" s="1031" t="s">
        <v>165</v>
      </c>
      <c r="C2486" s="978"/>
      <c r="D2486" s="595" t="s">
        <v>261</v>
      </c>
      <c r="E2486" s="596"/>
      <c r="F2486" s="1089">
        <v>4.7</v>
      </c>
      <c r="G2486" s="597">
        <f>VLOOKUP(D2483,'ENSAIOS DE ORÇAMENTO'!$C$3:$L$79,6,FALSE)</f>
        <v>2.9078100000000004</v>
      </c>
      <c r="H2486" s="682">
        <f>IF(F2486=0,0,IF(F2486&lt;=30,(0.7*F2486+1.45)*G2486,((0.7*30+1.45)+0.58*(F2486-30))*G2486))</f>
        <v>13.783019400000002</v>
      </c>
      <c r="I2486" s="592"/>
      <c r="J2486" s="592"/>
      <c r="K2486" s="593">
        <f t="shared" si="1438"/>
        <v>0</v>
      </c>
      <c r="L2486" s="594"/>
      <c r="M2486" s="92"/>
      <c r="N2486" s="92"/>
      <c r="O2486" s="93">
        <f t="shared" si="1447"/>
        <v>0</v>
      </c>
      <c r="P2486" s="93">
        <f t="shared" si="1448"/>
        <v>0</v>
      </c>
      <c r="Q2486" s="94"/>
      <c r="R2486" s="92">
        <f t="shared" ref="R2486:S2518" si="1452">M2486</f>
        <v>0</v>
      </c>
      <c r="S2486" s="92">
        <f t="shared" si="1452"/>
        <v>0</v>
      </c>
      <c r="T2486" s="93">
        <f t="shared" si="1449"/>
        <v>0</v>
      </c>
      <c r="U2486" s="95">
        <f t="shared" si="1444"/>
        <v>0</v>
      </c>
      <c r="V2486" s="94"/>
      <c r="W2486" s="96" t="str">
        <f>IF(U2483&gt;0,"xx",IF(P2483&gt;0,"xy",""))</f>
        <v>xx</v>
      </c>
      <c r="X2486" s="580" t="str">
        <f t="shared" si="1437"/>
        <v>x</v>
      </c>
      <c r="Y2486" s="580" t="str">
        <f t="shared" si="1440"/>
        <v>x</v>
      </c>
      <c r="Z2486" s="580" t="str">
        <f t="shared" si="1442"/>
        <v/>
      </c>
    </row>
    <row r="2487" spans="1:26" hidden="1" x14ac:dyDescent="0.2">
      <c r="A2487" s="97" t="s">
        <v>165</v>
      </c>
      <c r="B2487" s="1031" t="s">
        <v>165</v>
      </c>
      <c r="C2487" s="978"/>
      <c r="D2487" s="595" t="s">
        <v>419</v>
      </c>
      <c r="E2487" s="596"/>
      <c r="F2487" s="1089">
        <v>0.5</v>
      </c>
      <c r="G2487" s="597">
        <f>VLOOKUP(D2483,'ENSAIOS DE ORÇAMENTO'!$C$3:$L$79,3,FALSE)</f>
        <v>0</v>
      </c>
      <c r="H2487" s="682">
        <f>IF(F2487=0,0,IF(F2487&lt;=30,(0.7*F2487+1.45)*G2487,((0.7*30+1.45)+0.58*(F2487-30))*G2487))</f>
        <v>0</v>
      </c>
      <c r="I2487" s="592"/>
      <c r="J2487" s="592"/>
      <c r="K2487" s="593">
        <f t="shared" si="1438"/>
        <v>0</v>
      </c>
      <c r="L2487" s="594"/>
      <c r="M2487" s="92"/>
      <c r="N2487" s="92"/>
      <c r="O2487" s="93">
        <f t="shared" si="1447"/>
        <v>0</v>
      </c>
      <c r="P2487" s="93">
        <f t="shared" si="1448"/>
        <v>0</v>
      </c>
      <c r="Q2487" s="94"/>
      <c r="R2487" s="92">
        <f t="shared" si="1452"/>
        <v>0</v>
      </c>
      <c r="S2487" s="92">
        <f t="shared" si="1452"/>
        <v>0</v>
      </c>
      <c r="T2487" s="93">
        <f t="shared" si="1449"/>
        <v>0</v>
      </c>
      <c r="U2487" s="95">
        <f t="shared" si="1444"/>
        <v>0</v>
      </c>
      <c r="V2487" s="94"/>
      <c r="W2487" s="96" t="str">
        <f>IF(U2483&gt;0,"xx",IF(P2483&gt;0,"xy",""))</f>
        <v>xx</v>
      </c>
      <c r="X2487" s="580" t="str">
        <f t="shared" si="1437"/>
        <v>x</v>
      </c>
      <c r="Y2487" s="580" t="str">
        <f t="shared" si="1440"/>
        <v>x</v>
      </c>
      <c r="Z2487" s="580" t="str">
        <f t="shared" si="1442"/>
        <v/>
      </c>
    </row>
    <row r="2488" spans="1:26" hidden="1" x14ac:dyDescent="0.2">
      <c r="A2488" s="97" t="s">
        <v>165</v>
      </c>
      <c r="B2488" s="1031" t="s">
        <v>165</v>
      </c>
      <c r="C2488" s="978"/>
      <c r="D2488" s="595" t="s">
        <v>420</v>
      </c>
      <c r="E2488" s="596"/>
      <c r="F2488" s="1089">
        <v>125</v>
      </c>
      <c r="G2488" s="597">
        <f>VLOOKUP(D2483,'ENSAIOS DE ORÇAMENTO'!$C$3:$L$79,10,FALSE)</f>
        <v>0</v>
      </c>
      <c r="H2488" s="682">
        <f>IF(F2488=0,0,IF(F2488&lt;=30,(0.7*F2488+1.45)*G2488,((0.7*30+1.45)+0.58*(F2488-30))*G2488))</f>
        <v>0</v>
      </c>
      <c r="I2488" s="592"/>
      <c r="J2488" s="592"/>
      <c r="K2488" s="593">
        <f t="shared" si="1438"/>
        <v>0</v>
      </c>
      <c r="L2488" s="594"/>
      <c r="M2488" s="92"/>
      <c r="N2488" s="92"/>
      <c r="O2488" s="93">
        <f t="shared" si="1447"/>
        <v>0</v>
      </c>
      <c r="P2488" s="93">
        <f t="shared" si="1448"/>
        <v>0</v>
      </c>
      <c r="Q2488" s="94"/>
      <c r="R2488" s="92">
        <f t="shared" si="1452"/>
        <v>0</v>
      </c>
      <c r="S2488" s="92">
        <f t="shared" si="1452"/>
        <v>0</v>
      </c>
      <c r="T2488" s="93">
        <f t="shared" si="1449"/>
        <v>0</v>
      </c>
      <c r="U2488" s="95">
        <f t="shared" si="1444"/>
        <v>0</v>
      </c>
      <c r="V2488" s="94"/>
      <c r="W2488" s="96" t="str">
        <f>IF(U2483&gt;0,"xx",IF(P2483&gt;0,"xy",""))</f>
        <v>xx</v>
      </c>
      <c r="X2488" s="580" t="str">
        <f t="shared" si="1437"/>
        <v>x</v>
      </c>
      <c r="Y2488" s="580" t="str">
        <f t="shared" si="1440"/>
        <v>x</v>
      </c>
      <c r="Z2488" s="580" t="str">
        <f t="shared" si="1442"/>
        <v/>
      </c>
    </row>
    <row r="2489" spans="1:26" hidden="1" x14ac:dyDescent="0.2">
      <c r="A2489" s="97" t="s">
        <v>53</v>
      </c>
      <c r="B2489" s="1031" t="s">
        <v>53</v>
      </c>
      <c r="C2489" s="978" t="s">
        <v>212</v>
      </c>
      <c r="D2489" s="595" t="s">
        <v>445</v>
      </c>
      <c r="E2489" s="596"/>
      <c r="F2489" s="671"/>
      <c r="G2489" s="597"/>
      <c r="H2489" s="682">
        <f>SUM(H2490:H2494)</f>
        <v>48.7929429</v>
      </c>
      <c r="I2489" s="592">
        <f>VLOOKUP(D2489,'ENSAIOS DE ORÇAMENTO'!$C$3:$L$79,8,FALSE)</f>
        <v>1059.2508666666668</v>
      </c>
      <c r="J2489" s="592">
        <f t="shared" ref="J2489" si="1453">IF(ISBLANK(I2489),"",SUM(H2489:I2489))</f>
        <v>1108.0438095666668</v>
      </c>
      <c r="K2489" s="593">
        <f t="shared" si="1438"/>
        <v>1348.6</v>
      </c>
      <c r="L2489" s="594" t="s">
        <v>21</v>
      </c>
      <c r="M2489" s="92"/>
      <c r="N2489" s="92"/>
      <c r="O2489" s="93">
        <f t="shared" si="1447"/>
        <v>0</v>
      </c>
      <c r="P2489" s="93">
        <f t="shared" si="1448"/>
        <v>0</v>
      </c>
      <c r="Q2489" s="94"/>
      <c r="R2489" s="92">
        <f t="shared" si="1452"/>
        <v>0</v>
      </c>
      <c r="S2489" s="92">
        <f t="shared" si="1452"/>
        <v>0</v>
      </c>
      <c r="T2489" s="93">
        <f t="shared" si="1449"/>
        <v>0</v>
      </c>
      <c r="U2489" s="95">
        <f t="shared" si="1444"/>
        <v>0</v>
      </c>
      <c r="V2489" s="94"/>
      <c r="X2489" s="580" t="str">
        <f t="shared" si="1437"/>
        <v/>
      </c>
      <c r="Y2489" s="580" t="str">
        <f t="shared" si="1440"/>
        <v/>
      </c>
      <c r="Z2489" s="580" t="str">
        <f t="shared" si="1442"/>
        <v/>
      </c>
    </row>
    <row r="2490" spans="1:26" hidden="1" x14ac:dyDescent="0.2">
      <c r="A2490" s="97" t="s">
        <v>165</v>
      </c>
      <c r="B2490" s="1031" t="s">
        <v>165</v>
      </c>
      <c r="C2490" s="978"/>
      <c r="D2490" s="595" t="s">
        <v>218</v>
      </c>
      <c r="E2490" s="596"/>
      <c r="F2490" s="1089">
        <v>97.1</v>
      </c>
      <c r="G2490" s="597">
        <f>VLOOKUP(D2489,'ENSAIOS DE ORÇAMENTO'!$C$3:$L$79,4,FALSE)</f>
        <v>0.47295000000000004</v>
      </c>
      <c r="H2490" s="682">
        <f>IF(F2490&lt;=30,(0.51*F2490+4.28)*G2490,((0.51*30+4.28)+0.42*(F2490-30))*G2490)</f>
        <v>22.589037900000001</v>
      </c>
      <c r="I2490" s="592"/>
      <c r="J2490" s="592"/>
      <c r="K2490" s="593">
        <f t="shared" si="1438"/>
        <v>0</v>
      </c>
      <c r="L2490" s="594"/>
      <c r="M2490" s="92"/>
      <c r="N2490" s="92"/>
      <c r="O2490" s="93">
        <f t="shared" si="1447"/>
        <v>0</v>
      </c>
      <c r="P2490" s="93">
        <f t="shared" si="1448"/>
        <v>0</v>
      </c>
      <c r="Q2490" s="94"/>
      <c r="R2490" s="92">
        <f t="shared" si="1452"/>
        <v>0</v>
      </c>
      <c r="S2490" s="92">
        <f t="shared" si="1452"/>
        <v>0</v>
      </c>
      <c r="T2490" s="93">
        <f t="shared" si="1449"/>
        <v>0</v>
      </c>
      <c r="U2490" s="95">
        <f t="shared" si="1444"/>
        <v>0</v>
      </c>
      <c r="V2490" s="94"/>
      <c r="W2490" s="96" t="str">
        <f>IF(U2489&gt;0,"xx",IF(P2489&gt;0,"xy",""))</f>
        <v/>
      </c>
      <c r="X2490" s="580" t="str">
        <f t="shared" si="1437"/>
        <v/>
      </c>
      <c r="Y2490" s="580" t="str">
        <f t="shared" si="1440"/>
        <v/>
      </c>
      <c r="Z2490" s="580" t="str">
        <f t="shared" si="1442"/>
        <v/>
      </c>
    </row>
    <row r="2491" spans="1:26" hidden="1" x14ac:dyDescent="0.2">
      <c r="A2491" s="97" t="s">
        <v>165</v>
      </c>
      <c r="B2491" s="1031" t="s">
        <v>165</v>
      </c>
      <c r="C2491" s="978"/>
      <c r="D2491" s="595" t="s">
        <v>257</v>
      </c>
      <c r="E2491" s="596"/>
      <c r="F2491" s="1089">
        <v>4.7</v>
      </c>
      <c r="G2491" s="597">
        <f>VLOOKUP(D2489,'ENSAIOS DE ORÇAMENTO'!$C$3:$L$79,5,FALSE)</f>
        <v>1.9178999999999999</v>
      </c>
      <c r="H2491" s="682">
        <f>IF(F2491=0,0,IF(F2491&lt;=30,(0.7*F2491+1.45)*G2491,((0.7*30+1.45)+0.58*(F2491-30))*G2491))</f>
        <v>9.0908460000000009</v>
      </c>
      <c r="I2491" s="592"/>
      <c r="J2491" s="592"/>
      <c r="K2491" s="593">
        <f t="shared" si="1438"/>
        <v>0</v>
      </c>
      <c r="L2491" s="594"/>
      <c r="M2491" s="92"/>
      <c r="N2491" s="92"/>
      <c r="O2491" s="93">
        <f t="shared" si="1447"/>
        <v>0</v>
      </c>
      <c r="P2491" s="93">
        <f t="shared" si="1448"/>
        <v>0</v>
      </c>
      <c r="Q2491" s="94"/>
      <c r="R2491" s="92">
        <f t="shared" si="1452"/>
        <v>0</v>
      </c>
      <c r="S2491" s="92">
        <f t="shared" si="1452"/>
        <v>0</v>
      </c>
      <c r="T2491" s="93">
        <f t="shared" si="1449"/>
        <v>0</v>
      </c>
      <c r="U2491" s="95">
        <f t="shared" si="1444"/>
        <v>0</v>
      </c>
      <c r="V2491" s="94"/>
      <c r="W2491" s="96" t="str">
        <f>IF(U2489&gt;0,"xx",IF(P2489&gt;0,"xy",""))</f>
        <v/>
      </c>
      <c r="X2491" s="580" t="str">
        <f t="shared" si="1437"/>
        <v/>
      </c>
      <c r="Y2491" s="580" t="str">
        <f t="shared" si="1440"/>
        <v/>
      </c>
      <c r="Z2491" s="580" t="str">
        <f t="shared" si="1442"/>
        <v/>
      </c>
    </row>
    <row r="2492" spans="1:26" hidden="1" x14ac:dyDescent="0.2">
      <c r="A2492" s="97" t="s">
        <v>165</v>
      </c>
      <c r="B2492" s="1031" t="s">
        <v>165</v>
      </c>
      <c r="C2492" s="978"/>
      <c r="D2492" s="595" t="s">
        <v>261</v>
      </c>
      <c r="E2492" s="596"/>
      <c r="F2492" s="1089">
        <v>4.7</v>
      </c>
      <c r="G2492" s="597">
        <f>VLOOKUP(D2489,'ENSAIOS DE ORÇAMENTO'!$C$3:$L$79,6,FALSE)</f>
        <v>3.6103500000000004</v>
      </c>
      <c r="H2492" s="682">
        <f>IF(F2492=0,0,IF(F2492&lt;=30,(0.7*F2492+1.45)*G2492,((0.7*30+1.45)+0.58*(F2492-30))*G2492))</f>
        <v>17.113059000000003</v>
      </c>
      <c r="I2492" s="592"/>
      <c r="J2492" s="592"/>
      <c r="K2492" s="593">
        <f t="shared" si="1438"/>
        <v>0</v>
      </c>
      <c r="L2492" s="594"/>
      <c r="M2492" s="92"/>
      <c r="N2492" s="92"/>
      <c r="O2492" s="93">
        <f t="shared" si="1447"/>
        <v>0</v>
      </c>
      <c r="P2492" s="93">
        <f t="shared" si="1448"/>
        <v>0</v>
      </c>
      <c r="Q2492" s="94"/>
      <c r="R2492" s="92">
        <f t="shared" si="1452"/>
        <v>0</v>
      </c>
      <c r="S2492" s="92">
        <f t="shared" si="1452"/>
        <v>0</v>
      </c>
      <c r="T2492" s="93">
        <f t="shared" si="1449"/>
        <v>0</v>
      </c>
      <c r="U2492" s="95">
        <f t="shared" si="1444"/>
        <v>0</v>
      </c>
      <c r="V2492" s="94"/>
      <c r="W2492" s="96" t="str">
        <f>IF(U2489&gt;0,"xx",IF(P2489&gt;0,"xy",""))</f>
        <v/>
      </c>
      <c r="X2492" s="580" t="str">
        <f t="shared" si="1437"/>
        <v/>
      </c>
      <c r="Y2492" s="580" t="str">
        <f t="shared" si="1440"/>
        <v/>
      </c>
      <c r="Z2492" s="580" t="str">
        <f t="shared" si="1442"/>
        <v/>
      </c>
    </row>
    <row r="2493" spans="1:26" hidden="1" x14ac:dyDescent="0.2">
      <c r="A2493" s="97" t="s">
        <v>165</v>
      </c>
      <c r="B2493" s="1031" t="s">
        <v>165</v>
      </c>
      <c r="C2493" s="978"/>
      <c r="D2493" s="595" t="s">
        <v>419</v>
      </c>
      <c r="E2493" s="596"/>
      <c r="F2493" s="1089">
        <v>0.5</v>
      </c>
      <c r="G2493" s="597">
        <f>VLOOKUP(D2489,'ENSAIOS DE ORÇAMENTO'!$C$3:$L$79,3,FALSE)</f>
        <v>0</v>
      </c>
      <c r="H2493" s="682">
        <f>IF(F2493=0,0,IF(F2493&lt;=30,(0.7*F2493+1.45)*G2493,((0.7*30+1.45)+0.58*(F2493-30))*G2493))</f>
        <v>0</v>
      </c>
      <c r="I2493" s="592"/>
      <c r="J2493" s="592"/>
      <c r="K2493" s="593">
        <f t="shared" si="1438"/>
        <v>0</v>
      </c>
      <c r="L2493" s="594"/>
      <c r="M2493" s="92"/>
      <c r="N2493" s="92"/>
      <c r="O2493" s="93">
        <f t="shared" si="1447"/>
        <v>0</v>
      </c>
      <c r="P2493" s="93">
        <f t="shared" si="1448"/>
        <v>0</v>
      </c>
      <c r="Q2493" s="94"/>
      <c r="R2493" s="92">
        <f t="shared" si="1452"/>
        <v>0</v>
      </c>
      <c r="S2493" s="92">
        <f t="shared" si="1452"/>
        <v>0</v>
      </c>
      <c r="T2493" s="93">
        <f t="shared" si="1449"/>
        <v>0</v>
      </c>
      <c r="U2493" s="95">
        <f t="shared" si="1444"/>
        <v>0</v>
      </c>
      <c r="V2493" s="94"/>
      <c r="W2493" s="96" t="str">
        <f>IF(U2489&gt;0,"xx",IF(P2489&gt;0,"xy",""))</f>
        <v/>
      </c>
      <c r="X2493" s="580" t="str">
        <f t="shared" si="1437"/>
        <v/>
      </c>
      <c r="Y2493" s="580" t="str">
        <f t="shared" si="1440"/>
        <v/>
      </c>
      <c r="Z2493" s="580" t="str">
        <f t="shared" si="1442"/>
        <v/>
      </c>
    </row>
    <row r="2494" spans="1:26" hidden="1" x14ac:dyDescent="0.2">
      <c r="A2494" s="97" t="s">
        <v>165</v>
      </c>
      <c r="B2494" s="1031" t="s">
        <v>165</v>
      </c>
      <c r="C2494" s="978"/>
      <c r="D2494" s="595" t="s">
        <v>420</v>
      </c>
      <c r="E2494" s="596"/>
      <c r="F2494" s="1089">
        <v>125</v>
      </c>
      <c r="G2494" s="597">
        <f>VLOOKUP(D2489,'ENSAIOS DE ORÇAMENTO'!$C$3:$L$79,10,FALSE)</f>
        <v>0</v>
      </c>
      <c r="H2494" s="682">
        <f>IF(F2494=0,0,IF(F2494&lt;=30,(0.7*F2494+1.45)*G2494,((0.7*30+1.45)+0.58*(F2494-30))*G2494))</f>
        <v>0</v>
      </c>
      <c r="I2494" s="592"/>
      <c r="J2494" s="592"/>
      <c r="K2494" s="593">
        <f t="shared" si="1438"/>
        <v>0</v>
      </c>
      <c r="L2494" s="594"/>
      <c r="M2494" s="92"/>
      <c r="N2494" s="92"/>
      <c r="O2494" s="93">
        <f t="shared" si="1447"/>
        <v>0</v>
      </c>
      <c r="P2494" s="93">
        <f t="shared" si="1448"/>
        <v>0</v>
      </c>
      <c r="Q2494" s="94"/>
      <c r="R2494" s="92">
        <f t="shared" si="1452"/>
        <v>0</v>
      </c>
      <c r="S2494" s="92">
        <f t="shared" si="1452"/>
        <v>0</v>
      </c>
      <c r="T2494" s="93">
        <f t="shared" si="1449"/>
        <v>0</v>
      </c>
      <c r="U2494" s="95">
        <f t="shared" si="1444"/>
        <v>0</v>
      </c>
      <c r="V2494" s="94"/>
      <c r="W2494" s="96" t="str">
        <f>IF(U2489&gt;0,"xx",IF(P2489&gt;0,"xy",""))</f>
        <v/>
      </c>
      <c r="X2494" s="580" t="str">
        <f t="shared" si="1437"/>
        <v/>
      </c>
      <c r="Y2494" s="580" t="str">
        <f t="shared" si="1440"/>
        <v/>
      </c>
      <c r="Z2494" s="580" t="str">
        <f t="shared" si="1442"/>
        <v/>
      </c>
    </row>
    <row r="2495" spans="1:26" x14ac:dyDescent="0.2">
      <c r="A2495" s="97" t="s">
        <v>53</v>
      </c>
      <c r="B2495" s="1107" t="s">
        <v>53</v>
      </c>
      <c r="C2495" s="1108" t="s">
        <v>212</v>
      </c>
      <c r="D2495" s="1109" t="s">
        <v>446</v>
      </c>
      <c r="E2495" s="1110"/>
      <c r="F2495" s="671"/>
      <c r="G2495" s="597"/>
      <c r="H2495" s="682">
        <f>SUM(H2496:H2500)</f>
        <v>78.151641920000003</v>
      </c>
      <c r="I2495" s="592">
        <f>VLOOKUP(D2495,'ENSAIOS DE ORÇAMENTO'!$C$3:$L$79,8,FALSE)</f>
        <v>1635.64176</v>
      </c>
      <c r="J2495" s="592">
        <f t="shared" ref="J2495" si="1454">IF(ISBLANK(I2495),"",SUM(H2495:I2495))</f>
        <v>1713.79340192</v>
      </c>
      <c r="K2495" s="593">
        <f t="shared" si="1438"/>
        <v>2085.86</v>
      </c>
      <c r="L2495" s="594" t="s">
        <v>21</v>
      </c>
      <c r="M2495" s="92">
        <v>1</v>
      </c>
      <c r="N2495" s="92">
        <v>2086.39</v>
      </c>
      <c r="O2495" s="93">
        <f t="shared" si="1447"/>
        <v>2085.86</v>
      </c>
      <c r="P2495" s="93">
        <f t="shared" si="1448"/>
        <v>2086.39</v>
      </c>
      <c r="Q2495" s="94"/>
      <c r="R2495" s="1111">
        <f t="shared" si="1452"/>
        <v>1</v>
      </c>
      <c r="S2495" s="1111">
        <f>K2495</f>
        <v>2085.86</v>
      </c>
      <c r="T2495" s="1112">
        <f t="shared" si="1449"/>
        <v>2085.86</v>
      </c>
      <c r="U2495" s="1113">
        <f t="shared" si="1444"/>
        <v>2085.86</v>
      </c>
      <c r="V2495" s="1114"/>
      <c r="X2495" s="580" t="str">
        <f t="shared" si="1437"/>
        <v>x</v>
      </c>
      <c r="Y2495" s="580" t="str">
        <f t="shared" si="1440"/>
        <v>x</v>
      </c>
      <c r="Z2495" s="580" t="str">
        <f t="shared" si="1442"/>
        <v>x</v>
      </c>
    </row>
    <row r="2496" spans="1:26" hidden="1" x14ac:dyDescent="0.2">
      <c r="A2496" s="97" t="s">
        <v>165</v>
      </c>
      <c r="B2496" s="1031" t="s">
        <v>165</v>
      </c>
      <c r="C2496" s="978"/>
      <c r="D2496" s="595" t="s">
        <v>218</v>
      </c>
      <c r="E2496" s="596"/>
      <c r="F2496" s="1089">
        <v>97.1</v>
      </c>
      <c r="G2496" s="597">
        <f>VLOOKUP(D2495,'ENSAIOS DE ORÇAMENTO'!$C$3:$L$79,4,FALSE)</f>
        <v>0.75196000000000007</v>
      </c>
      <c r="H2496" s="682">
        <f>IF(F2496&lt;=30,(0.51*F2496+4.28)*G2496,((0.51*30+4.28)+0.42*(F2496-30))*G2496)</f>
        <v>35.915113520000006</v>
      </c>
      <c r="I2496" s="592"/>
      <c r="J2496" s="592"/>
      <c r="K2496" s="593">
        <f t="shared" si="1438"/>
        <v>0</v>
      </c>
      <c r="L2496" s="594"/>
      <c r="M2496" s="92"/>
      <c r="N2496" s="92"/>
      <c r="O2496" s="93">
        <f t="shared" si="1447"/>
        <v>0</v>
      </c>
      <c r="P2496" s="93">
        <f t="shared" si="1448"/>
        <v>0</v>
      </c>
      <c r="Q2496" s="94"/>
      <c r="R2496" s="92">
        <f t="shared" si="1452"/>
        <v>0</v>
      </c>
      <c r="S2496" s="92">
        <f t="shared" si="1452"/>
        <v>0</v>
      </c>
      <c r="T2496" s="93">
        <f t="shared" si="1449"/>
        <v>0</v>
      </c>
      <c r="U2496" s="95">
        <f t="shared" si="1444"/>
        <v>0</v>
      </c>
      <c r="V2496" s="94"/>
      <c r="W2496" s="96" t="str">
        <f>IF(U2495&gt;0,"xx",IF(P2495&gt;0,"xy",""))</f>
        <v>xx</v>
      </c>
      <c r="X2496" s="580" t="str">
        <f t="shared" si="1437"/>
        <v>x</v>
      </c>
      <c r="Y2496" s="580" t="str">
        <f t="shared" si="1440"/>
        <v>x</v>
      </c>
      <c r="Z2496" s="580" t="str">
        <f t="shared" si="1442"/>
        <v/>
      </c>
    </row>
    <row r="2497" spans="1:26" hidden="1" x14ac:dyDescent="0.2">
      <c r="A2497" s="97" t="s">
        <v>165</v>
      </c>
      <c r="B2497" s="1031" t="s">
        <v>165</v>
      </c>
      <c r="C2497" s="978"/>
      <c r="D2497" s="595" t="s">
        <v>257</v>
      </c>
      <c r="E2497" s="596"/>
      <c r="F2497" s="1089">
        <v>4.7</v>
      </c>
      <c r="G2497" s="597">
        <f>VLOOKUP(D2495,'ENSAIOS DE ORÇAMENTO'!$C$3:$L$79,5,FALSE)</f>
        <v>3.0643799999999999</v>
      </c>
      <c r="H2497" s="682">
        <f>IF(F2497=0,0,IF(F2497&lt;=30,(0.7*F2497+1.45)*G2497,((0.7*30+1.45)+0.58*(F2497-30))*G2497))</f>
        <v>14.525161199999999</v>
      </c>
      <c r="I2497" s="592"/>
      <c r="J2497" s="592"/>
      <c r="K2497" s="593">
        <f t="shared" si="1438"/>
        <v>0</v>
      </c>
      <c r="L2497" s="594"/>
      <c r="M2497" s="92"/>
      <c r="N2497" s="92"/>
      <c r="O2497" s="93">
        <f t="shared" si="1447"/>
        <v>0</v>
      </c>
      <c r="P2497" s="93">
        <f t="shared" si="1448"/>
        <v>0</v>
      </c>
      <c r="Q2497" s="94"/>
      <c r="R2497" s="92">
        <f t="shared" si="1452"/>
        <v>0</v>
      </c>
      <c r="S2497" s="92">
        <f t="shared" si="1452"/>
        <v>0</v>
      </c>
      <c r="T2497" s="93">
        <f t="shared" si="1449"/>
        <v>0</v>
      </c>
      <c r="U2497" s="95">
        <f t="shared" si="1444"/>
        <v>0</v>
      </c>
      <c r="V2497" s="94"/>
      <c r="W2497" s="96" t="str">
        <f>IF(U2495&gt;0,"xx",IF(P2495&gt;0,"xy",""))</f>
        <v>xx</v>
      </c>
      <c r="X2497" s="580" t="str">
        <f t="shared" si="1437"/>
        <v>x</v>
      </c>
      <c r="Y2497" s="580" t="str">
        <f t="shared" si="1440"/>
        <v>x</v>
      </c>
      <c r="Z2497" s="580" t="str">
        <f t="shared" si="1442"/>
        <v/>
      </c>
    </row>
    <row r="2498" spans="1:26" hidden="1" x14ac:dyDescent="0.2">
      <c r="A2498" s="97" t="s">
        <v>165</v>
      </c>
      <c r="B2498" s="1031" t="s">
        <v>165</v>
      </c>
      <c r="C2498" s="978"/>
      <c r="D2498" s="595" t="s">
        <v>261</v>
      </c>
      <c r="E2498" s="596"/>
      <c r="F2498" s="1089">
        <v>4.7</v>
      </c>
      <c r="G2498" s="597">
        <f>VLOOKUP(D2495,'ENSAIOS DE ORÇAMENTO'!$C$3:$L$79,6,FALSE)</f>
        <v>5.8462800000000001</v>
      </c>
      <c r="H2498" s="682">
        <f>IF(F2498=0,0,IF(F2498&lt;=30,(0.7*F2498+1.45)*G2498,((0.7*30+1.45)+0.58*(F2498-30))*G2498))</f>
        <v>27.711367200000002</v>
      </c>
      <c r="I2498" s="592"/>
      <c r="J2498" s="592"/>
      <c r="K2498" s="593">
        <f t="shared" si="1438"/>
        <v>0</v>
      </c>
      <c r="L2498" s="594"/>
      <c r="M2498" s="92"/>
      <c r="N2498" s="92"/>
      <c r="O2498" s="93">
        <f t="shared" si="1447"/>
        <v>0</v>
      </c>
      <c r="P2498" s="93">
        <f t="shared" si="1448"/>
        <v>0</v>
      </c>
      <c r="Q2498" s="94"/>
      <c r="R2498" s="92">
        <f t="shared" si="1452"/>
        <v>0</v>
      </c>
      <c r="S2498" s="92">
        <f t="shared" si="1452"/>
        <v>0</v>
      </c>
      <c r="T2498" s="93">
        <f t="shared" si="1449"/>
        <v>0</v>
      </c>
      <c r="U2498" s="95">
        <f t="shared" si="1444"/>
        <v>0</v>
      </c>
      <c r="V2498" s="94"/>
      <c r="W2498" s="96" t="str">
        <f>IF(U2495&gt;0,"xx",IF(P2495&gt;0,"xy",""))</f>
        <v>xx</v>
      </c>
      <c r="X2498" s="580" t="str">
        <f t="shared" si="1437"/>
        <v>x</v>
      </c>
      <c r="Y2498" s="580" t="str">
        <f t="shared" si="1440"/>
        <v>x</v>
      </c>
      <c r="Z2498" s="580" t="str">
        <f t="shared" si="1442"/>
        <v/>
      </c>
    </row>
    <row r="2499" spans="1:26" hidden="1" x14ac:dyDescent="0.2">
      <c r="A2499" s="97" t="s">
        <v>165</v>
      </c>
      <c r="B2499" s="1031" t="s">
        <v>165</v>
      </c>
      <c r="C2499" s="978"/>
      <c r="D2499" s="595" t="s">
        <v>419</v>
      </c>
      <c r="E2499" s="596"/>
      <c r="F2499" s="1089">
        <v>0.5</v>
      </c>
      <c r="G2499" s="597">
        <f>VLOOKUP(D2495,'ENSAIOS DE ORÇAMENTO'!$C$3:$L$79,3,FALSE)</f>
        <v>0</v>
      </c>
      <c r="H2499" s="682">
        <f>IF(F2499=0,0,IF(F2499&lt;=30,(0.7*F2499+1.45)*G2499,((0.7*30+1.45)+0.58*(F2499-30))*G2499))</f>
        <v>0</v>
      </c>
      <c r="I2499" s="592"/>
      <c r="J2499" s="592"/>
      <c r="K2499" s="593">
        <f t="shared" si="1438"/>
        <v>0</v>
      </c>
      <c r="L2499" s="594"/>
      <c r="M2499" s="92"/>
      <c r="N2499" s="92"/>
      <c r="O2499" s="93">
        <f t="shared" si="1447"/>
        <v>0</v>
      </c>
      <c r="P2499" s="93">
        <f t="shared" si="1448"/>
        <v>0</v>
      </c>
      <c r="Q2499" s="94"/>
      <c r="R2499" s="92">
        <f t="shared" si="1452"/>
        <v>0</v>
      </c>
      <c r="S2499" s="92">
        <f t="shared" si="1452"/>
        <v>0</v>
      </c>
      <c r="T2499" s="93">
        <f t="shared" si="1449"/>
        <v>0</v>
      </c>
      <c r="U2499" s="95">
        <f t="shared" si="1444"/>
        <v>0</v>
      </c>
      <c r="V2499" s="94"/>
      <c r="W2499" s="96" t="str">
        <f>IF(U2495&gt;0,"xx",IF(P2495&gt;0,"xy",""))</f>
        <v>xx</v>
      </c>
      <c r="X2499" s="580" t="str">
        <f t="shared" si="1437"/>
        <v>x</v>
      </c>
      <c r="Y2499" s="580" t="str">
        <f t="shared" si="1440"/>
        <v>x</v>
      </c>
      <c r="Z2499" s="580" t="str">
        <f t="shared" si="1442"/>
        <v/>
      </c>
    </row>
    <row r="2500" spans="1:26" hidden="1" x14ac:dyDescent="0.2">
      <c r="A2500" s="97" t="s">
        <v>165</v>
      </c>
      <c r="B2500" s="1031" t="s">
        <v>165</v>
      </c>
      <c r="C2500" s="978"/>
      <c r="D2500" s="595" t="s">
        <v>420</v>
      </c>
      <c r="E2500" s="596"/>
      <c r="F2500" s="1089">
        <v>125</v>
      </c>
      <c r="G2500" s="597">
        <f>VLOOKUP(D2495,'ENSAIOS DE ORÇAMENTO'!$C$3:$L$79,10,FALSE)</f>
        <v>0</v>
      </c>
      <c r="H2500" s="682">
        <f>IF(F2500=0,0,IF(F2500&lt;=30,(0.7*F2500+1.45)*G2500,((0.7*30+1.45)+0.58*(F2500-30))*G2500))</f>
        <v>0</v>
      </c>
      <c r="I2500" s="592"/>
      <c r="J2500" s="592"/>
      <c r="K2500" s="593">
        <f t="shared" si="1438"/>
        <v>0</v>
      </c>
      <c r="L2500" s="594"/>
      <c r="M2500" s="92"/>
      <c r="N2500" s="92"/>
      <c r="O2500" s="93">
        <f t="shared" si="1447"/>
        <v>0</v>
      </c>
      <c r="P2500" s="93">
        <f t="shared" si="1448"/>
        <v>0</v>
      </c>
      <c r="Q2500" s="94"/>
      <c r="R2500" s="92">
        <f t="shared" si="1452"/>
        <v>0</v>
      </c>
      <c r="S2500" s="92">
        <f t="shared" si="1452"/>
        <v>0</v>
      </c>
      <c r="T2500" s="93">
        <f t="shared" si="1449"/>
        <v>0</v>
      </c>
      <c r="U2500" s="95">
        <f t="shared" si="1444"/>
        <v>0</v>
      </c>
      <c r="V2500" s="94"/>
      <c r="W2500" s="96" t="str">
        <f>IF(U2495&gt;0,"xx",IF(P2495&gt;0,"xy",""))</f>
        <v>xx</v>
      </c>
      <c r="X2500" s="580" t="str">
        <f t="shared" si="1437"/>
        <v>x</v>
      </c>
      <c r="Y2500" s="580" t="str">
        <f t="shared" si="1440"/>
        <v>x</v>
      </c>
      <c r="Z2500" s="580" t="str">
        <f t="shared" si="1442"/>
        <v/>
      </c>
    </row>
    <row r="2501" spans="1:26" hidden="1" x14ac:dyDescent="0.2">
      <c r="A2501" s="97" t="s">
        <v>53</v>
      </c>
      <c r="B2501" s="1031" t="s">
        <v>53</v>
      </c>
      <c r="C2501" s="978" t="s">
        <v>212</v>
      </c>
      <c r="D2501" s="595" t="s">
        <v>160</v>
      </c>
      <c r="E2501" s="596"/>
      <c r="F2501" s="671"/>
      <c r="G2501" s="597"/>
      <c r="H2501" s="682">
        <f>SUM(H2502:H2506)</f>
        <v>854.04889430000003</v>
      </c>
      <c r="I2501" s="592">
        <f>VLOOKUP(D2501,'ENSAIOS DE ORÇAMENTO'!$C$3:$L$79,8,FALSE)</f>
        <v>2313.6580933333335</v>
      </c>
      <c r="J2501" s="592">
        <f t="shared" ref="J2501" si="1455">IF(ISBLANK(I2501),"",SUM(H2501:I2501))</f>
        <v>3167.7069876333335</v>
      </c>
      <c r="K2501" s="593">
        <f t="shared" si="1438"/>
        <v>3855.42</v>
      </c>
      <c r="L2501" s="594" t="s">
        <v>21</v>
      </c>
      <c r="M2501" s="92"/>
      <c r="N2501" s="92"/>
      <c r="O2501" s="93">
        <f t="shared" si="1447"/>
        <v>0</v>
      </c>
      <c r="P2501" s="93">
        <f t="shared" si="1448"/>
        <v>0</v>
      </c>
      <c r="Q2501" s="94"/>
      <c r="R2501" s="92">
        <f t="shared" si="1452"/>
        <v>0</v>
      </c>
      <c r="S2501" s="92">
        <f t="shared" si="1452"/>
        <v>0</v>
      </c>
      <c r="T2501" s="93">
        <f t="shared" si="1449"/>
        <v>0</v>
      </c>
      <c r="U2501" s="95">
        <f t="shared" si="1444"/>
        <v>0</v>
      </c>
      <c r="V2501" s="94"/>
      <c r="X2501" s="580" t="str">
        <f t="shared" si="1437"/>
        <v/>
      </c>
      <c r="Y2501" s="580" t="str">
        <f t="shared" si="1440"/>
        <v/>
      </c>
      <c r="Z2501" s="580" t="str">
        <f t="shared" si="1442"/>
        <v/>
      </c>
    </row>
    <row r="2502" spans="1:26" hidden="1" x14ac:dyDescent="0.2">
      <c r="A2502" s="97" t="s">
        <v>165</v>
      </c>
      <c r="B2502" s="1031" t="s">
        <v>165</v>
      </c>
      <c r="C2502" s="978"/>
      <c r="D2502" s="595" t="s">
        <v>218</v>
      </c>
      <c r="E2502" s="596"/>
      <c r="F2502" s="671">
        <v>500</v>
      </c>
      <c r="G2502" s="597">
        <f>VLOOKUP(D2501,'ENSAIOS DE ORÇAMENTO'!$C$3:$L$79,4,FALSE)</f>
        <v>1.08901</v>
      </c>
      <c r="H2502" s="682">
        <f>IF(F2502&lt;=30,(0.51*F2502+4.28)*G2502,((0.51*30+4.28)+0.42*(F2502-30))*G2502)</f>
        <v>236.29338980000003</v>
      </c>
      <c r="I2502" s="592"/>
      <c r="J2502" s="592"/>
      <c r="K2502" s="593">
        <f t="shared" si="1438"/>
        <v>0</v>
      </c>
      <c r="L2502" s="594"/>
      <c r="M2502" s="92"/>
      <c r="N2502" s="92"/>
      <c r="O2502" s="93">
        <f t="shared" si="1447"/>
        <v>0</v>
      </c>
      <c r="P2502" s="93">
        <f t="shared" si="1448"/>
        <v>0</v>
      </c>
      <c r="Q2502" s="94"/>
      <c r="R2502" s="92">
        <f t="shared" si="1452"/>
        <v>0</v>
      </c>
      <c r="S2502" s="92">
        <f t="shared" si="1452"/>
        <v>0</v>
      </c>
      <c r="T2502" s="93">
        <f t="shared" si="1449"/>
        <v>0</v>
      </c>
      <c r="U2502" s="95">
        <f t="shared" si="1444"/>
        <v>0</v>
      </c>
      <c r="V2502" s="94"/>
      <c r="W2502" s="96" t="str">
        <f>IF(U2501&gt;0,"xx",IF(P2501&gt;0,"xy",""))</f>
        <v/>
      </c>
      <c r="X2502" s="580" t="str">
        <f t="shared" si="1437"/>
        <v/>
      </c>
      <c r="Y2502" s="580" t="str">
        <f t="shared" si="1440"/>
        <v/>
      </c>
      <c r="Z2502" s="580" t="str">
        <f t="shared" si="1442"/>
        <v/>
      </c>
    </row>
    <row r="2503" spans="1:26" hidden="1" x14ac:dyDescent="0.2">
      <c r="A2503" s="97" t="s">
        <v>165</v>
      </c>
      <c r="B2503" s="1031" t="s">
        <v>165</v>
      </c>
      <c r="C2503" s="978"/>
      <c r="D2503" s="595" t="s">
        <v>257</v>
      </c>
      <c r="E2503" s="596"/>
      <c r="F2503" s="671">
        <v>180</v>
      </c>
      <c r="G2503" s="597">
        <f>VLOOKUP(D2501,'ENSAIOS DE ORÇAMENTO'!$C$3:$L$79,5,FALSE)</f>
        <v>4.4434800000000001</v>
      </c>
      <c r="H2503" s="682">
        <f>IF(F2503=0,0,IF(F2503&lt;=30,(0.7*F2503+1.45)*G2503,((0.7*30+1.45)+0.58*(F2503-30))*G2503))</f>
        <v>486.338886</v>
      </c>
      <c r="I2503" s="592"/>
      <c r="J2503" s="592"/>
      <c r="K2503" s="593">
        <f t="shared" si="1438"/>
        <v>0</v>
      </c>
      <c r="L2503" s="594"/>
      <c r="M2503" s="92"/>
      <c r="N2503" s="92"/>
      <c r="O2503" s="93">
        <f t="shared" si="1447"/>
        <v>0</v>
      </c>
      <c r="P2503" s="93">
        <f t="shared" si="1448"/>
        <v>0</v>
      </c>
      <c r="Q2503" s="94"/>
      <c r="R2503" s="92">
        <f t="shared" si="1452"/>
        <v>0</v>
      </c>
      <c r="S2503" s="92">
        <f t="shared" si="1452"/>
        <v>0</v>
      </c>
      <c r="T2503" s="93">
        <f t="shared" si="1449"/>
        <v>0</v>
      </c>
      <c r="U2503" s="95">
        <f t="shared" si="1444"/>
        <v>0</v>
      </c>
      <c r="V2503" s="94"/>
      <c r="W2503" s="96" t="str">
        <f>IF(U2501&gt;0,"xx",IF(P2501&gt;0,"xy",""))</f>
        <v/>
      </c>
      <c r="X2503" s="580" t="str">
        <f t="shared" si="1437"/>
        <v/>
      </c>
      <c r="Y2503" s="580" t="str">
        <f t="shared" si="1440"/>
        <v/>
      </c>
      <c r="Z2503" s="580" t="str">
        <f t="shared" si="1442"/>
        <v/>
      </c>
    </row>
    <row r="2504" spans="1:26" hidden="1" x14ac:dyDescent="0.2">
      <c r="A2504" s="97" t="s">
        <v>165</v>
      </c>
      <c r="B2504" s="1031" t="s">
        <v>165</v>
      </c>
      <c r="C2504" s="978"/>
      <c r="D2504" s="595" t="s">
        <v>261</v>
      </c>
      <c r="E2504" s="596"/>
      <c r="F2504" s="671">
        <v>20</v>
      </c>
      <c r="G2504" s="597">
        <f>VLOOKUP(D2501,'ENSAIOS DE ORÇAMENTO'!$C$3:$L$79,6,FALSE)</f>
        <v>8.5059300000000011</v>
      </c>
      <c r="H2504" s="682">
        <f>IF(F2504=0,0,IF(F2504&lt;=30,(0.7*F2504+1.45)*G2504,((0.7*30+1.45)+0.58*(F2504-30))*G2504))</f>
        <v>131.4166185</v>
      </c>
      <c r="I2504" s="592"/>
      <c r="J2504" s="592"/>
      <c r="K2504" s="593">
        <f t="shared" si="1438"/>
        <v>0</v>
      </c>
      <c r="L2504" s="594"/>
      <c r="M2504" s="92"/>
      <c r="N2504" s="92"/>
      <c r="O2504" s="93">
        <f t="shared" si="1447"/>
        <v>0</v>
      </c>
      <c r="P2504" s="93">
        <f t="shared" si="1448"/>
        <v>0</v>
      </c>
      <c r="Q2504" s="94"/>
      <c r="R2504" s="92">
        <f t="shared" si="1452"/>
        <v>0</v>
      </c>
      <c r="S2504" s="92">
        <f t="shared" si="1452"/>
        <v>0</v>
      </c>
      <c r="T2504" s="93">
        <f t="shared" si="1449"/>
        <v>0</v>
      </c>
      <c r="U2504" s="95">
        <f t="shared" si="1444"/>
        <v>0</v>
      </c>
      <c r="V2504" s="94"/>
      <c r="W2504" s="96" t="str">
        <f>IF(U2501&gt;0,"xx",IF(P2501&gt;0,"xy",""))</f>
        <v/>
      </c>
      <c r="X2504" s="580" t="str">
        <f t="shared" si="1437"/>
        <v/>
      </c>
      <c r="Y2504" s="580" t="str">
        <f t="shared" si="1440"/>
        <v/>
      </c>
      <c r="Z2504" s="580" t="str">
        <f t="shared" si="1442"/>
        <v/>
      </c>
    </row>
    <row r="2505" spans="1:26" hidden="1" x14ac:dyDescent="0.2">
      <c r="A2505" s="97" t="s">
        <v>165</v>
      </c>
      <c r="B2505" s="1031" t="s">
        <v>165</v>
      </c>
      <c r="C2505" s="978"/>
      <c r="D2505" s="595" t="s">
        <v>419</v>
      </c>
      <c r="E2505" s="596"/>
      <c r="F2505" s="671">
        <v>30</v>
      </c>
      <c r="G2505" s="597">
        <f>VLOOKUP(D2501,'ENSAIOS DE ORÇAMENTO'!$C$3:$L$79,3,FALSE)</f>
        <v>0</v>
      </c>
      <c r="H2505" s="682">
        <f>IF(F2505=0,0,IF(F2505&lt;=30,(0.7*F2505+1.45)*G2505,((0.7*30+1.45)+0.58*(F2505-30))*G2505))</f>
        <v>0</v>
      </c>
      <c r="I2505" s="592"/>
      <c r="J2505" s="592"/>
      <c r="K2505" s="593">
        <f t="shared" si="1438"/>
        <v>0</v>
      </c>
      <c r="L2505" s="594"/>
      <c r="M2505" s="92"/>
      <c r="N2505" s="92"/>
      <c r="O2505" s="93">
        <f t="shared" si="1447"/>
        <v>0</v>
      </c>
      <c r="P2505" s="93">
        <f t="shared" si="1448"/>
        <v>0</v>
      </c>
      <c r="Q2505" s="94"/>
      <c r="R2505" s="92">
        <f t="shared" si="1452"/>
        <v>0</v>
      </c>
      <c r="S2505" s="92">
        <f t="shared" si="1452"/>
        <v>0</v>
      </c>
      <c r="T2505" s="93">
        <f t="shared" si="1449"/>
        <v>0</v>
      </c>
      <c r="U2505" s="95">
        <f t="shared" si="1444"/>
        <v>0</v>
      </c>
      <c r="V2505" s="94"/>
      <c r="W2505" s="96" t="str">
        <f>IF(U2501&gt;0,"xx",IF(P2501&gt;0,"xy",""))</f>
        <v/>
      </c>
      <c r="X2505" s="580" t="str">
        <f t="shared" si="1437"/>
        <v/>
      </c>
      <c r="Y2505" s="580" t="str">
        <f t="shared" si="1440"/>
        <v/>
      </c>
      <c r="Z2505" s="580" t="str">
        <f t="shared" si="1442"/>
        <v/>
      </c>
    </row>
    <row r="2506" spans="1:26" hidden="1" x14ac:dyDescent="0.2">
      <c r="A2506" s="97" t="s">
        <v>165</v>
      </c>
      <c r="B2506" s="1031" t="s">
        <v>165</v>
      </c>
      <c r="C2506" s="978"/>
      <c r="D2506" s="595" t="s">
        <v>420</v>
      </c>
      <c r="E2506" s="596"/>
      <c r="F2506" s="671">
        <v>500</v>
      </c>
      <c r="G2506" s="597">
        <f>VLOOKUP(D2501,'ENSAIOS DE ORÇAMENTO'!$C$3:$L$79,10,FALSE)</f>
        <v>0</v>
      </c>
      <c r="H2506" s="682">
        <f>IF(F2506=0,0,IF(F2506&lt;=30,(0.7*F2506+1.45)*G2506,((0.7*30+1.45)+0.58*(F2506-30))*G2506))</f>
        <v>0</v>
      </c>
      <c r="I2506" s="592"/>
      <c r="J2506" s="592"/>
      <c r="K2506" s="593">
        <f t="shared" si="1438"/>
        <v>0</v>
      </c>
      <c r="L2506" s="594"/>
      <c r="M2506" s="92"/>
      <c r="N2506" s="92"/>
      <c r="O2506" s="93">
        <f t="shared" si="1447"/>
        <v>0</v>
      </c>
      <c r="P2506" s="93">
        <f t="shared" si="1448"/>
        <v>0</v>
      </c>
      <c r="Q2506" s="94"/>
      <c r="R2506" s="92">
        <f t="shared" si="1452"/>
        <v>0</v>
      </c>
      <c r="S2506" s="92">
        <f t="shared" si="1452"/>
        <v>0</v>
      </c>
      <c r="T2506" s="93">
        <f t="shared" si="1449"/>
        <v>0</v>
      </c>
      <c r="U2506" s="95">
        <f t="shared" si="1444"/>
        <v>0</v>
      </c>
      <c r="V2506" s="94"/>
      <c r="W2506" s="96" t="str">
        <f>IF(U2501&gt;0,"xx",IF(P2501&gt;0,"xy",""))</f>
        <v/>
      </c>
      <c r="X2506" s="580" t="str">
        <f t="shared" si="1437"/>
        <v/>
      </c>
      <c r="Y2506" s="580" t="str">
        <f t="shared" si="1440"/>
        <v/>
      </c>
      <c r="Z2506" s="580" t="str">
        <f t="shared" si="1442"/>
        <v/>
      </c>
    </row>
    <row r="2507" spans="1:26" hidden="1" x14ac:dyDescent="0.2">
      <c r="A2507" s="97" t="s">
        <v>53</v>
      </c>
      <c r="B2507" s="1031" t="s">
        <v>53</v>
      </c>
      <c r="C2507" s="978" t="s">
        <v>212</v>
      </c>
      <c r="D2507" s="595" t="s">
        <v>161</v>
      </c>
      <c r="E2507" s="596"/>
      <c r="F2507" s="671"/>
      <c r="G2507" s="597"/>
      <c r="H2507" s="682">
        <f>SUM(H2508:H2512)</f>
        <v>1159.7577343</v>
      </c>
      <c r="I2507" s="592">
        <f>VLOOKUP(D2507,'ENSAIOS DE ORÇAMENTO'!$C$3:$L$79,8,FALSE)</f>
        <v>3097.2651599999999</v>
      </c>
      <c r="J2507" s="592">
        <f t="shared" ref="J2507" si="1456">IF(ISBLANK(I2507),"",SUM(H2507:I2507))</f>
        <v>4257.0228943000002</v>
      </c>
      <c r="K2507" s="593">
        <f t="shared" si="1438"/>
        <v>5181.22</v>
      </c>
      <c r="L2507" s="594" t="s">
        <v>21</v>
      </c>
      <c r="M2507" s="92"/>
      <c r="N2507" s="92"/>
      <c r="O2507" s="93">
        <f t="shared" si="1447"/>
        <v>0</v>
      </c>
      <c r="P2507" s="93">
        <f t="shared" si="1448"/>
        <v>0</v>
      </c>
      <c r="Q2507" s="94"/>
      <c r="R2507" s="92">
        <f t="shared" si="1452"/>
        <v>0</v>
      </c>
      <c r="S2507" s="92">
        <f t="shared" si="1452"/>
        <v>0</v>
      </c>
      <c r="T2507" s="93">
        <f t="shared" si="1449"/>
        <v>0</v>
      </c>
      <c r="U2507" s="95">
        <f t="shared" si="1444"/>
        <v>0</v>
      </c>
      <c r="V2507" s="94"/>
      <c r="X2507" s="580" t="str">
        <f t="shared" ref="X2507:X2570" si="1457">IF(W2507="X","x",IF(W2507="xx","x",IF(W2507="xy","x",IF(W2507="y","x",IF(OR(P2507&gt;0,U2507&gt;0),"x","")))))</f>
        <v/>
      </c>
      <c r="Y2507" s="580" t="str">
        <f t="shared" si="1440"/>
        <v/>
      </c>
      <c r="Z2507" s="580" t="str">
        <f t="shared" si="1442"/>
        <v/>
      </c>
    </row>
    <row r="2508" spans="1:26" hidden="1" x14ac:dyDescent="0.2">
      <c r="A2508" s="97" t="s">
        <v>165</v>
      </c>
      <c r="B2508" s="1031" t="s">
        <v>165</v>
      </c>
      <c r="C2508" s="978"/>
      <c r="D2508" s="595" t="s">
        <v>218</v>
      </c>
      <c r="E2508" s="596"/>
      <c r="F2508" s="671">
        <v>500</v>
      </c>
      <c r="G2508" s="597">
        <f>VLOOKUP(D2507,'ENSAIOS DE ORÇAMENTO'!$C$3:$L$79,4,FALSE)</f>
        <v>1.4740100000000003</v>
      </c>
      <c r="H2508" s="682">
        <f>IF(F2508&lt;=30,(0.51*F2508+4.28)*G2508,((0.51*30+4.28)+0.42*(F2508-30))*G2508)</f>
        <v>319.83068980000007</v>
      </c>
      <c r="I2508" s="592"/>
      <c r="J2508" s="592"/>
      <c r="K2508" s="593">
        <f t="shared" si="1438"/>
        <v>0</v>
      </c>
      <c r="L2508" s="594"/>
      <c r="M2508" s="92"/>
      <c r="N2508" s="92"/>
      <c r="O2508" s="93">
        <f t="shared" si="1447"/>
        <v>0</v>
      </c>
      <c r="P2508" s="93">
        <f t="shared" si="1448"/>
        <v>0</v>
      </c>
      <c r="Q2508" s="94"/>
      <c r="R2508" s="92">
        <f t="shared" si="1452"/>
        <v>0</v>
      </c>
      <c r="S2508" s="92">
        <f t="shared" si="1452"/>
        <v>0</v>
      </c>
      <c r="T2508" s="93">
        <f t="shared" si="1449"/>
        <v>0</v>
      </c>
      <c r="U2508" s="95">
        <f t="shared" si="1444"/>
        <v>0</v>
      </c>
      <c r="V2508" s="94"/>
      <c r="W2508" s="96" t="str">
        <f>IF(U2507&gt;0,"xx",IF(P2507&gt;0,"xy",""))</f>
        <v/>
      </c>
      <c r="X2508" s="580" t="str">
        <f t="shared" si="1457"/>
        <v/>
      </c>
      <c r="Y2508" s="580" t="str">
        <f t="shared" si="1440"/>
        <v/>
      </c>
      <c r="Z2508" s="580" t="str">
        <f t="shared" si="1442"/>
        <v/>
      </c>
    </row>
    <row r="2509" spans="1:26" hidden="1" x14ac:dyDescent="0.2">
      <c r="A2509" s="97" t="s">
        <v>165</v>
      </c>
      <c r="B2509" s="1031" t="s">
        <v>165</v>
      </c>
      <c r="C2509" s="978"/>
      <c r="D2509" s="595" t="s">
        <v>257</v>
      </c>
      <c r="E2509" s="596"/>
      <c r="F2509" s="671">
        <v>180</v>
      </c>
      <c r="G2509" s="597">
        <f>VLOOKUP(D2507,'ENSAIOS DE ORÇAMENTO'!$C$3:$L$79,5,FALSE)</f>
        <v>6.0316799999999997</v>
      </c>
      <c r="H2509" s="682">
        <f>IF(F2509=0,0,IF(F2509&lt;=30,(0.7*F2509+1.45)*G2509,((0.7*30+1.45)+0.58*(F2509-30))*G2509))</f>
        <v>660.16737599999999</v>
      </c>
      <c r="I2509" s="592"/>
      <c r="J2509" s="592"/>
      <c r="K2509" s="593">
        <f t="shared" ref="K2509:K2572" si="1458">IF(ISBLANK(I2509),0,ROUND(J2509*(1+$F$10)*(1+$F$11*E2509),2))</f>
        <v>0</v>
      </c>
      <c r="L2509" s="594"/>
      <c r="M2509" s="92"/>
      <c r="N2509" s="92"/>
      <c r="O2509" s="93">
        <f t="shared" si="1447"/>
        <v>0</v>
      </c>
      <c r="P2509" s="93">
        <f t="shared" si="1448"/>
        <v>0</v>
      </c>
      <c r="Q2509" s="94"/>
      <c r="R2509" s="92">
        <f t="shared" si="1452"/>
        <v>0</v>
      </c>
      <c r="S2509" s="92">
        <f t="shared" si="1452"/>
        <v>0</v>
      </c>
      <c r="T2509" s="93">
        <f t="shared" si="1449"/>
        <v>0</v>
      </c>
      <c r="U2509" s="95">
        <f t="shared" si="1444"/>
        <v>0</v>
      </c>
      <c r="V2509" s="94"/>
      <c r="W2509" s="96" t="str">
        <f>IF(U2507&gt;0,"xx",IF(P2507&gt;0,"xy",""))</f>
        <v/>
      </c>
      <c r="X2509" s="580" t="str">
        <f t="shared" si="1457"/>
        <v/>
      </c>
      <c r="Y2509" s="580" t="str">
        <f t="shared" si="1440"/>
        <v/>
      </c>
      <c r="Z2509" s="580" t="str">
        <f t="shared" si="1442"/>
        <v/>
      </c>
    </row>
    <row r="2510" spans="1:26" hidden="1" x14ac:dyDescent="0.2">
      <c r="A2510" s="97" t="s">
        <v>165</v>
      </c>
      <c r="B2510" s="1031" t="s">
        <v>165</v>
      </c>
      <c r="C2510" s="978"/>
      <c r="D2510" s="595" t="s">
        <v>261</v>
      </c>
      <c r="E2510" s="596"/>
      <c r="F2510" s="671">
        <v>20</v>
      </c>
      <c r="G2510" s="597">
        <f>VLOOKUP(D2507,'ENSAIOS DE ORÇAMENTO'!$C$3:$L$79,6,FALSE)</f>
        <v>11.634930000000001</v>
      </c>
      <c r="H2510" s="682">
        <f>IF(F2510=0,0,IF(F2510&lt;=30,(0.7*F2510+1.45)*G2510,((0.7*30+1.45)+0.58*(F2510-30))*G2510))</f>
        <v>179.7596685</v>
      </c>
      <c r="I2510" s="592"/>
      <c r="J2510" s="592"/>
      <c r="K2510" s="593">
        <f t="shared" si="1458"/>
        <v>0</v>
      </c>
      <c r="L2510" s="594"/>
      <c r="M2510" s="92"/>
      <c r="N2510" s="92"/>
      <c r="O2510" s="93">
        <f t="shared" si="1447"/>
        <v>0</v>
      </c>
      <c r="P2510" s="93">
        <f t="shared" si="1448"/>
        <v>0</v>
      </c>
      <c r="Q2510" s="94"/>
      <c r="R2510" s="92">
        <f t="shared" si="1452"/>
        <v>0</v>
      </c>
      <c r="S2510" s="92">
        <f t="shared" si="1452"/>
        <v>0</v>
      </c>
      <c r="T2510" s="93">
        <f t="shared" si="1449"/>
        <v>0</v>
      </c>
      <c r="U2510" s="95">
        <f t="shared" si="1444"/>
        <v>0</v>
      </c>
      <c r="V2510" s="94"/>
      <c r="W2510" s="96" t="str">
        <f>IF(U2507&gt;0,"xx",IF(P2507&gt;0,"xy",""))</f>
        <v/>
      </c>
      <c r="X2510" s="580" t="str">
        <f t="shared" si="1457"/>
        <v/>
      </c>
      <c r="Y2510" s="580" t="str">
        <f t="shared" si="1440"/>
        <v/>
      </c>
      <c r="Z2510" s="580" t="str">
        <f t="shared" si="1442"/>
        <v/>
      </c>
    </row>
    <row r="2511" spans="1:26" hidden="1" x14ac:dyDescent="0.2">
      <c r="A2511" s="97" t="s">
        <v>165</v>
      </c>
      <c r="B2511" s="1031" t="s">
        <v>165</v>
      </c>
      <c r="C2511" s="978"/>
      <c r="D2511" s="595" t="s">
        <v>419</v>
      </c>
      <c r="E2511" s="596"/>
      <c r="F2511" s="671">
        <v>30</v>
      </c>
      <c r="G2511" s="597">
        <f>VLOOKUP(D2507,'ENSAIOS DE ORÇAMENTO'!$C$3:$L$79,3,FALSE)</f>
        <v>0</v>
      </c>
      <c r="H2511" s="682">
        <f>IF(F2511=0,0,IF(F2511&lt;=30,(0.7*F2511+1.45)*G2511,((0.7*30+1.45)+0.58*(F2511-30))*G2511))</f>
        <v>0</v>
      </c>
      <c r="I2511" s="592"/>
      <c r="J2511" s="592"/>
      <c r="K2511" s="593">
        <f t="shared" si="1458"/>
        <v>0</v>
      </c>
      <c r="L2511" s="594"/>
      <c r="M2511" s="92"/>
      <c r="N2511" s="92"/>
      <c r="O2511" s="93">
        <f t="shared" si="1447"/>
        <v>0</v>
      </c>
      <c r="P2511" s="93">
        <f t="shared" si="1448"/>
        <v>0</v>
      </c>
      <c r="Q2511" s="94"/>
      <c r="R2511" s="92">
        <f t="shared" si="1452"/>
        <v>0</v>
      </c>
      <c r="S2511" s="92">
        <f t="shared" si="1452"/>
        <v>0</v>
      </c>
      <c r="T2511" s="93">
        <f t="shared" si="1449"/>
        <v>0</v>
      </c>
      <c r="U2511" s="95">
        <f t="shared" si="1444"/>
        <v>0</v>
      </c>
      <c r="V2511" s="94"/>
      <c r="W2511" s="96" t="str">
        <f>IF(U2507&gt;0,"xx",IF(P2507&gt;0,"xy",""))</f>
        <v/>
      </c>
      <c r="X2511" s="580" t="str">
        <f t="shared" si="1457"/>
        <v/>
      </c>
      <c r="Y2511" s="580" t="str">
        <f t="shared" si="1440"/>
        <v/>
      </c>
      <c r="Z2511" s="580" t="str">
        <f t="shared" si="1442"/>
        <v/>
      </c>
    </row>
    <row r="2512" spans="1:26" hidden="1" x14ac:dyDescent="0.2">
      <c r="A2512" s="97" t="s">
        <v>165</v>
      </c>
      <c r="B2512" s="1031" t="s">
        <v>165</v>
      </c>
      <c r="C2512" s="978"/>
      <c r="D2512" s="595" t="s">
        <v>420</v>
      </c>
      <c r="E2512" s="596"/>
      <c r="F2512" s="671">
        <v>500</v>
      </c>
      <c r="G2512" s="597">
        <f>VLOOKUP(D2507,'ENSAIOS DE ORÇAMENTO'!$C$3:$L$79,10,FALSE)</f>
        <v>0</v>
      </c>
      <c r="H2512" s="682">
        <f>IF(F2512=0,0,IF(F2512&lt;=30,(0.7*F2512+1.45)*G2512,((0.7*30+1.45)+0.58*(F2512-30))*G2512))</f>
        <v>0</v>
      </c>
      <c r="I2512" s="592"/>
      <c r="J2512" s="592"/>
      <c r="K2512" s="593">
        <f t="shared" si="1458"/>
        <v>0</v>
      </c>
      <c r="L2512" s="594"/>
      <c r="M2512" s="92"/>
      <c r="N2512" s="92"/>
      <c r="O2512" s="93">
        <f t="shared" si="1447"/>
        <v>0</v>
      </c>
      <c r="P2512" s="93">
        <f t="shared" si="1448"/>
        <v>0</v>
      </c>
      <c r="Q2512" s="94"/>
      <c r="R2512" s="92">
        <f t="shared" si="1452"/>
        <v>0</v>
      </c>
      <c r="S2512" s="92">
        <f t="shared" si="1452"/>
        <v>0</v>
      </c>
      <c r="T2512" s="93">
        <f t="shared" si="1449"/>
        <v>0</v>
      </c>
      <c r="U2512" s="95">
        <f t="shared" si="1444"/>
        <v>0</v>
      </c>
      <c r="V2512" s="94"/>
      <c r="W2512" s="96" t="str">
        <f>IF(U2507&gt;0,"xx",IF(P2507&gt;0,"xy",""))</f>
        <v/>
      </c>
      <c r="X2512" s="580" t="str">
        <f t="shared" si="1457"/>
        <v/>
      </c>
      <c r="Y2512" s="580" t="str">
        <f t="shared" si="1440"/>
        <v/>
      </c>
      <c r="Z2512" s="580" t="str">
        <f t="shared" si="1442"/>
        <v/>
      </c>
    </row>
    <row r="2513" spans="1:26" hidden="1" x14ac:dyDescent="0.2">
      <c r="A2513" s="97" t="s">
        <v>53</v>
      </c>
      <c r="B2513" s="1031" t="s">
        <v>53</v>
      </c>
      <c r="C2513" s="978" t="s">
        <v>212</v>
      </c>
      <c r="D2513" s="595" t="s">
        <v>162</v>
      </c>
      <c r="E2513" s="596"/>
      <c r="F2513" s="671"/>
      <c r="G2513" s="597"/>
      <c r="H2513" s="682">
        <f>SUM(H2514:H2518)</f>
        <v>1915.4510731</v>
      </c>
      <c r="I2513" s="592">
        <f>VLOOKUP(D2513,'ENSAIOS DE ORÇAMENTO'!$C$3:$L$79,8,FALSE)</f>
        <v>4958.966253333334</v>
      </c>
      <c r="J2513" s="592">
        <f>IF(ISBLANK(I2513),"",SUM(H2513:I2513))</f>
        <v>6874.417326433334</v>
      </c>
      <c r="K2513" s="593">
        <f t="shared" si="1458"/>
        <v>8366.85</v>
      </c>
      <c r="L2513" s="594" t="s">
        <v>21</v>
      </c>
      <c r="M2513" s="92"/>
      <c r="N2513" s="92"/>
      <c r="O2513" s="93">
        <f t="shared" si="1447"/>
        <v>0</v>
      </c>
      <c r="P2513" s="93">
        <f t="shared" si="1448"/>
        <v>0</v>
      </c>
      <c r="Q2513" s="94"/>
      <c r="R2513" s="92">
        <f t="shared" si="1452"/>
        <v>0</v>
      </c>
      <c r="S2513" s="92">
        <f t="shared" si="1452"/>
        <v>0</v>
      </c>
      <c r="T2513" s="93">
        <f t="shared" si="1449"/>
        <v>0</v>
      </c>
      <c r="U2513" s="95">
        <f t="shared" si="1444"/>
        <v>0</v>
      </c>
      <c r="V2513" s="94"/>
      <c r="X2513" s="580" t="str">
        <f t="shared" si="1457"/>
        <v/>
      </c>
      <c r="Y2513" s="580" t="str">
        <f t="shared" ref="Y2513:Y2576" si="1459">IF(W2513="X","x",IF(W2513="y","x",IF(W2513="xx","x",IF(U2513&gt;0,"x",""))))</f>
        <v/>
      </c>
      <c r="Z2513" s="580" t="str">
        <f t="shared" si="1442"/>
        <v/>
      </c>
    </row>
    <row r="2514" spans="1:26" hidden="1" x14ac:dyDescent="0.2">
      <c r="A2514" s="97" t="s">
        <v>165</v>
      </c>
      <c r="B2514" s="1031" t="s">
        <v>165</v>
      </c>
      <c r="C2514" s="978"/>
      <c r="D2514" s="595" t="s">
        <v>218</v>
      </c>
      <c r="E2514" s="596"/>
      <c r="F2514" s="671">
        <v>500</v>
      </c>
      <c r="G2514" s="597">
        <f>VLOOKUP(D2513,'ENSAIOS DE ORÇAMENTO'!$C$3:$L$79,4,FALSE)</f>
        <v>2.41967</v>
      </c>
      <c r="H2514" s="682">
        <f>IF(F2514&lt;=30,(0.51*F2514+4.28)*G2514,((0.51*30+4.28)+0.42*(F2514-30))*G2514)</f>
        <v>525.01999660000001</v>
      </c>
      <c r="I2514" s="592"/>
      <c r="J2514" s="592"/>
      <c r="K2514" s="593">
        <f t="shared" si="1458"/>
        <v>0</v>
      </c>
      <c r="L2514" s="594"/>
      <c r="M2514" s="92"/>
      <c r="N2514" s="92"/>
      <c r="O2514" s="93">
        <f t="shared" si="1447"/>
        <v>0</v>
      </c>
      <c r="P2514" s="93">
        <f t="shared" si="1448"/>
        <v>0</v>
      </c>
      <c r="Q2514" s="94"/>
      <c r="R2514" s="92">
        <f t="shared" si="1452"/>
        <v>0</v>
      </c>
      <c r="S2514" s="92">
        <f t="shared" si="1452"/>
        <v>0</v>
      </c>
      <c r="T2514" s="93">
        <f t="shared" si="1449"/>
        <v>0</v>
      </c>
      <c r="U2514" s="95">
        <f t="shared" si="1444"/>
        <v>0</v>
      </c>
      <c r="V2514" s="94"/>
      <c r="W2514" s="96" t="str">
        <f>IF(U2513&gt;0,"xx",IF(P2513&gt;0,"xy",""))</f>
        <v/>
      </c>
      <c r="X2514" s="580" t="str">
        <f t="shared" si="1457"/>
        <v/>
      </c>
      <c r="Y2514" s="580" t="str">
        <f t="shared" si="1459"/>
        <v/>
      </c>
      <c r="Z2514" s="580" t="str">
        <f t="shared" si="1442"/>
        <v/>
      </c>
    </row>
    <row r="2515" spans="1:26" hidden="1" x14ac:dyDescent="0.2">
      <c r="A2515" s="97" t="s">
        <v>165</v>
      </c>
      <c r="B2515" s="1031" t="s">
        <v>165</v>
      </c>
      <c r="C2515" s="978"/>
      <c r="D2515" s="595" t="s">
        <v>257</v>
      </c>
      <c r="E2515" s="596"/>
      <c r="F2515" s="671">
        <v>180</v>
      </c>
      <c r="G2515" s="597">
        <f>VLOOKUP(D2513,'ENSAIOS DE ORÇAMENTO'!$C$3:$L$79,5,FALSE)</f>
        <v>9.9546600000000005</v>
      </c>
      <c r="H2515" s="682">
        <f>IF(F2515=0,0,IF(F2515&lt;=30,(0.7*F2515+1.45)*G2515,((0.7*30+1.45)+0.58*(F2515-30))*G2515))</f>
        <v>1089.5375370000002</v>
      </c>
      <c r="I2515" s="592"/>
      <c r="J2515" s="592"/>
      <c r="K2515" s="593">
        <f t="shared" si="1458"/>
        <v>0</v>
      </c>
      <c r="L2515" s="594"/>
      <c r="M2515" s="92"/>
      <c r="N2515" s="92"/>
      <c r="O2515" s="93">
        <f t="shared" si="1447"/>
        <v>0</v>
      </c>
      <c r="P2515" s="93">
        <f t="shared" si="1448"/>
        <v>0</v>
      </c>
      <c r="Q2515" s="94"/>
      <c r="R2515" s="92">
        <f t="shared" si="1452"/>
        <v>0</v>
      </c>
      <c r="S2515" s="92">
        <f t="shared" si="1452"/>
        <v>0</v>
      </c>
      <c r="T2515" s="93">
        <f t="shared" si="1449"/>
        <v>0</v>
      </c>
      <c r="U2515" s="95">
        <f t="shared" si="1444"/>
        <v>0</v>
      </c>
      <c r="V2515" s="94"/>
      <c r="W2515" s="96" t="str">
        <f>IF(U2513&gt;0,"xx",IF(P2513&gt;0,"xy",""))</f>
        <v/>
      </c>
      <c r="X2515" s="580" t="str">
        <f t="shared" si="1457"/>
        <v/>
      </c>
      <c r="Y2515" s="580" t="str">
        <f t="shared" si="1459"/>
        <v/>
      </c>
      <c r="Z2515" s="580" t="str">
        <f t="shared" si="1442"/>
        <v/>
      </c>
    </row>
    <row r="2516" spans="1:26" hidden="1" x14ac:dyDescent="0.2">
      <c r="A2516" s="97" t="s">
        <v>165</v>
      </c>
      <c r="B2516" s="1031" t="s">
        <v>165</v>
      </c>
      <c r="C2516" s="978"/>
      <c r="D2516" s="595" t="s">
        <v>261</v>
      </c>
      <c r="E2516" s="596"/>
      <c r="F2516" s="671">
        <v>20</v>
      </c>
      <c r="G2516" s="597">
        <f>VLOOKUP(D2513,'ENSAIOS DE ORÇAMENTO'!$C$3:$L$79,6,FALSE)</f>
        <v>19.47531</v>
      </c>
      <c r="H2516" s="682">
        <f>IF(F2516=0,0,IF(F2516&lt;=30,(0.7*F2516+1.45)*G2516,((0.7*30+1.45)+0.58*(F2516-30))*G2516))</f>
        <v>300.89353949999997</v>
      </c>
      <c r="I2516" s="592"/>
      <c r="J2516" s="592"/>
      <c r="K2516" s="593">
        <f t="shared" si="1458"/>
        <v>0</v>
      </c>
      <c r="L2516" s="594"/>
      <c r="M2516" s="92"/>
      <c r="N2516" s="92"/>
      <c r="O2516" s="93">
        <f t="shared" si="1447"/>
        <v>0</v>
      </c>
      <c r="P2516" s="93">
        <f t="shared" si="1448"/>
        <v>0</v>
      </c>
      <c r="Q2516" s="94"/>
      <c r="R2516" s="92">
        <f t="shared" si="1452"/>
        <v>0</v>
      </c>
      <c r="S2516" s="92">
        <f t="shared" si="1452"/>
        <v>0</v>
      </c>
      <c r="T2516" s="93">
        <f t="shared" si="1449"/>
        <v>0</v>
      </c>
      <c r="U2516" s="95">
        <f t="shared" si="1444"/>
        <v>0</v>
      </c>
      <c r="V2516" s="94"/>
      <c r="W2516" s="96" t="str">
        <f>IF(U2513&gt;0,"xx",IF(P2513&gt;0,"xy",""))</f>
        <v/>
      </c>
      <c r="X2516" s="580" t="str">
        <f t="shared" si="1457"/>
        <v/>
      </c>
      <c r="Y2516" s="580" t="str">
        <f t="shared" si="1459"/>
        <v/>
      </c>
      <c r="Z2516" s="580" t="str">
        <f t="shared" si="1442"/>
        <v/>
      </c>
    </row>
    <row r="2517" spans="1:26" hidden="1" x14ac:dyDescent="0.2">
      <c r="A2517" s="97" t="s">
        <v>165</v>
      </c>
      <c r="B2517" s="1031" t="s">
        <v>165</v>
      </c>
      <c r="C2517" s="978"/>
      <c r="D2517" s="595" t="s">
        <v>419</v>
      </c>
      <c r="E2517" s="596"/>
      <c r="F2517" s="671">
        <v>30</v>
      </c>
      <c r="G2517" s="597">
        <f>VLOOKUP(D2513,'ENSAIOS DE ORÇAMENTO'!$C$3:$L$79,3,FALSE)</f>
        <v>0</v>
      </c>
      <c r="H2517" s="682">
        <f>IF(F2517=0,0,IF(F2517&lt;=30,(0.7*F2517+1.45)*G2517,((0.7*30+1.45)+0.58*(F2517-30))*G2517))</f>
        <v>0</v>
      </c>
      <c r="I2517" s="592"/>
      <c r="J2517" s="592"/>
      <c r="K2517" s="593">
        <f t="shared" si="1458"/>
        <v>0</v>
      </c>
      <c r="L2517" s="594"/>
      <c r="M2517" s="92"/>
      <c r="N2517" s="92"/>
      <c r="O2517" s="93">
        <f t="shared" si="1447"/>
        <v>0</v>
      </c>
      <c r="P2517" s="93">
        <f t="shared" si="1448"/>
        <v>0</v>
      </c>
      <c r="Q2517" s="94"/>
      <c r="R2517" s="92">
        <f t="shared" si="1452"/>
        <v>0</v>
      </c>
      <c r="S2517" s="92">
        <f t="shared" si="1452"/>
        <v>0</v>
      </c>
      <c r="T2517" s="93">
        <f t="shared" si="1449"/>
        <v>0</v>
      </c>
      <c r="U2517" s="95">
        <f t="shared" si="1444"/>
        <v>0</v>
      </c>
      <c r="V2517" s="94"/>
      <c r="W2517" s="96" t="str">
        <f>IF(U2513&gt;0,"xx",IF(P2513&gt;0,"xy",""))</f>
        <v/>
      </c>
      <c r="X2517" s="580" t="str">
        <f t="shared" si="1457"/>
        <v/>
      </c>
      <c r="Y2517" s="580" t="str">
        <f t="shared" si="1459"/>
        <v/>
      </c>
      <c r="Z2517" s="580" t="str">
        <f t="shared" si="1442"/>
        <v/>
      </c>
    </row>
    <row r="2518" spans="1:26" hidden="1" x14ac:dyDescent="0.2">
      <c r="A2518" s="97" t="s">
        <v>165</v>
      </c>
      <c r="B2518" s="1031" t="s">
        <v>165</v>
      </c>
      <c r="C2518" s="978"/>
      <c r="D2518" s="595" t="s">
        <v>420</v>
      </c>
      <c r="E2518" s="596"/>
      <c r="F2518" s="671">
        <v>500</v>
      </c>
      <c r="G2518" s="597">
        <f>VLOOKUP(D2513,'ENSAIOS DE ORÇAMENTO'!$C$3:$L$79,10,FALSE)</f>
        <v>0</v>
      </c>
      <c r="H2518" s="682">
        <f>IF(F2518=0,0,IF(F2518&lt;=30,(0.7*F2518+1.45)*G2518,((0.7*30+1.45)+0.58*(F2518-30))*G2518))</f>
        <v>0</v>
      </c>
      <c r="I2518" s="592"/>
      <c r="J2518" s="592"/>
      <c r="K2518" s="593">
        <f t="shared" si="1458"/>
        <v>0</v>
      </c>
      <c r="L2518" s="594"/>
      <c r="M2518" s="92"/>
      <c r="N2518" s="92"/>
      <c r="O2518" s="93">
        <f t="shared" si="1447"/>
        <v>0</v>
      </c>
      <c r="P2518" s="93">
        <f t="shared" si="1448"/>
        <v>0</v>
      </c>
      <c r="Q2518" s="94"/>
      <c r="R2518" s="92">
        <f t="shared" si="1452"/>
        <v>0</v>
      </c>
      <c r="S2518" s="92">
        <f t="shared" si="1452"/>
        <v>0</v>
      </c>
      <c r="T2518" s="93">
        <f t="shared" si="1449"/>
        <v>0</v>
      </c>
      <c r="U2518" s="95">
        <f t="shared" si="1444"/>
        <v>0</v>
      </c>
      <c r="V2518" s="94"/>
      <c r="W2518" s="96" t="str">
        <f>IF(U2513&gt;0,"xx",IF(P2513&gt;0,"xy",""))</f>
        <v/>
      </c>
      <c r="X2518" s="580" t="str">
        <f t="shared" si="1457"/>
        <v/>
      </c>
      <c r="Y2518" s="580" t="str">
        <f t="shared" si="1459"/>
        <v/>
      </c>
      <c r="Z2518" s="580" t="str">
        <f t="shared" si="1442"/>
        <v/>
      </c>
    </row>
    <row r="2519" spans="1:26" hidden="1" x14ac:dyDescent="0.2">
      <c r="A2519" s="97" t="s">
        <v>447</v>
      </c>
      <c r="B2519" s="1031" t="s">
        <v>447</v>
      </c>
      <c r="C2519" s="978" t="s">
        <v>212</v>
      </c>
      <c r="D2519" s="595" t="str">
        <f>'ENSAIOS DE ORÇAMENTO'!C70</f>
        <v>ENSAIO DE ORÇAMENTO 1</v>
      </c>
      <c r="E2519" s="596"/>
      <c r="F2519" s="671"/>
      <c r="G2519" s="597"/>
      <c r="H2519" s="682">
        <f>SUM(H2520:H2524)</f>
        <v>0</v>
      </c>
      <c r="I2519" s="592">
        <f>VLOOKUP(D2519,'ENSAIOS DE ORÇAMENTO'!$C$3:$L$79,8,FALSE)</f>
        <v>0</v>
      </c>
      <c r="J2519" s="592">
        <f t="shared" ref="J2519" si="1460">IF(ISBLANK(I2519),"",SUM(H2519:I2519))</f>
        <v>0</v>
      </c>
      <c r="K2519" s="593">
        <f t="shared" si="1458"/>
        <v>0</v>
      </c>
      <c r="L2519" s="594" t="s">
        <v>21</v>
      </c>
      <c r="M2519" s="92"/>
      <c r="N2519" s="92"/>
      <c r="O2519" s="93">
        <f t="shared" ref="O2519:O2564" si="1461">IF(ISBLANK(M2519),0,ROUND(K2519*M2519,2))</f>
        <v>0</v>
      </c>
      <c r="P2519" s="93">
        <f t="shared" ref="P2519:P2564" si="1462">IF(ISBLANK(N2519),0,ROUND(M2519*N2519,2))</f>
        <v>0</v>
      </c>
      <c r="Q2519" s="94"/>
      <c r="R2519" s="92">
        <f t="shared" ref="R2519:R2564" si="1463">M2519</f>
        <v>0</v>
      </c>
      <c r="S2519" s="92">
        <f t="shared" ref="S2519:S2564" si="1464">N2519</f>
        <v>0</v>
      </c>
      <c r="T2519" s="93">
        <f t="shared" ref="T2519:T2564" si="1465">IF(ISBLANK(R2519),0,ROUND(K2519*R2519,2))</f>
        <v>0</v>
      </c>
      <c r="U2519" s="95">
        <f t="shared" ref="U2519:U2565" si="1466">IF(ISBLANK(R2519),0,ROUND(R2519*S2519,2))</f>
        <v>0</v>
      </c>
      <c r="V2519" s="94"/>
      <c r="X2519" s="580" t="str">
        <f t="shared" si="1457"/>
        <v/>
      </c>
      <c r="Y2519" s="580" t="str">
        <f t="shared" si="1459"/>
        <v/>
      </c>
      <c r="Z2519" s="580" t="str">
        <f t="shared" ref="Z2519:Z2582" si="1467">IF(W2519="X","x",IF(U2519&gt;0,"x",""))</f>
        <v/>
      </c>
    </row>
    <row r="2520" spans="1:26" hidden="1" x14ac:dyDescent="0.2">
      <c r="A2520" s="97" t="s">
        <v>165</v>
      </c>
      <c r="B2520" s="1031" t="s">
        <v>165</v>
      </c>
      <c r="C2520" s="978"/>
      <c r="D2520" s="631" t="s">
        <v>218</v>
      </c>
      <c r="E2520" s="596"/>
      <c r="F2520" s="671">
        <v>500</v>
      </c>
      <c r="G2520" s="597">
        <f>VLOOKUP(D2519,'ENSAIOS DE ORÇAMENTO'!$C$3:$L$79,4,FALSE)</f>
        <v>0</v>
      </c>
      <c r="H2520" s="682">
        <f>IF(F2520&lt;=30,(0.51*F2520+4.28)*G2520,((0.51*30+4.28)+0.42*(F2520-30))*G2520)</f>
        <v>0</v>
      </c>
      <c r="I2520" s="592"/>
      <c r="J2520" s="592" t="str">
        <f t="shared" ref="J2520:J2524" si="1468">IF(ISBLANK(I2520),"",SUM(H2520:I2520))</f>
        <v/>
      </c>
      <c r="K2520" s="593">
        <f t="shared" si="1458"/>
        <v>0</v>
      </c>
      <c r="L2520" s="670" t="s">
        <v>783</v>
      </c>
      <c r="M2520" s="632"/>
      <c r="N2520" s="633"/>
      <c r="O2520" s="93">
        <f t="shared" si="1461"/>
        <v>0</v>
      </c>
      <c r="P2520" s="93">
        <f t="shared" si="1462"/>
        <v>0</v>
      </c>
      <c r="Q2520" s="94"/>
      <c r="R2520" s="632">
        <f t="shared" si="1463"/>
        <v>0</v>
      </c>
      <c r="S2520" s="633">
        <f t="shared" si="1464"/>
        <v>0</v>
      </c>
      <c r="T2520" s="93">
        <f t="shared" si="1465"/>
        <v>0</v>
      </c>
      <c r="U2520" s="95">
        <f t="shared" si="1466"/>
        <v>0</v>
      </c>
      <c r="V2520" s="94"/>
      <c r="W2520" s="579" t="str">
        <f>IF(U2519&gt;0,"xx",IF(P2519&gt;0,"xy",""))</f>
        <v/>
      </c>
      <c r="X2520" s="580" t="str">
        <f t="shared" si="1457"/>
        <v/>
      </c>
      <c r="Y2520" s="580" t="str">
        <f t="shared" si="1459"/>
        <v/>
      </c>
      <c r="Z2520" s="580" t="str">
        <f t="shared" si="1467"/>
        <v/>
      </c>
    </row>
    <row r="2521" spans="1:26" hidden="1" x14ac:dyDescent="0.2">
      <c r="A2521" s="97" t="s">
        <v>165</v>
      </c>
      <c r="B2521" s="1031" t="s">
        <v>165</v>
      </c>
      <c r="C2521" s="978"/>
      <c r="D2521" s="631" t="s">
        <v>257</v>
      </c>
      <c r="E2521" s="596"/>
      <c r="F2521" s="671">
        <v>180</v>
      </c>
      <c r="G2521" s="597">
        <f>VLOOKUP(D2519,'ENSAIOS DE ORÇAMENTO'!$C$3:$L$79,5,FALSE)</f>
        <v>0</v>
      </c>
      <c r="H2521" s="682">
        <f>IF(F2521=0,0,IF(F2521&lt;=30,(0.7*F2521+1.45)*G2521,((0.7*30+1.45)+0.58*(F2521-30))*G2521))</f>
        <v>0</v>
      </c>
      <c r="I2521" s="592"/>
      <c r="J2521" s="592" t="str">
        <f t="shared" si="1468"/>
        <v/>
      </c>
      <c r="K2521" s="593">
        <f t="shared" si="1458"/>
        <v>0</v>
      </c>
      <c r="L2521" s="670" t="s">
        <v>783</v>
      </c>
      <c r="M2521" s="632"/>
      <c r="N2521" s="633"/>
      <c r="O2521" s="93">
        <f t="shared" si="1461"/>
        <v>0</v>
      </c>
      <c r="P2521" s="93">
        <f t="shared" si="1462"/>
        <v>0</v>
      </c>
      <c r="Q2521" s="94"/>
      <c r="R2521" s="632">
        <f t="shared" si="1463"/>
        <v>0</v>
      </c>
      <c r="S2521" s="633">
        <f t="shared" si="1464"/>
        <v>0</v>
      </c>
      <c r="T2521" s="93">
        <f t="shared" si="1465"/>
        <v>0</v>
      </c>
      <c r="U2521" s="95">
        <f t="shared" si="1466"/>
        <v>0</v>
      </c>
      <c r="V2521" s="94"/>
      <c r="W2521" s="579" t="str">
        <f>IF(U2519&gt;0,"xx",IF(P2519&gt;0,"xy",""))</f>
        <v/>
      </c>
      <c r="X2521" s="580" t="str">
        <f t="shared" si="1457"/>
        <v/>
      </c>
      <c r="Y2521" s="580" t="str">
        <f t="shared" si="1459"/>
        <v/>
      </c>
      <c r="Z2521" s="580" t="str">
        <f t="shared" si="1467"/>
        <v/>
      </c>
    </row>
    <row r="2522" spans="1:26" hidden="1" x14ac:dyDescent="0.2">
      <c r="A2522" s="97" t="s">
        <v>165</v>
      </c>
      <c r="B2522" s="1031" t="s">
        <v>165</v>
      </c>
      <c r="C2522" s="978"/>
      <c r="D2522" s="631" t="s">
        <v>261</v>
      </c>
      <c r="E2522" s="596"/>
      <c r="F2522" s="671">
        <v>20</v>
      </c>
      <c r="G2522" s="597">
        <f>VLOOKUP(D2519,'ENSAIOS DE ORÇAMENTO'!$C$3:$L$79,6,FALSE)</f>
        <v>0</v>
      </c>
      <c r="H2522" s="682">
        <f>IF(F2522=0,0,IF(F2522&lt;=30,(0.7*F2522+1.45)*G2522,((0.7*30+1.45)+0.58*(F2522-30))*G2522))</f>
        <v>0</v>
      </c>
      <c r="I2522" s="592"/>
      <c r="J2522" s="592" t="str">
        <f t="shared" si="1468"/>
        <v/>
      </c>
      <c r="K2522" s="593">
        <f t="shared" si="1458"/>
        <v>0</v>
      </c>
      <c r="L2522" s="670" t="s">
        <v>783</v>
      </c>
      <c r="M2522" s="632"/>
      <c r="N2522" s="633"/>
      <c r="O2522" s="93">
        <f t="shared" si="1461"/>
        <v>0</v>
      </c>
      <c r="P2522" s="93">
        <f t="shared" si="1462"/>
        <v>0</v>
      </c>
      <c r="Q2522" s="94"/>
      <c r="R2522" s="632">
        <f t="shared" si="1463"/>
        <v>0</v>
      </c>
      <c r="S2522" s="633">
        <f t="shared" si="1464"/>
        <v>0</v>
      </c>
      <c r="T2522" s="93">
        <f t="shared" si="1465"/>
        <v>0</v>
      </c>
      <c r="U2522" s="95">
        <f t="shared" si="1466"/>
        <v>0</v>
      </c>
      <c r="V2522" s="94"/>
      <c r="W2522" s="579" t="str">
        <f>IF(U2519&gt;0,"xx",IF(P2519&gt;0,"xy",""))</f>
        <v/>
      </c>
      <c r="X2522" s="580" t="str">
        <f t="shared" si="1457"/>
        <v/>
      </c>
      <c r="Y2522" s="580" t="str">
        <f t="shared" si="1459"/>
        <v/>
      </c>
      <c r="Z2522" s="580" t="str">
        <f t="shared" si="1467"/>
        <v/>
      </c>
    </row>
    <row r="2523" spans="1:26" hidden="1" x14ac:dyDescent="0.2">
      <c r="A2523" s="97" t="s">
        <v>165</v>
      </c>
      <c r="B2523" s="1031" t="s">
        <v>165</v>
      </c>
      <c r="C2523" s="978"/>
      <c r="D2523" s="631" t="s">
        <v>419</v>
      </c>
      <c r="E2523" s="596"/>
      <c r="F2523" s="671">
        <v>30</v>
      </c>
      <c r="G2523" s="597">
        <f>VLOOKUP(D2519,'ENSAIOS DE ORÇAMENTO'!$C$3:$L$79,3,FALSE)</f>
        <v>0</v>
      </c>
      <c r="H2523" s="682">
        <f>IF(F2523=0,0,IF(F2523&lt;=30,(0.7*F2523+1.45)*G2523,((0.7*30+1.45)+0.58*(F2523-30))*G2523))</f>
        <v>0</v>
      </c>
      <c r="I2523" s="592"/>
      <c r="J2523" s="592" t="str">
        <f t="shared" si="1468"/>
        <v/>
      </c>
      <c r="K2523" s="593">
        <f t="shared" si="1458"/>
        <v>0</v>
      </c>
      <c r="L2523" s="670" t="s">
        <v>783</v>
      </c>
      <c r="M2523" s="632"/>
      <c r="N2523" s="633"/>
      <c r="O2523" s="93">
        <f t="shared" si="1461"/>
        <v>0</v>
      </c>
      <c r="P2523" s="93">
        <f t="shared" si="1462"/>
        <v>0</v>
      </c>
      <c r="Q2523" s="94"/>
      <c r="R2523" s="632">
        <f t="shared" si="1463"/>
        <v>0</v>
      </c>
      <c r="S2523" s="633">
        <f t="shared" si="1464"/>
        <v>0</v>
      </c>
      <c r="T2523" s="93">
        <f t="shared" si="1465"/>
        <v>0</v>
      </c>
      <c r="U2523" s="95">
        <f t="shared" si="1466"/>
        <v>0</v>
      </c>
      <c r="V2523" s="94"/>
      <c r="W2523" s="579" t="str">
        <f>IF(U2519&gt;0,"xx",IF(P2519&gt;0,"xy",""))</f>
        <v/>
      </c>
      <c r="X2523" s="580" t="str">
        <f t="shared" si="1457"/>
        <v/>
      </c>
      <c r="Y2523" s="580" t="str">
        <f t="shared" si="1459"/>
        <v/>
      </c>
      <c r="Z2523" s="580" t="str">
        <f t="shared" si="1467"/>
        <v/>
      </c>
    </row>
    <row r="2524" spans="1:26" hidden="1" x14ac:dyDescent="0.2">
      <c r="A2524" s="97" t="s">
        <v>165</v>
      </c>
      <c r="B2524" s="1031" t="s">
        <v>165</v>
      </c>
      <c r="C2524" s="978"/>
      <c r="D2524" s="631" t="s">
        <v>420</v>
      </c>
      <c r="E2524" s="596"/>
      <c r="F2524" s="671">
        <v>500</v>
      </c>
      <c r="G2524" s="597">
        <f>VLOOKUP(D2519,'ENSAIOS DE ORÇAMENTO'!$C$3:$L$79,10,FALSE)</f>
        <v>0</v>
      </c>
      <c r="H2524" s="682">
        <f>IF(F2524=0,0,IF(F2524&lt;=30,(0.7*F2524+1.45)*G2524,((0.7*30+1.45)+0.58*(F2524-30))*G2524))</f>
        <v>0</v>
      </c>
      <c r="I2524" s="592"/>
      <c r="J2524" s="592" t="str">
        <f t="shared" si="1468"/>
        <v/>
      </c>
      <c r="K2524" s="593">
        <f t="shared" si="1458"/>
        <v>0</v>
      </c>
      <c r="L2524" s="670" t="s">
        <v>783</v>
      </c>
      <c r="M2524" s="632"/>
      <c r="N2524" s="633"/>
      <c r="O2524" s="93">
        <f t="shared" si="1461"/>
        <v>0</v>
      </c>
      <c r="P2524" s="93">
        <f t="shared" si="1462"/>
        <v>0</v>
      </c>
      <c r="Q2524" s="94"/>
      <c r="R2524" s="632">
        <f t="shared" si="1463"/>
        <v>0</v>
      </c>
      <c r="S2524" s="633">
        <f t="shared" si="1464"/>
        <v>0</v>
      </c>
      <c r="T2524" s="93">
        <f t="shared" si="1465"/>
        <v>0</v>
      </c>
      <c r="U2524" s="95">
        <f t="shared" si="1466"/>
        <v>0</v>
      </c>
      <c r="V2524" s="94"/>
      <c r="W2524" s="579" t="str">
        <f>IF(U2519&gt;0,"xx",IF(P2519&gt;0,"xy",""))</f>
        <v/>
      </c>
      <c r="X2524" s="580" t="str">
        <f t="shared" si="1457"/>
        <v/>
      </c>
      <c r="Y2524" s="580" t="str">
        <f t="shared" si="1459"/>
        <v/>
      </c>
      <c r="Z2524" s="580" t="str">
        <f t="shared" si="1467"/>
        <v/>
      </c>
    </row>
    <row r="2525" spans="1:26" hidden="1" x14ac:dyDescent="0.2">
      <c r="A2525" s="97" t="s">
        <v>448</v>
      </c>
      <c r="B2525" s="1031" t="s">
        <v>448</v>
      </c>
      <c r="C2525" s="978" t="s">
        <v>212</v>
      </c>
      <c r="D2525" s="595" t="str">
        <f>'ENSAIOS DE ORÇAMENTO'!C71</f>
        <v>ENSAIO DE ORÇAMENTO 2</v>
      </c>
      <c r="E2525" s="596"/>
      <c r="F2525" s="671"/>
      <c r="G2525" s="597"/>
      <c r="H2525" s="682">
        <f>SUM(H2526:H2530)</f>
        <v>0</v>
      </c>
      <c r="I2525" s="592">
        <f>VLOOKUP(D2525,'ENSAIOS DE ORÇAMENTO'!$C$3:$L$79,8,FALSE)</f>
        <v>0</v>
      </c>
      <c r="J2525" s="592">
        <f t="shared" ref="J2525" si="1469">IF(ISBLANK(I2525),"",SUM(H2525:I2525))</f>
        <v>0</v>
      </c>
      <c r="K2525" s="593">
        <f t="shared" si="1458"/>
        <v>0</v>
      </c>
      <c r="L2525" s="594" t="s">
        <v>21</v>
      </c>
      <c r="M2525" s="92"/>
      <c r="N2525" s="92"/>
      <c r="O2525" s="93">
        <f t="shared" si="1461"/>
        <v>0</v>
      </c>
      <c r="P2525" s="93">
        <f t="shared" si="1462"/>
        <v>0</v>
      </c>
      <c r="Q2525" s="94"/>
      <c r="R2525" s="92">
        <f t="shared" si="1463"/>
        <v>0</v>
      </c>
      <c r="S2525" s="92">
        <f t="shared" si="1464"/>
        <v>0</v>
      </c>
      <c r="T2525" s="93">
        <f t="shared" si="1465"/>
        <v>0</v>
      </c>
      <c r="U2525" s="95">
        <f t="shared" si="1466"/>
        <v>0</v>
      </c>
      <c r="V2525" s="94"/>
      <c r="X2525" s="580" t="str">
        <f t="shared" si="1457"/>
        <v/>
      </c>
      <c r="Y2525" s="580" t="str">
        <f t="shared" si="1459"/>
        <v/>
      </c>
      <c r="Z2525" s="580" t="str">
        <f t="shared" si="1467"/>
        <v/>
      </c>
    </row>
    <row r="2526" spans="1:26" hidden="1" x14ac:dyDescent="0.2">
      <c r="A2526" s="97" t="s">
        <v>165</v>
      </c>
      <c r="B2526" s="1031" t="s">
        <v>165</v>
      </c>
      <c r="C2526" s="978"/>
      <c r="D2526" s="631" t="s">
        <v>218</v>
      </c>
      <c r="E2526" s="596"/>
      <c r="F2526" s="671">
        <v>500</v>
      </c>
      <c r="G2526" s="597">
        <f>VLOOKUP(D2525,'ENSAIOS DE ORÇAMENTO'!$C$3:$L$79,4,FALSE)</f>
        <v>0</v>
      </c>
      <c r="H2526" s="682">
        <f>IF(F2526&lt;=30,(0.51*F2526+4.28)*G2526,((0.51*30+4.28)+0.42*(F2526-30))*G2526)</f>
        <v>0</v>
      </c>
      <c r="I2526" s="592"/>
      <c r="J2526" s="592" t="str">
        <f t="shared" ref="J2526:J2530" si="1470">IF(ISBLANK(I2526),"",SUM(H2526:I2526))</f>
        <v/>
      </c>
      <c r="K2526" s="593">
        <f t="shared" si="1458"/>
        <v>0</v>
      </c>
      <c r="L2526" s="670" t="s">
        <v>783</v>
      </c>
      <c r="M2526" s="632"/>
      <c r="N2526" s="633"/>
      <c r="O2526" s="93">
        <f t="shared" si="1461"/>
        <v>0</v>
      </c>
      <c r="P2526" s="93">
        <f t="shared" si="1462"/>
        <v>0</v>
      </c>
      <c r="Q2526" s="94"/>
      <c r="R2526" s="632">
        <f t="shared" si="1463"/>
        <v>0</v>
      </c>
      <c r="S2526" s="633">
        <f t="shared" si="1464"/>
        <v>0</v>
      </c>
      <c r="T2526" s="93">
        <f t="shared" si="1465"/>
        <v>0</v>
      </c>
      <c r="U2526" s="95">
        <f t="shared" si="1466"/>
        <v>0</v>
      </c>
      <c r="V2526" s="94"/>
      <c r="W2526" s="579" t="str">
        <f>IF(U2525&gt;0,"xx",IF(P2525&gt;0,"xy",""))</f>
        <v/>
      </c>
      <c r="X2526" s="580" t="str">
        <f t="shared" si="1457"/>
        <v/>
      </c>
      <c r="Y2526" s="580" t="str">
        <f t="shared" si="1459"/>
        <v/>
      </c>
      <c r="Z2526" s="580" t="str">
        <f t="shared" si="1467"/>
        <v/>
      </c>
    </row>
    <row r="2527" spans="1:26" hidden="1" x14ac:dyDescent="0.2">
      <c r="A2527" s="97" t="s">
        <v>165</v>
      </c>
      <c r="B2527" s="1031" t="s">
        <v>165</v>
      </c>
      <c r="C2527" s="978"/>
      <c r="D2527" s="631" t="s">
        <v>257</v>
      </c>
      <c r="E2527" s="596"/>
      <c r="F2527" s="671">
        <v>180</v>
      </c>
      <c r="G2527" s="597">
        <f>VLOOKUP(D2525,'ENSAIOS DE ORÇAMENTO'!$C$3:$L$79,5,FALSE)</f>
        <v>0</v>
      </c>
      <c r="H2527" s="682">
        <f>IF(F2527=0,0,IF(F2527&lt;=30,(0.7*F2527+1.45)*G2527,((0.7*30+1.45)+0.58*(F2527-30))*G2527))</f>
        <v>0</v>
      </c>
      <c r="I2527" s="592"/>
      <c r="J2527" s="592" t="str">
        <f t="shared" si="1470"/>
        <v/>
      </c>
      <c r="K2527" s="593">
        <f t="shared" si="1458"/>
        <v>0</v>
      </c>
      <c r="L2527" s="670" t="s">
        <v>783</v>
      </c>
      <c r="M2527" s="632"/>
      <c r="N2527" s="633"/>
      <c r="O2527" s="93">
        <f t="shared" si="1461"/>
        <v>0</v>
      </c>
      <c r="P2527" s="93">
        <f t="shared" si="1462"/>
        <v>0</v>
      </c>
      <c r="Q2527" s="94"/>
      <c r="R2527" s="632">
        <f t="shared" si="1463"/>
        <v>0</v>
      </c>
      <c r="S2527" s="633">
        <f t="shared" si="1464"/>
        <v>0</v>
      </c>
      <c r="T2527" s="93">
        <f t="shared" si="1465"/>
        <v>0</v>
      </c>
      <c r="U2527" s="95">
        <f t="shared" si="1466"/>
        <v>0</v>
      </c>
      <c r="V2527" s="94"/>
      <c r="W2527" s="579" t="str">
        <f>IF(U2525&gt;0,"xx",IF(P2525&gt;0,"xy",""))</f>
        <v/>
      </c>
      <c r="X2527" s="580" t="str">
        <f t="shared" si="1457"/>
        <v/>
      </c>
      <c r="Y2527" s="580" t="str">
        <f t="shared" si="1459"/>
        <v/>
      </c>
      <c r="Z2527" s="580" t="str">
        <f t="shared" si="1467"/>
        <v/>
      </c>
    </row>
    <row r="2528" spans="1:26" hidden="1" x14ac:dyDescent="0.2">
      <c r="A2528" s="97" t="s">
        <v>165</v>
      </c>
      <c r="B2528" s="1031" t="s">
        <v>165</v>
      </c>
      <c r="C2528" s="978"/>
      <c r="D2528" s="631" t="s">
        <v>261</v>
      </c>
      <c r="E2528" s="596"/>
      <c r="F2528" s="671">
        <v>20</v>
      </c>
      <c r="G2528" s="597">
        <f>VLOOKUP(D2525,'ENSAIOS DE ORÇAMENTO'!$C$3:$L$79,6,FALSE)</f>
        <v>0</v>
      </c>
      <c r="H2528" s="682">
        <f>IF(F2528=0,0,IF(F2528&lt;=30,(0.7*F2528+1.45)*G2528,((0.7*30+1.45)+0.58*(F2528-30))*G2528))</f>
        <v>0</v>
      </c>
      <c r="I2528" s="592"/>
      <c r="J2528" s="592" t="str">
        <f t="shared" si="1470"/>
        <v/>
      </c>
      <c r="K2528" s="593">
        <f t="shared" si="1458"/>
        <v>0</v>
      </c>
      <c r="L2528" s="670" t="s">
        <v>783</v>
      </c>
      <c r="M2528" s="632"/>
      <c r="N2528" s="633"/>
      <c r="O2528" s="93">
        <f t="shared" si="1461"/>
        <v>0</v>
      </c>
      <c r="P2528" s="93">
        <f t="shared" si="1462"/>
        <v>0</v>
      </c>
      <c r="Q2528" s="94"/>
      <c r="R2528" s="632">
        <f t="shared" si="1463"/>
        <v>0</v>
      </c>
      <c r="S2528" s="633">
        <f t="shared" si="1464"/>
        <v>0</v>
      </c>
      <c r="T2528" s="93">
        <f t="shared" si="1465"/>
        <v>0</v>
      </c>
      <c r="U2528" s="95">
        <f t="shared" si="1466"/>
        <v>0</v>
      </c>
      <c r="V2528" s="94"/>
      <c r="W2528" s="579" t="str">
        <f>IF(U2525&gt;0,"xx",IF(P2525&gt;0,"xy",""))</f>
        <v/>
      </c>
      <c r="X2528" s="580" t="str">
        <f t="shared" si="1457"/>
        <v/>
      </c>
      <c r="Y2528" s="580" t="str">
        <f t="shared" si="1459"/>
        <v/>
      </c>
      <c r="Z2528" s="580" t="str">
        <f t="shared" si="1467"/>
        <v/>
      </c>
    </row>
    <row r="2529" spans="1:26" hidden="1" x14ac:dyDescent="0.2">
      <c r="A2529" s="97" t="s">
        <v>165</v>
      </c>
      <c r="B2529" s="1031" t="s">
        <v>165</v>
      </c>
      <c r="C2529" s="978"/>
      <c r="D2529" s="631" t="s">
        <v>419</v>
      </c>
      <c r="E2529" s="596"/>
      <c r="F2529" s="671">
        <v>30</v>
      </c>
      <c r="G2529" s="597">
        <f>VLOOKUP(D2525,'ENSAIOS DE ORÇAMENTO'!$C$3:$L$79,3,FALSE)</f>
        <v>0</v>
      </c>
      <c r="H2529" s="682">
        <f>IF(F2529=0,0,IF(F2529&lt;=30,(0.7*F2529+1.45)*G2529,((0.7*30+1.45)+0.58*(F2529-30))*G2529))</f>
        <v>0</v>
      </c>
      <c r="I2529" s="592"/>
      <c r="J2529" s="592" t="str">
        <f t="shared" si="1470"/>
        <v/>
      </c>
      <c r="K2529" s="593">
        <f t="shared" si="1458"/>
        <v>0</v>
      </c>
      <c r="L2529" s="670" t="s">
        <v>783</v>
      </c>
      <c r="M2529" s="632"/>
      <c r="N2529" s="633"/>
      <c r="O2529" s="93">
        <f t="shared" si="1461"/>
        <v>0</v>
      </c>
      <c r="P2529" s="93">
        <f t="shared" si="1462"/>
        <v>0</v>
      </c>
      <c r="Q2529" s="94"/>
      <c r="R2529" s="632">
        <f t="shared" si="1463"/>
        <v>0</v>
      </c>
      <c r="S2529" s="633">
        <f t="shared" si="1464"/>
        <v>0</v>
      </c>
      <c r="T2529" s="93">
        <f t="shared" si="1465"/>
        <v>0</v>
      </c>
      <c r="U2529" s="95">
        <f t="shared" si="1466"/>
        <v>0</v>
      </c>
      <c r="V2529" s="94"/>
      <c r="W2529" s="579" t="str">
        <f>IF(U2525&gt;0,"xx",IF(P2525&gt;0,"xy",""))</f>
        <v/>
      </c>
      <c r="X2529" s="580" t="str">
        <f t="shared" si="1457"/>
        <v/>
      </c>
      <c r="Y2529" s="580" t="str">
        <f t="shared" si="1459"/>
        <v/>
      </c>
      <c r="Z2529" s="580" t="str">
        <f t="shared" si="1467"/>
        <v/>
      </c>
    </row>
    <row r="2530" spans="1:26" hidden="1" x14ac:dyDescent="0.2">
      <c r="A2530" s="97" t="s">
        <v>165</v>
      </c>
      <c r="B2530" s="1031" t="s">
        <v>165</v>
      </c>
      <c r="C2530" s="978"/>
      <c r="D2530" s="631" t="s">
        <v>420</v>
      </c>
      <c r="E2530" s="596"/>
      <c r="F2530" s="671">
        <v>500</v>
      </c>
      <c r="G2530" s="597">
        <f>VLOOKUP(D2525,'ENSAIOS DE ORÇAMENTO'!$C$3:$L$79,10,FALSE)</f>
        <v>0</v>
      </c>
      <c r="H2530" s="682">
        <f>IF(F2530=0,0,IF(F2530&lt;=30,(0.7*F2530+1.45)*G2530,((0.7*30+1.45)+0.58*(F2530-30))*G2530))</f>
        <v>0</v>
      </c>
      <c r="I2530" s="592"/>
      <c r="J2530" s="592" t="str">
        <f t="shared" si="1470"/>
        <v/>
      </c>
      <c r="K2530" s="593">
        <f t="shared" si="1458"/>
        <v>0</v>
      </c>
      <c r="L2530" s="670" t="s">
        <v>783</v>
      </c>
      <c r="M2530" s="632"/>
      <c r="N2530" s="633"/>
      <c r="O2530" s="93">
        <f t="shared" si="1461"/>
        <v>0</v>
      </c>
      <c r="P2530" s="93">
        <f t="shared" si="1462"/>
        <v>0</v>
      </c>
      <c r="Q2530" s="94"/>
      <c r="R2530" s="632">
        <f t="shared" si="1463"/>
        <v>0</v>
      </c>
      <c r="S2530" s="633">
        <f t="shared" si="1464"/>
        <v>0</v>
      </c>
      <c r="T2530" s="93">
        <f t="shared" si="1465"/>
        <v>0</v>
      </c>
      <c r="U2530" s="95">
        <f t="shared" si="1466"/>
        <v>0</v>
      </c>
      <c r="V2530" s="94"/>
      <c r="W2530" s="579" t="str">
        <f>IF(U2525&gt;0,"xx",IF(P2525&gt;0,"xy",""))</f>
        <v/>
      </c>
      <c r="X2530" s="580" t="str">
        <f t="shared" si="1457"/>
        <v/>
      </c>
      <c r="Y2530" s="580" t="str">
        <f t="shared" si="1459"/>
        <v/>
      </c>
      <c r="Z2530" s="580" t="str">
        <f t="shared" si="1467"/>
        <v/>
      </c>
    </row>
    <row r="2531" spans="1:26" hidden="1" x14ac:dyDescent="0.2">
      <c r="A2531" s="97" t="s">
        <v>449</v>
      </c>
      <c r="B2531" s="1031" t="s">
        <v>449</v>
      </c>
      <c r="C2531" s="978" t="s">
        <v>212</v>
      </c>
      <c r="D2531" s="595" t="str">
        <f>'ENSAIOS DE ORÇAMENTO'!C72</f>
        <v>ENSAIO DE ORÇAMENTO 3</v>
      </c>
      <c r="E2531" s="596"/>
      <c r="F2531" s="671"/>
      <c r="G2531" s="597"/>
      <c r="H2531" s="682">
        <f>SUM(H2532:H2536)</f>
        <v>0</v>
      </c>
      <c r="I2531" s="592">
        <f>VLOOKUP(D2531,'ENSAIOS DE ORÇAMENTO'!$C$3:$L$79,8,FALSE)</f>
        <v>0</v>
      </c>
      <c r="J2531" s="592">
        <f t="shared" ref="J2531" si="1471">IF(ISBLANK(I2531),"",SUM(H2531:I2531))</f>
        <v>0</v>
      </c>
      <c r="K2531" s="593">
        <f t="shared" si="1458"/>
        <v>0</v>
      </c>
      <c r="L2531" s="594" t="s">
        <v>21</v>
      </c>
      <c r="M2531" s="92"/>
      <c r="N2531" s="92"/>
      <c r="O2531" s="93">
        <f t="shared" si="1461"/>
        <v>0</v>
      </c>
      <c r="P2531" s="93">
        <f t="shared" si="1462"/>
        <v>0</v>
      </c>
      <c r="Q2531" s="94"/>
      <c r="R2531" s="92">
        <f t="shared" si="1463"/>
        <v>0</v>
      </c>
      <c r="S2531" s="92">
        <f t="shared" si="1464"/>
        <v>0</v>
      </c>
      <c r="T2531" s="93">
        <f t="shared" si="1465"/>
        <v>0</v>
      </c>
      <c r="U2531" s="95">
        <f t="shared" si="1466"/>
        <v>0</v>
      </c>
      <c r="V2531" s="94"/>
      <c r="X2531" s="580" t="str">
        <f t="shared" si="1457"/>
        <v/>
      </c>
      <c r="Y2531" s="580" t="str">
        <f t="shared" si="1459"/>
        <v/>
      </c>
      <c r="Z2531" s="580" t="str">
        <f t="shared" si="1467"/>
        <v/>
      </c>
    </row>
    <row r="2532" spans="1:26" hidden="1" x14ac:dyDescent="0.2">
      <c r="A2532" s="97" t="s">
        <v>165</v>
      </c>
      <c r="B2532" s="1031" t="s">
        <v>165</v>
      </c>
      <c r="C2532" s="978"/>
      <c r="D2532" s="631" t="s">
        <v>218</v>
      </c>
      <c r="E2532" s="596"/>
      <c r="F2532" s="671">
        <v>500</v>
      </c>
      <c r="G2532" s="597">
        <f>VLOOKUP(D2531,'ENSAIOS DE ORÇAMENTO'!$C$3:$L$79,4,FALSE)</f>
        <v>0</v>
      </c>
      <c r="H2532" s="682">
        <f>IF(F2532&lt;=30,(0.51*F2532+4.28)*G2532,((0.51*30+4.28)+0.42*(F2532-30))*G2532)</f>
        <v>0</v>
      </c>
      <c r="I2532" s="592"/>
      <c r="J2532" s="592" t="str">
        <f t="shared" ref="J2532:J2536" si="1472">IF(ISBLANK(I2532),"",SUM(H2532:I2532))</f>
        <v/>
      </c>
      <c r="K2532" s="593">
        <f t="shared" si="1458"/>
        <v>0</v>
      </c>
      <c r="L2532" s="670" t="s">
        <v>783</v>
      </c>
      <c r="M2532" s="632"/>
      <c r="N2532" s="633"/>
      <c r="O2532" s="93">
        <f t="shared" si="1461"/>
        <v>0</v>
      </c>
      <c r="P2532" s="93">
        <f t="shared" si="1462"/>
        <v>0</v>
      </c>
      <c r="Q2532" s="94"/>
      <c r="R2532" s="632">
        <f t="shared" si="1463"/>
        <v>0</v>
      </c>
      <c r="S2532" s="633">
        <f t="shared" si="1464"/>
        <v>0</v>
      </c>
      <c r="T2532" s="93">
        <f t="shared" si="1465"/>
        <v>0</v>
      </c>
      <c r="U2532" s="95">
        <f t="shared" si="1466"/>
        <v>0</v>
      </c>
      <c r="V2532" s="94"/>
      <c r="W2532" s="579" t="str">
        <f>IF(U2531&gt;0,"xx",IF(P2531&gt;0,"xy",""))</f>
        <v/>
      </c>
      <c r="X2532" s="580" t="str">
        <f t="shared" si="1457"/>
        <v/>
      </c>
      <c r="Y2532" s="580" t="str">
        <f t="shared" si="1459"/>
        <v/>
      </c>
      <c r="Z2532" s="580" t="str">
        <f t="shared" si="1467"/>
        <v/>
      </c>
    </row>
    <row r="2533" spans="1:26" hidden="1" x14ac:dyDescent="0.2">
      <c r="A2533" s="97" t="s">
        <v>165</v>
      </c>
      <c r="B2533" s="1031" t="s">
        <v>165</v>
      </c>
      <c r="C2533" s="978"/>
      <c r="D2533" s="631" t="s">
        <v>257</v>
      </c>
      <c r="E2533" s="596"/>
      <c r="F2533" s="671">
        <v>180</v>
      </c>
      <c r="G2533" s="597">
        <f>VLOOKUP(D2531,'ENSAIOS DE ORÇAMENTO'!$C$3:$L$79,5,FALSE)</f>
        <v>0</v>
      </c>
      <c r="H2533" s="682">
        <f>IF(F2533=0,0,IF(F2533&lt;=30,(0.7*F2533+1.45)*G2533,((0.7*30+1.45)+0.58*(F2533-30))*G2533))</f>
        <v>0</v>
      </c>
      <c r="I2533" s="592"/>
      <c r="J2533" s="592" t="str">
        <f t="shared" si="1472"/>
        <v/>
      </c>
      <c r="K2533" s="593">
        <f t="shared" si="1458"/>
        <v>0</v>
      </c>
      <c r="L2533" s="670" t="s">
        <v>783</v>
      </c>
      <c r="M2533" s="632"/>
      <c r="N2533" s="633"/>
      <c r="O2533" s="93">
        <f t="shared" si="1461"/>
        <v>0</v>
      </c>
      <c r="P2533" s="93">
        <f t="shared" si="1462"/>
        <v>0</v>
      </c>
      <c r="Q2533" s="94"/>
      <c r="R2533" s="632">
        <f t="shared" si="1463"/>
        <v>0</v>
      </c>
      <c r="S2533" s="633">
        <f t="shared" si="1464"/>
        <v>0</v>
      </c>
      <c r="T2533" s="93">
        <f t="shared" si="1465"/>
        <v>0</v>
      </c>
      <c r="U2533" s="95">
        <f t="shared" si="1466"/>
        <v>0</v>
      </c>
      <c r="V2533" s="94"/>
      <c r="W2533" s="579" t="str">
        <f>IF(U2531&gt;0,"xx",IF(P2531&gt;0,"xy",""))</f>
        <v/>
      </c>
      <c r="X2533" s="580" t="str">
        <f t="shared" si="1457"/>
        <v/>
      </c>
      <c r="Y2533" s="580" t="str">
        <f t="shared" si="1459"/>
        <v/>
      </c>
      <c r="Z2533" s="580" t="str">
        <f t="shared" si="1467"/>
        <v/>
      </c>
    </row>
    <row r="2534" spans="1:26" hidden="1" x14ac:dyDescent="0.2">
      <c r="A2534" s="97" t="s">
        <v>165</v>
      </c>
      <c r="B2534" s="1031" t="s">
        <v>165</v>
      </c>
      <c r="C2534" s="978"/>
      <c r="D2534" s="631" t="s">
        <v>261</v>
      </c>
      <c r="E2534" s="596"/>
      <c r="F2534" s="671">
        <v>20</v>
      </c>
      <c r="G2534" s="597">
        <f>VLOOKUP(D2531,'ENSAIOS DE ORÇAMENTO'!$C$3:$L$79,6,FALSE)</f>
        <v>0</v>
      </c>
      <c r="H2534" s="682">
        <f>IF(F2534=0,0,IF(F2534&lt;=30,(0.7*F2534+1.45)*G2534,((0.7*30+1.45)+0.58*(F2534-30))*G2534))</f>
        <v>0</v>
      </c>
      <c r="I2534" s="592"/>
      <c r="J2534" s="592" t="str">
        <f t="shared" si="1472"/>
        <v/>
      </c>
      <c r="K2534" s="593">
        <f t="shared" si="1458"/>
        <v>0</v>
      </c>
      <c r="L2534" s="670" t="s">
        <v>783</v>
      </c>
      <c r="M2534" s="632"/>
      <c r="N2534" s="633"/>
      <c r="O2534" s="93">
        <f t="shared" si="1461"/>
        <v>0</v>
      </c>
      <c r="P2534" s="93">
        <f t="shared" si="1462"/>
        <v>0</v>
      </c>
      <c r="Q2534" s="94"/>
      <c r="R2534" s="632">
        <f t="shared" si="1463"/>
        <v>0</v>
      </c>
      <c r="S2534" s="633">
        <f t="shared" si="1464"/>
        <v>0</v>
      </c>
      <c r="T2534" s="93">
        <f t="shared" si="1465"/>
        <v>0</v>
      </c>
      <c r="U2534" s="95">
        <f t="shared" si="1466"/>
        <v>0</v>
      </c>
      <c r="V2534" s="94"/>
      <c r="W2534" s="579" t="str">
        <f>IF(U2531&gt;0,"xx",IF(P2531&gt;0,"xy",""))</f>
        <v/>
      </c>
      <c r="X2534" s="580" t="str">
        <f t="shared" si="1457"/>
        <v/>
      </c>
      <c r="Y2534" s="580" t="str">
        <f t="shared" si="1459"/>
        <v/>
      </c>
      <c r="Z2534" s="580" t="str">
        <f t="shared" si="1467"/>
        <v/>
      </c>
    </row>
    <row r="2535" spans="1:26" hidden="1" x14ac:dyDescent="0.2">
      <c r="A2535" s="97" t="s">
        <v>165</v>
      </c>
      <c r="B2535" s="1031" t="s">
        <v>165</v>
      </c>
      <c r="C2535" s="978"/>
      <c r="D2535" s="631" t="s">
        <v>419</v>
      </c>
      <c r="E2535" s="596"/>
      <c r="F2535" s="671">
        <v>30</v>
      </c>
      <c r="G2535" s="597">
        <f>VLOOKUP(D2531,'ENSAIOS DE ORÇAMENTO'!$C$3:$L$79,3,FALSE)</f>
        <v>0</v>
      </c>
      <c r="H2535" s="682">
        <f>IF(F2535=0,0,IF(F2535&lt;=30,(0.7*F2535+1.45)*G2535,((0.7*30+1.45)+0.58*(F2535-30))*G2535))</f>
        <v>0</v>
      </c>
      <c r="I2535" s="592"/>
      <c r="J2535" s="592" t="str">
        <f t="shared" si="1472"/>
        <v/>
      </c>
      <c r="K2535" s="593">
        <f t="shared" si="1458"/>
        <v>0</v>
      </c>
      <c r="L2535" s="670" t="s">
        <v>783</v>
      </c>
      <c r="M2535" s="632"/>
      <c r="N2535" s="633"/>
      <c r="O2535" s="93">
        <f t="shared" si="1461"/>
        <v>0</v>
      </c>
      <c r="P2535" s="93">
        <f t="shared" si="1462"/>
        <v>0</v>
      </c>
      <c r="Q2535" s="94"/>
      <c r="R2535" s="632">
        <f t="shared" si="1463"/>
        <v>0</v>
      </c>
      <c r="S2535" s="633">
        <f t="shared" si="1464"/>
        <v>0</v>
      </c>
      <c r="T2535" s="93">
        <f t="shared" si="1465"/>
        <v>0</v>
      </c>
      <c r="U2535" s="95">
        <f t="shared" si="1466"/>
        <v>0</v>
      </c>
      <c r="V2535" s="94"/>
      <c r="W2535" s="579" t="str">
        <f>IF(U2531&gt;0,"xx",IF(P2531&gt;0,"xy",""))</f>
        <v/>
      </c>
      <c r="X2535" s="580" t="str">
        <f t="shared" si="1457"/>
        <v/>
      </c>
      <c r="Y2535" s="580" t="str">
        <f t="shared" si="1459"/>
        <v/>
      </c>
      <c r="Z2535" s="580" t="str">
        <f t="shared" si="1467"/>
        <v/>
      </c>
    </row>
    <row r="2536" spans="1:26" hidden="1" x14ac:dyDescent="0.2">
      <c r="A2536" s="97" t="s">
        <v>165</v>
      </c>
      <c r="B2536" s="1031" t="s">
        <v>165</v>
      </c>
      <c r="C2536" s="978"/>
      <c r="D2536" s="631" t="s">
        <v>420</v>
      </c>
      <c r="E2536" s="596"/>
      <c r="F2536" s="671">
        <v>500</v>
      </c>
      <c r="G2536" s="597">
        <f>VLOOKUP(D2531,'ENSAIOS DE ORÇAMENTO'!$C$3:$L$79,10,FALSE)</f>
        <v>0</v>
      </c>
      <c r="H2536" s="682">
        <f>IF(F2536=0,0,IF(F2536&lt;=30,(0.7*F2536+1.45)*G2536,((0.7*30+1.45)+0.58*(F2536-30))*G2536))</f>
        <v>0</v>
      </c>
      <c r="I2536" s="592"/>
      <c r="J2536" s="592" t="str">
        <f t="shared" si="1472"/>
        <v/>
      </c>
      <c r="K2536" s="593">
        <f t="shared" si="1458"/>
        <v>0</v>
      </c>
      <c r="L2536" s="670" t="s">
        <v>783</v>
      </c>
      <c r="M2536" s="632"/>
      <c r="N2536" s="633"/>
      <c r="O2536" s="93">
        <f t="shared" si="1461"/>
        <v>0</v>
      </c>
      <c r="P2536" s="93">
        <f t="shared" si="1462"/>
        <v>0</v>
      </c>
      <c r="Q2536" s="94"/>
      <c r="R2536" s="632">
        <f t="shared" si="1463"/>
        <v>0</v>
      </c>
      <c r="S2536" s="633">
        <f t="shared" si="1464"/>
        <v>0</v>
      </c>
      <c r="T2536" s="93">
        <f t="shared" si="1465"/>
        <v>0</v>
      </c>
      <c r="U2536" s="95">
        <f t="shared" si="1466"/>
        <v>0</v>
      </c>
      <c r="V2536" s="94"/>
      <c r="W2536" s="579" t="str">
        <f>IF(U2531&gt;0,"xx",IF(P2531&gt;0,"xy",""))</f>
        <v/>
      </c>
      <c r="X2536" s="580" t="str">
        <f t="shared" si="1457"/>
        <v/>
      </c>
      <c r="Y2536" s="580" t="str">
        <f t="shared" si="1459"/>
        <v/>
      </c>
      <c r="Z2536" s="580" t="str">
        <f t="shared" si="1467"/>
        <v/>
      </c>
    </row>
    <row r="2537" spans="1:26" hidden="1" x14ac:dyDescent="0.2">
      <c r="A2537" s="97" t="s">
        <v>450</v>
      </c>
      <c r="B2537" s="1031" t="s">
        <v>450</v>
      </c>
      <c r="C2537" s="978" t="s">
        <v>212</v>
      </c>
      <c r="D2537" s="595" t="str">
        <f>'ENSAIOS DE ORÇAMENTO'!C73</f>
        <v>ENSAIO DE ORÇAMENTO 4</v>
      </c>
      <c r="E2537" s="596"/>
      <c r="F2537" s="671"/>
      <c r="G2537" s="597"/>
      <c r="H2537" s="682">
        <f>SUM(H2538:H2542)</f>
        <v>0</v>
      </c>
      <c r="I2537" s="592">
        <f>VLOOKUP(D2537,'ENSAIOS DE ORÇAMENTO'!$C$3:$L$79,8,FALSE)</f>
        <v>0</v>
      </c>
      <c r="J2537" s="592">
        <f t="shared" ref="J2537" si="1473">IF(ISBLANK(I2537),"",SUM(H2537:I2537))</f>
        <v>0</v>
      </c>
      <c r="K2537" s="593">
        <f t="shared" si="1458"/>
        <v>0</v>
      </c>
      <c r="L2537" s="594" t="s">
        <v>21</v>
      </c>
      <c r="M2537" s="92"/>
      <c r="N2537" s="92"/>
      <c r="O2537" s="93">
        <f t="shared" si="1461"/>
        <v>0</v>
      </c>
      <c r="P2537" s="93">
        <f t="shared" si="1462"/>
        <v>0</v>
      </c>
      <c r="Q2537" s="94"/>
      <c r="R2537" s="92">
        <f t="shared" si="1463"/>
        <v>0</v>
      </c>
      <c r="S2537" s="92">
        <f t="shared" si="1464"/>
        <v>0</v>
      </c>
      <c r="T2537" s="93">
        <f t="shared" si="1465"/>
        <v>0</v>
      </c>
      <c r="U2537" s="95">
        <f t="shared" si="1466"/>
        <v>0</v>
      </c>
      <c r="V2537" s="94"/>
      <c r="X2537" s="580" t="str">
        <f t="shared" si="1457"/>
        <v/>
      </c>
      <c r="Y2537" s="580" t="str">
        <f t="shared" si="1459"/>
        <v/>
      </c>
      <c r="Z2537" s="580" t="str">
        <f t="shared" si="1467"/>
        <v/>
      </c>
    </row>
    <row r="2538" spans="1:26" hidden="1" x14ac:dyDescent="0.2">
      <c r="A2538" s="97" t="s">
        <v>165</v>
      </c>
      <c r="B2538" s="1031" t="s">
        <v>165</v>
      </c>
      <c r="C2538" s="978"/>
      <c r="D2538" s="631" t="s">
        <v>218</v>
      </c>
      <c r="E2538" s="596"/>
      <c r="F2538" s="671">
        <v>500</v>
      </c>
      <c r="G2538" s="597">
        <f>VLOOKUP(D2537,'ENSAIOS DE ORÇAMENTO'!$C$3:$L$79,4,FALSE)</f>
        <v>0</v>
      </c>
      <c r="H2538" s="682">
        <f>IF(F2538&lt;=30,(0.51*F2538+4.28)*G2538,((0.51*30+4.28)+0.42*(F2538-30))*G2538)</f>
        <v>0</v>
      </c>
      <c r="I2538" s="592"/>
      <c r="J2538" s="592" t="str">
        <f t="shared" ref="J2538:J2577" si="1474">IF(ISBLANK(I2538),"",SUM(H2538:I2538))</f>
        <v/>
      </c>
      <c r="K2538" s="593">
        <f t="shared" si="1458"/>
        <v>0</v>
      </c>
      <c r="L2538" s="670" t="s">
        <v>783</v>
      </c>
      <c r="M2538" s="632"/>
      <c r="N2538" s="633"/>
      <c r="O2538" s="93">
        <f t="shared" si="1461"/>
        <v>0</v>
      </c>
      <c r="P2538" s="93">
        <f t="shared" si="1462"/>
        <v>0</v>
      </c>
      <c r="Q2538" s="94"/>
      <c r="R2538" s="632">
        <f t="shared" si="1463"/>
        <v>0</v>
      </c>
      <c r="S2538" s="633">
        <f t="shared" si="1464"/>
        <v>0</v>
      </c>
      <c r="T2538" s="93">
        <f t="shared" si="1465"/>
        <v>0</v>
      </c>
      <c r="U2538" s="95">
        <f t="shared" si="1466"/>
        <v>0</v>
      </c>
      <c r="V2538" s="94"/>
      <c r="W2538" s="579" t="str">
        <f>IF(U2537&gt;0,"xx",IF(P2537&gt;0,"xy",""))</f>
        <v/>
      </c>
      <c r="X2538" s="580" t="str">
        <f t="shared" si="1457"/>
        <v/>
      </c>
      <c r="Y2538" s="580" t="str">
        <f t="shared" si="1459"/>
        <v/>
      </c>
      <c r="Z2538" s="580" t="str">
        <f t="shared" si="1467"/>
        <v/>
      </c>
    </row>
    <row r="2539" spans="1:26" hidden="1" x14ac:dyDescent="0.2">
      <c r="A2539" s="97" t="s">
        <v>165</v>
      </c>
      <c r="B2539" s="1031" t="s">
        <v>165</v>
      </c>
      <c r="C2539" s="978"/>
      <c r="D2539" s="631" t="s">
        <v>257</v>
      </c>
      <c r="E2539" s="596"/>
      <c r="F2539" s="671">
        <v>180</v>
      </c>
      <c r="G2539" s="597">
        <f>VLOOKUP(D2537,'ENSAIOS DE ORÇAMENTO'!$C$3:$L$79,5,FALSE)</f>
        <v>0</v>
      </c>
      <c r="H2539" s="682">
        <f>IF(F2539=0,0,IF(F2539&lt;=30,(0.7*F2539+1.45)*G2539,((0.7*30+1.45)+0.58*(F2539-30))*G2539))</f>
        <v>0</v>
      </c>
      <c r="I2539" s="592"/>
      <c r="J2539" s="592" t="str">
        <f t="shared" si="1474"/>
        <v/>
      </c>
      <c r="K2539" s="593">
        <f t="shared" si="1458"/>
        <v>0</v>
      </c>
      <c r="L2539" s="670" t="s">
        <v>783</v>
      </c>
      <c r="M2539" s="632"/>
      <c r="N2539" s="633"/>
      <c r="O2539" s="93">
        <f t="shared" si="1461"/>
        <v>0</v>
      </c>
      <c r="P2539" s="93">
        <f t="shared" si="1462"/>
        <v>0</v>
      </c>
      <c r="Q2539" s="94"/>
      <c r="R2539" s="632">
        <f t="shared" si="1463"/>
        <v>0</v>
      </c>
      <c r="S2539" s="633">
        <f t="shared" si="1464"/>
        <v>0</v>
      </c>
      <c r="T2539" s="93">
        <f t="shared" si="1465"/>
        <v>0</v>
      </c>
      <c r="U2539" s="95">
        <f t="shared" si="1466"/>
        <v>0</v>
      </c>
      <c r="V2539" s="94"/>
      <c r="W2539" s="579" t="str">
        <f>IF(U2537&gt;0,"xx",IF(P2537&gt;0,"xy",""))</f>
        <v/>
      </c>
      <c r="X2539" s="580" t="str">
        <f t="shared" si="1457"/>
        <v/>
      </c>
      <c r="Y2539" s="580" t="str">
        <f t="shared" si="1459"/>
        <v/>
      </c>
      <c r="Z2539" s="580" t="str">
        <f t="shared" si="1467"/>
        <v/>
      </c>
    </row>
    <row r="2540" spans="1:26" hidden="1" x14ac:dyDescent="0.2">
      <c r="A2540" s="97" t="s">
        <v>165</v>
      </c>
      <c r="B2540" s="1031" t="s">
        <v>165</v>
      </c>
      <c r="C2540" s="978"/>
      <c r="D2540" s="631" t="s">
        <v>261</v>
      </c>
      <c r="E2540" s="596"/>
      <c r="F2540" s="671">
        <v>20</v>
      </c>
      <c r="G2540" s="597">
        <f>VLOOKUP(D2537,'ENSAIOS DE ORÇAMENTO'!$C$3:$L$79,6,FALSE)</f>
        <v>0</v>
      </c>
      <c r="H2540" s="682">
        <f>IF(F2540=0,0,IF(F2540&lt;=30,(0.7*F2540+1.45)*G2540,((0.7*30+1.45)+0.58*(F2540-30))*G2540))</f>
        <v>0</v>
      </c>
      <c r="I2540" s="592"/>
      <c r="J2540" s="592" t="str">
        <f t="shared" si="1474"/>
        <v/>
      </c>
      <c r="K2540" s="593">
        <f t="shared" si="1458"/>
        <v>0</v>
      </c>
      <c r="L2540" s="670" t="s">
        <v>783</v>
      </c>
      <c r="M2540" s="632"/>
      <c r="N2540" s="633"/>
      <c r="O2540" s="93">
        <f t="shared" si="1461"/>
        <v>0</v>
      </c>
      <c r="P2540" s="93">
        <f t="shared" si="1462"/>
        <v>0</v>
      </c>
      <c r="Q2540" s="94"/>
      <c r="R2540" s="632">
        <f t="shared" si="1463"/>
        <v>0</v>
      </c>
      <c r="S2540" s="633">
        <f t="shared" si="1464"/>
        <v>0</v>
      </c>
      <c r="T2540" s="93">
        <f t="shared" si="1465"/>
        <v>0</v>
      </c>
      <c r="U2540" s="95">
        <f t="shared" si="1466"/>
        <v>0</v>
      </c>
      <c r="V2540" s="94"/>
      <c r="W2540" s="579" t="str">
        <f>IF(U2537&gt;0,"xx",IF(P2537&gt;0,"xy",""))</f>
        <v/>
      </c>
      <c r="X2540" s="580" t="str">
        <f t="shared" si="1457"/>
        <v/>
      </c>
      <c r="Y2540" s="580" t="str">
        <f t="shared" si="1459"/>
        <v/>
      </c>
      <c r="Z2540" s="580" t="str">
        <f t="shared" si="1467"/>
        <v/>
      </c>
    </row>
    <row r="2541" spans="1:26" hidden="1" x14ac:dyDescent="0.2">
      <c r="A2541" s="97" t="s">
        <v>165</v>
      </c>
      <c r="B2541" s="1031" t="s">
        <v>165</v>
      </c>
      <c r="C2541" s="978"/>
      <c r="D2541" s="631" t="s">
        <v>419</v>
      </c>
      <c r="E2541" s="596"/>
      <c r="F2541" s="671">
        <v>30</v>
      </c>
      <c r="G2541" s="597">
        <f>VLOOKUP(D2537,'ENSAIOS DE ORÇAMENTO'!$C$3:$L$79,3,FALSE)</f>
        <v>0</v>
      </c>
      <c r="H2541" s="682">
        <f>IF(F2541=0,0,IF(F2541&lt;=30,(0.7*F2541+1.45)*G2541,((0.7*30+1.45)+0.58*(F2541-30))*G2541))</f>
        <v>0</v>
      </c>
      <c r="I2541" s="592"/>
      <c r="J2541" s="592" t="str">
        <f t="shared" si="1474"/>
        <v/>
      </c>
      <c r="K2541" s="593">
        <f t="shared" si="1458"/>
        <v>0</v>
      </c>
      <c r="L2541" s="670" t="s">
        <v>783</v>
      </c>
      <c r="M2541" s="632"/>
      <c r="N2541" s="633"/>
      <c r="O2541" s="93">
        <f t="shared" si="1461"/>
        <v>0</v>
      </c>
      <c r="P2541" s="93">
        <f t="shared" si="1462"/>
        <v>0</v>
      </c>
      <c r="Q2541" s="94"/>
      <c r="R2541" s="632">
        <f t="shared" si="1463"/>
        <v>0</v>
      </c>
      <c r="S2541" s="633">
        <f t="shared" si="1464"/>
        <v>0</v>
      </c>
      <c r="T2541" s="93">
        <f t="shared" si="1465"/>
        <v>0</v>
      </c>
      <c r="U2541" s="95">
        <f t="shared" si="1466"/>
        <v>0</v>
      </c>
      <c r="V2541" s="94"/>
      <c r="W2541" s="579" t="str">
        <f>IF(U2537&gt;0,"xx",IF(P2537&gt;0,"xy",""))</f>
        <v/>
      </c>
      <c r="X2541" s="580" t="str">
        <f t="shared" si="1457"/>
        <v/>
      </c>
      <c r="Y2541" s="580" t="str">
        <f t="shared" si="1459"/>
        <v/>
      </c>
      <c r="Z2541" s="580" t="str">
        <f t="shared" si="1467"/>
        <v/>
      </c>
    </row>
    <row r="2542" spans="1:26" hidden="1" x14ac:dyDescent="0.2">
      <c r="A2542" s="97" t="s">
        <v>165</v>
      </c>
      <c r="B2542" s="1031" t="s">
        <v>165</v>
      </c>
      <c r="C2542" s="978"/>
      <c r="D2542" s="631" t="s">
        <v>420</v>
      </c>
      <c r="E2542" s="596"/>
      <c r="F2542" s="671">
        <v>500</v>
      </c>
      <c r="G2542" s="597">
        <f>VLOOKUP(D2537,'ENSAIOS DE ORÇAMENTO'!$C$3:$L$79,10,FALSE)</f>
        <v>0</v>
      </c>
      <c r="H2542" s="682">
        <f>IF(F2542=0,0,IF(F2542&lt;=30,(0.7*F2542+1.45)*G2542,((0.7*30+1.45)+0.58*(F2542-30))*G2542))</f>
        <v>0</v>
      </c>
      <c r="I2542" s="592"/>
      <c r="J2542" s="592" t="str">
        <f t="shared" si="1474"/>
        <v/>
      </c>
      <c r="K2542" s="593">
        <f t="shared" si="1458"/>
        <v>0</v>
      </c>
      <c r="L2542" s="670" t="s">
        <v>783</v>
      </c>
      <c r="M2542" s="632"/>
      <c r="N2542" s="633"/>
      <c r="O2542" s="93">
        <f t="shared" si="1461"/>
        <v>0</v>
      </c>
      <c r="P2542" s="93">
        <f t="shared" si="1462"/>
        <v>0</v>
      </c>
      <c r="Q2542" s="94"/>
      <c r="R2542" s="632">
        <f t="shared" si="1463"/>
        <v>0</v>
      </c>
      <c r="S2542" s="633">
        <f t="shared" si="1464"/>
        <v>0</v>
      </c>
      <c r="T2542" s="93">
        <f t="shared" si="1465"/>
        <v>0</v>
      </c>
      <c r="U2542" s="95">
        <f t="shared" si="1466"/>
        <v>0</v>
      </c>
      <c r="V2542" s="94"/>
      <c r="W2542" s="579" t="str">
        <f>IF(U2537&gt;0,"xx",IF(P2537&gt;0,"xy",""))</f>
        <v/>
      </c>
      <c r="X2542" s="580" t="str">
        <f t="shared" si="1457"/>
        <v/>
      </c>
      <c r="Y2542" s="580" t="str">
        <f t="shared" si="1459"/>
        <v/>
      </c>
      <c r="Z2542" s="580" t="str">
        <f t="shared" si="1467"/>
        <v/>
      </c>
    </row>
    <row r="2543" spans="1:26" hidden="1" x14ac:dyDescent="0.2">
      <c r="A2543" s="97" t="s">
        <v>451</v>
      </c>
      <c r="B2543" s="1031" t="s">
        <v>451</v>
      </c>
      <c r="C2543" s="978" t="s">
        <v>212</v>
      </c>
      <c r="D2543" s="595" t="str">
        <f>'ENSAIOS DE ORÇAMENTO'!C74</f>
        <v>ENSAIO DE ORÇAMENTO 5</v>
      </c>
      <c r="E2543" s="596"/>
      <c r="F2543" s="671"/>
      <c r="G2543" s="597"/>
      <c r="H2543" s="682">
        <f>SUM(H2544:H2548)</f>
        <v>0</v>
      </c>
      <c r="I2543" s="592">
        <f>VLOOKUP(D2543,'ENSAIOS DE ORÇAMENTO'!$C$3:$L$79,8,FALSE)</f>
        <v>0</v>
      </c>
      <c r="J2543" s="592">
        <f t="shared" si="1474"/>
        <v>0</v>
      </c>
      <c r="K2543" s="593">
        <f t="shared" si="1458"/>
        <v>0</v>
      </c>
      <c r="L2543" s="594" t="s">
        <v>21</v>
      </c>
      <c r="M2543" s="92"/>
      <c r="N2543" s="92"/>
      <c r="O2543" s="93">
        <f t="shared" si="1461"/>
        <v>0</v>
      </c>
      <c r="P2543" s="93">
        <f t="shared" si="1462"/>
        <v>0</v>
      </c>
      <c r="Q2543" s="94"/>
      <c r="R2543" s="92">
        <f t="shared" si="1463"/>
        <v>0</v>
      </c>
      <c r="S2543" s="92">
        <f t="shared" si="1464"/>
        <v>0</v>
      </c>
      <c r="T2543" s="93">
        <f t="shared" si="1465"/>
        <v>0</v>
      </c>
      <c r="U2543" s="95">
        <f t="shared" si="1466"/>
        <v>0</v>
      </c>
      <c r="V2543" s="94"/>
      <c r="X2543" s="580" t="str">
        <f t="shared" si="1457"/>
        <v/>
      </c>
      <c r="Y2543" s="580" t="str">
        <f t="shared" si="1459"/>
        <v/>
      </c>
      <c r="Z2543" s="580" t="str">
        <f t="shared" si="1467"/>
        <v/>
      </c>
    </row>
    <row r="2544" spans="1:26" hidden="1" x14ac:dyDescent="0.2">
      <c r="A2544" s="97" t="s">
        <v>165</v>
      </c>
      <c r="B2544" s="1031" t="s">
        <v>165</v>
      </c>
      <c r="C2544" s="978"/>
      <c r="D2544" s="631" t="s">
        <v>218</v>
      </c>
      <c r="E2544" s="596"/>
      <c r="F2544" s="671">
        <v>500</v>
      </c>
      <c r="G2544" s="597">
        <f>VLOOKUP(D2543,'ENSAIOS DE ORÇAMENTO'!$C$3:$L$79,4,FALSE)</f>
        <v>0</v>
      </c>
      <c r="H2544" s="682">
        <f>IF(F2544&lt;=30,(0.51*F2544+4.28)*G2544,((0.51*30+4.28)+0.42*(F2544-30))*G2544)</f>
        <v>0</v>
      </c>
      <c r="I2544" s="592"/>
      <c r="J2544" s="592" t="str">
        <f t="shared" si="1474"/>
        <v/>
      </c>
      <c r="K2544" s="593">
        <f t="shared" si="1458"/>
        <v>0</v>
      </c>
      <c r="L2544" s="670" t="s">
        <v>783</v>
      </c>
      <c r="M2544" s="632"/>
      <c r="N2544" s="633"/>
      <c r="O2544" s="93">
        <f t="shared" si="1461"/>
        <v>0</v>
      </c>
      <c r="P2544" s="93">
        <f t="shared" si="1462"/>
        <v>0</v>
      </c>
      <c r="Q2544" s="94"/>
      <c r="R2544" s="632">
        <f t="shared" si="1463"/>
        <v>0</v>
      </c>
      <c r="S2544" s="633">
        <f t="shared" si="1464"/>
        <v>0</v>
      </c>
      <c r="T2544" s="93">
        <f t="shared" si="1465"/>
        <v>0</v>
      </c>
      <c r="U2544" s="95">
        <f t="shared" si="1466"/>
        <v>0</v>
      </c>
      <c r="V2544" s="94"/>
      <c r="W2544" s="579" t="str">
        <f>IF(U2543&gt;0,"xx",IF(P2543&gt;0,"xy",""))</f>
        <v/>
      </c>
      <c r="X2544" s="580" t="str">
        <f t="shared" si="1457"/>
        <v/>
      </c>
      <c r="Y2544" s="580" t="str">
        <f t="shared" si="1459"/>
        <v/>
      </c>
      <c r="Z2544" s="580" t="str">
        <f t="shared" si="1467"/>
        <v/>
      </c>
    </row>
    <row r="2545" spans="1:26" hidden="1" x14ac:dyDescent="0.2">
      <c r="A2545" s="97" t="s">
        <v>165</v>
      </c>
      <c r="B2545" s="1031" t="s">
        <v>165</v>
      </c>
      <c r="C2545" s="978"/>
      <c r="D2545" s="631" t="s">
        <v>257</v>
      </c>
      <c r="E2545" s="596"/>
      <c r="F2545" s="671">
        <v>180</v>
      </c>
      <c r="G2545" s="597">
        <f>VLOOKUP(D2543,'ENSAIOS DE ORÇAMENTO'!$C$3:$L$79,5,FALSE)</f>
        <v>0</v>
      </c>
      <c r="H2545" s="682">
        <f>IF(F2545=0,0,IF(F2545&lt;=30,(0.7*F2545+1.45)*G2545,((0.7*30+1.45)+0.58*(F2545-30))*G2545))</f>
        <v>0</v>
      </c>
      <c r="I2545" s="592"/>
      <c r="J2545" s="592" t="str">
        <f t="shared" si="1474"/>
        <v/>
      </c>
      <c r="K2545" s="593">
        <f t="shared" si="1458"/>
        <v>0</v>
      </c>
      <c r="L2545" s="670" t="s">
        <v>783</v>
      </c>
      <c r="M2545" s="632"/>
      <c r="N2545" s="633"/>
      <c r="O2545" s="93">
        <f t="shared" si="1461"/>
        <v>0</v>
      </c>
      <c r="P2545" s="93">
        <f t="shared" si="1462"/>
        <v>0</v>
      </c>
      <c r="Q2545" s="94"/>
      <c r="R2545" s="632">
        <f t="shared" si="1463"/>
        <v>0</v>
      </c>
      <c r="S2545" s="633">
        <f t="shared" si="1464"/>
        <v>0</v>
      </c>
      <c r="T2545" s="93">
        <f t="shared" si="1465"/>
        <v>0</v>
      </c>
      <c r="U2545" s="95">
        <f t="shared" si="1466"/>
        <v>0</v>
      </c>
      <c r="V2545" s="94"/>
      <c r="W2545" s="579" t="str">
        <f>IF(U2543&gt;0,"xx",IF(P2543&gt;0,"xy",""))</f>
        <v/>
      </c>
      <c r="X2545" s="580" t="str">
        <f t="shared" si="1457"/>
        <v/>
      </c>
      <c r="Y2545" s="580" t="str">
        <f t="shared" si="1459"/>
        <v/>
      </c>
      <c r="Z2545" s="580" t="str">
        <f t="shared" si="1467"/>
        <v/>
      </c>
    </row>
    <row r="2546" spans="1:26" hidden="1" x14ac:dyDescent="0.2">
      <c r="A2546" s="97" t="s">
        <v>165</v>
      </c>
      <c r="B2546" s="1031" t="s">
        <v>165</v>
      </c>
      <c r="C2546" s="978"/>
      <c r="D2546" s="631" t="s">
        <v>261</v>
      </c>
      <c r="E2546" s="596"/>
      <c r="F2546" s="671">
        <v>20</v>
      </c>
      <c r="G2546" s="597">
        <f>VLOOKUP(D2543,'ENSAIOS DE ORÇAMENTO'!$C$3:$L$79,6,FALSE)</f>
        <v>0</v>
      </c>
      <c r="H2546" s="682">
        <f>IF(F2546=0,0,IF(F2546&lt;=30,(0.7*F2546+1.45)*G2546,((0.7*30+1.45)+0.58*(F2546-30))*G2546))</f>
        <v>0</v>
      </c>
      <c r="I2546" s="592"/>
      <c r="J2546" s="592" t="str">
        <f t="shared" si="1474"/>
        <v/>
      </c>
      <c r="K2546" s="593">
        <f t="shared" si="1458"/>
        <v>0</v>
      </c>
      <c r="L2546" s="670" t="s">
        <v>783</v>
      </c>
      <c r="M2546" s="632"/>
      <c r="N2546" s="633"/>
      <c r="O2546" s="93">
        <f t="shared" si="1461"/>
        <v>0</v>
      </c>
      <c r="P2546" s="93">
        <f t="shared" si="1462"/>
        <v>0</v>
      </c>
      <c r="Q2546" s="94"/>
      <c r="R2546" s="632">
        <f t="shared" si="1463"/>
        <v>0</v>
      </c>
      <c r="S2546" s="633">
        <f t="shared" si="1464"/>
        <v>0</v>
      </c>
      <c r="T2546" s="93">
        <f t="shared" si="1465"/>
        <v>0</v>
      </c>
      <c r="U2546" s="95">
        <f t="shared" si="1466"/>
        <v>0</v>
      </c>
      <c r="V2546" s="94"/>
      <c r="W2546" s="579" t="str">
        <f>IF(U2543&gt;0,"xx",IF(P2543&gt;0,"xy",""))</f>
        <v/>
      </c>
      <c r="X2546" s="580" t="str">
        <f t="shared" si="1457"/>
        <v/>
      </c>
      <c r="Y2546" s="580" t="str">
        <f t="shared" si="1459"/>
        <v/>
      </c>
      <c r="Z2546" s="580" t="str">
        <f t="shared" si="1467"/>
        <v/>
      </c>
    </row>
    <row r="2547" spans="1:26" hidden="1" x14ac:dyDescent="0.2">
      <c r="A2547" s="97" t="s">
        <v>165</v>
      </c>
      <c r="B2547" s="1031" t="s">
        <v>165</v>
      </c>
      <c r="C2547" s="978"/>
      <c r="D2547" s="595" t="s">
        <v>419</v>
      </c>
      <c r="E2547" s="596"/>
      <c r="F2547" s="671">
        <v>30</v>
      </c>
      <c r="G2547" s="597">
        <f>VLOOKUP(D2543,'ENSAIOS DE ORÇAMENTO'!$C$3:$L$79,3,FALSE)</f>
        <v>0</v>
      </c>
      <c r="H2547" s="682">
        <f>IF(F2547=0,0,IF(F2547&lt;=30,(0.7*F2547+1.45)*G2547,((0.7*30+1.45)+0.58*(F2547-30))*G2547))</f>
        <v>0</v>
      </c>
      <c r="I2547" s="592"/>
      <c r="J2547" s="592" t="str">
        <f t="shared" si="1474"/>
        <v/>
      </c>
      <c r="K2547" s="593">
        <f t="shared" si="1458"/>
        <v>0</v>
      </c>
      <c r="L2547" s="594" t="s">
        <v>783</v>
      </c>
      <c r="M2547" s="92"/>
      <c r="N2547" s="92"/>
      <c r="O2547" s="93">
        <f t="shared" si="1461"/>
        <v>0</v>
      </c>
      <c r="P2547" s="93">
        <f t="shared" si="1462"/>
        <v>0</v>
      </c>
      <c r="Q2547" s="94"/>
      <c r="R2547" s="92">
        <f t="shared" si="1463"/>
        <v>0</v>
      </c>
      <c r="S2547" s="92">
        <f t="shared" si="1464"/>
        <v>0</v>
      </c>
      <c r="T2547" s="93">
        <f t="shared" si="1465"/>
        <v>0</v>
      </c>
      <c r="U2547" s="95">
        <f t="shared" si="1466"/>
        <v>0</v>
      </c>
      <c r="V2547" s="94"/>
      <c r="W2547" s="96" t="str">
        <f>IF(U2543&gt;0,"xx",IF(P2543&gt;0,"xy",""))</f>
        <v/>
      </c>
      <c r="X2547" s="580" t="str">
        <f t="shared" si="1457"/>
        <v/>
      </c>
      <c r="Y2547" s="580" t="str">
        <f t="shared" si="1459"/>
        <v/>
      </c>
      <c r="Z2547" s="580" t="str">
        <f t="shared" si="1467"/>
        <v/>
      </c>
    </row>
    <row r="2548" spans="1:26" hidden="1" x14ac:dyDescent="0.2">
      <c r="A2548" s="97" t="s">
        <v>165</v>
      </c>
      <c r="B2548" s="1031" t="s">
        <v>165</v>
      </c>
      <c r="C2548" s="978"/>
      <c r="D2548" s="631" t="s">
        <v>420</v>
      </c>
      <c r="E2548" s="596"/>
      <c r="F2548" s="671">
        <v>500</v>
      </c>
      <c r="G2548" s="597">
        <f>VLOOKUP(D2543,'ENSAIOS DE ORÇAMENTO'!$C$3:$L$79,10,FALSE)</f>
        <v>0</v>
      </c>
      <c r="H2548" s="682">
        <f>IF(F2548=0,0,IF(F2548&lt;=30,(0.7*F2548+1.45)*G2548,((0.7*30+1.45)+0.58*(F2548-30))*G2548))</f>
        <v>0</v>
      </c>
      <c r="I2548" s="592"/>
      <c r="J2548" s="592" t="str">
        <f t="shared" si="1474"/>
        <v/>
      </c>
      <c r="K2548" s="593">
        <f t="shared" si="1458"/>
        <v>0</v>
      </c>
      <c r="L2548" s="670" t="s">
        <v>783</v>
      </c>
      <c r="M2548" s="632"/>
      <c r="N2548" s="633"/>
      <c r="O2548" s="93">
        <f t="shared" si="1461"/>
        <v>0</v>
      </c>
      <c r="P2548" s="93">
        <f t="shared" si="1462"/>
        <v>0</v>
      </c>
      <c r="Q2548" s="94"/>
      <c r="R2548" s="632">
        <f t="shared" si="1463"/>
        <v>0</v>
      </c>
      <c r="S2548" s="633">
        <f t="shared" si="1464"/>
        <v>0</v>
      </c>
      <c r="T2548" s="93">
        <f t="shared" si="1465"/>
        <v>0</v>
      </c>
      <c r="U2548" s="95">
        <f t="shared" si="1466"/>
        <v>0</v>
      </c>
      <c r="V2548" s="94"/>
      <c r="W2548" s="579" t="str">
        <f>IF(U2543&gt;0,"xx",IF(P2543&gt;0,"xy",""))</f>
        <v/>
      </c>
      <c r="X2548" s="580" t="str">
        <f t="shared" si="1457"/>
        <v/>
      </c>
      <c r="Y2548" s="580" t="str">
        <f t="shared" si="1459"/>
        <v/>
      </c>
      <c r="Z2548" s="580" t="str">
        <f t="shared" si="1467"/>
        <v/>
      </c>
    </row>
    <row r="2549" spans="1:26" hidden="1" x14ac:dyDescent="0.2">
      <c r="A2549" s="97" t="s">
        <v>452</v>
      </c>
      <c r="B2549" s="1031" t="s">
        <v>452</v>
      </c>
      <c r="C2549" s="978" t="s">
        <v>212</v>
      </c>
      <c r="D2549" s="595" t="str">
        <f>'ENSAIOS DE ORÇAMENTO'!C75</f>
        <v>ENSAIO DE ORÇAMENTO 6</v>
      </c>
      <c r="E2549" s="596"/>
      <c r="F2549" s="671"/>
      <c r="G2549" s="597"/>
      <c r="H2549" s="682">
        <f>SUM(H2550:H2554)</f>
        <v>0</v>
      </c>
      <c r="I2549" s="592">
        <f>VLOOKUP(D2549,'ENSAIOS DE ORÇAMENTO'!$C$3:$L$79,8,FALSE)</f>
        <v>0</v>
      </c>
      <c r="J2549" s="592">
        <f t="shared" si="1474"/>
        <v>0</v>
      </c>
      <c r="K2549" s="593">
        <f t="shared" si="1458"/>
        <v>0</v>
      </c>
      <c r="L2549" s="594" t="s">
        <v>21</v>
      </c>
      <c r="M2549" s="92"/>
      <c r="N2549" s="92"/>
      <c r="O2549" s="93">
        <f t="shared" si="1461"/>
        <v>0</v>
      </c>
      <c r="P2549" s="93">
        <f t="shared" si="1462"/>
        <v>0</v>
      </c>
      <c r="Q2549" s="94"/>
      <c r="R2549" s="92">
        <f t="shared" si="1463"/>
        <v>0</v>
      </c>
      <c r="S2549" s="92">
        <f t="shared" si="1464"/>
        <v>0</v>
      </c>
      <c r="T2549" s="93">
        <f t="shared" si="1465"/>
        <v>0</v>
      </c>
      <c r="U2549" s="95">
        <f t="shared" si="1466"/>
        <v>0</v>
      </c>
      <c r="V2549" s="94"/>
      <c r="X2549" s="580" t="str">
        <f t="shared" si="1457"/>
        <v/>
      </c>
      <c r="Y2549" s="580" t="str">
        <f t="shared" si="1459"/>
        <v/>
      </c>
      <c r="Z2549" s="580" t="str">
        <f t="shared" si="1467"/>
        <v/>
      </c>
    </row>
    <row r="2550" spans="1:26" hidden="1" x14ac:dyDescent="0.2">
      <c r="A2550" s="97" t="s">
        <v>165</v>
      </c>
      <c r="B2550" s="1031" t="s">
        <v>165</v>
      </c>
      <c r="C2550" s="978"/>
      <c r="D2550" s="631" t="s">
        <v>218</v>
      </c>
      <c r="E2550" s="596"/>
      <c r="F2550" s="671">
        <v>500</v>
      </c>
      <c r="G2550" s="597">
        <f>VLOOKUP(D2549,'ENSAIOS DE ORÇAMENTO'!$C$3:$L$79,4,FALSE)</f>
        <v>0</v>
      </c>
      <c r="H2550" s="682">
        <f>IF(F2550&lt;=30,(0.51*F2550+4.28)*G2550,((0.51*30+4.28)+0.42*(F2550-30))*G2550)</f>
        <v>0</v>
      </c>
      <c r="I2550" s="592"/>
      <c r="J2550" s="592" t="str">
        <f t="shared" si="1474"/>
        <v/>
      </c>
      <c r="K2550" s="593">
        <f t="shared" si="1458"/>
        <v>0</v>
      </c>
      <c r="L2550" s="670" t="s">
        <v>783</v>
      </c>
      <c r="M2550" s="632"/>
      <c r="N2550" s="633"/>
      <c r="O2550" s="93">
        <f t="shared" si="1461"/>
        <v>0</v>
      </c>
      <c r="P2550" s="93">
        <f t="shared" si="1462"/>
        <v>0</v>
      </c>
      <c r="Q2550" s="94"/>
      <c r="R2550" s="632">
        <f t="shared" si="1463"/>
        <v>0</v>
      </c>
      <c r="S2550" s="633">
        <f t="shared" si="1464"/>
        <v>0</v>
      </c>
      <c r="T2550" s="93">
        <f t="shared" si="1465"/>
        <v>0</v>
      </c>
      <c r="U2550" s="95">
        <f t="shared" si="1466"/>
        <v>0</v>
      </c>
      <c r="V2550" s="94"/>
      <c r="W2550" s="579" t="str">
        <f>IF(U2549&gt;0,"xx",IF(P2549&gt;0,"xy",""))</f>
        <v/>
      </c>
      <c r="X2550" s="580" t="str">
        <f t="shared" si="1457"/>
        <v/>
      </c>
      <c r="Y2550" s="580" t="str">
        <f t="shared" si="1459"/>
        <v/>
      </c>
      <c r="Z2550" s="580" t="str">
        <f t="shared" si="1467"/>
        <v/>
      </c>
    </row>
    <row r="2551" spans="1:26" hidden="1" x14ac:dyDescent="0.2">
      <c r="A2551" s="97" t="s">
        <v>165</v>
      </c>
      <c r="B2551" s="1031" t="s">
        <v>165</v>
      </c>
      <c r="C2551" s="978"/>
      <c r="D2551" s="631" t="s">
        <v>257</v>
      </c>
      <c r="E2551" s="596"/>
      <c r="F2551" s="671">
        <v>180</v>
      </c>
      <c r="G2551" s="597">
        <f>VLOOKUP(D2549,'ENSAIOS DE ORÇAMENTO'!$C$3:$L$79,5,FALSE)</f>
        <v>0</v>
      </c>
      <c r="H2551" s="682">
        <f>IF(F2551=0,0,IF(F2551&lt;=30,(0.7*F2551+1.45)*G2551,((0.7*30+1.45)+0.58*(F2551-30))*G2551))</f>
        <v>0</v>
      </c>
      <c r="I2551" s="592"/>
      <c r="J2551" s="592" t="str">
        <f t="shared" si="1474"/>
        <v/>
      </c>
      <c r="K2551" s="593">
        <f t="shared" si="1458"/>
        <v>0</v>
      </c>
      <c r="L2551" s="670" t="s">
        <v>783</v>
      </c>
      <c r="M2551" s="632"/>
      <c r="N2551" s="633"/>
      <c r="O2551" s="93">
        <f t="shared" si="1461"/>
        <v>0</v>
      </c>
      <c r="P2551" s="93">
        <f t="shared" si="1462"/>
        <v>0</v>
      </c>
      <c r="Q2551" s="94"/>
      <c r="R2551" s="632">
        <f t="shared" si="1463"/>
        <v>0</v>
      </c>
      <c r="S2551" s="633">
        <f t="shared" si="1464"/>
        <v>0</v>
      </c>
      <c r="T2551" s="93">
        <f t="shared" si="1465"/>
        <v>0</v>
      </c>
      <c r="U2551" s="95">
        <f t="shared" si="1466"/>
        <v>0</v>
      </c>
      <c r="V2551" s="94"/>
      <c r="W2551" s="579" t="str">
        <f>IF(U2549&gt;0,"xx",IF(P2549&gt;0,"xy",""))</f>
        <v/>
      </c>
      <c r="X2551" s="580" t="str">
        <f t="shared" si="1457"/>
        <v/>
      </c>
      <c r="Y2551" s="580" t="str">
        <f t="shared" si="1459"/>
        <v/>
      </c>
      <c r="Z2551" s="580" t="str">
        <f t="shared" si="1467"/>
        <v/>
      </c>
    </row>
    <row r="2552" spans="1:26" hidden="1" x14ac:dyDescent="0.2">
      <c r="A2552" s="97" t="s">
        <v>165</v>
      </c>
      <c r="B2552" s="1031" t="s">
        <v>165</v>
      </c>
      <c r="C2552" s="978"/>
      <c r="D2552" s="631" t="s">
        <v>261</v>
      </c>
      <c r="E2552" s="596"/>
      <c r="F2552" s="671">
        <v>20</v>
      </c>
      <c r="G2552" s="597">
        <f>VLOOKUP(D2549,'ENSAIOS DE ORÇAMENTO'!$C$3:$L$79,6,FALSE)</f>
        <v>0</v>
      </c>
      <c r="H2552" s="682">
        <f>IF(F2552=0,0,IF(F2552&lt;=30,(0.7*F2552+1.45)*G2552,((0.7*30+1.45)+0.58*(F2552-30))*G2552))</f>
        <v>0</v>
      </c>
      <c r="I2552" s="592"/>
      <c r="J2552" s="592" t="str">
        <f t="shared" si="1474"/>
        <v/>
      </c>
      <c r="K2552" s="593">
        <f t="shared" si="1458"/>
        <v>0</v>
      </c>
      <c r="L2552" s="670" t="s">
        <v>783</v>
      </c>
      <c r="M2552" s="632"/>
      <c r="N2552" s="633"/>
      <c r="O2552" s="93">
        <f t="shared" si="1461"/>
        <v>0</v>
      </c>
      <c r="P2552" s="93">
        <f t="shared" si="1462"/>
        <v>0</v>
      </c>
      <c r="Q2552" s="94"/>
      <c r="R2552" s="632">
        <f t="shared" si="1463"/>
        <v>0</v>
      </c>
      <c r="S2552" s="633">
        <f t="shared" si="1464"/>
        <v>0</v>
      </c>
      <c r="T2552" s="93">
        <f t="shared" si="1465"/>
        <v>0</v>
      </c>
      <c r="U2552" s="95">
        <f t="shared" si="1466"/>
        <v>0</v>
      </c>
      <c r="V2552" s="94"/>
      <c r="W2552" s="579" t="str">
        <f>IF(U2549&gt;0,"xx",IF(P2549&gt;0,"xy",""))</f>
        <v/>
      </c>
      <c r="X2552" s="580" t="str">
        <f t="shared" si="1457"/>
        <v/>
      </c>
      <c r="Y2552" s="580" t="str">
        <f t="shared" si="1459"/>
        <v/>
      </c>
      <c r="Z2552" s="580" t="str">
        <f t="shared" si="1467"/>
        <v/>
      </c>
    </row>
    <row r="2553" spans="1:26" hidden="1" x14ac:dyDescent="0.2">
      <c r="A2553" s="97" t="s">
        <v>165</v>
      </c>
      <c r="B2553" s="1031" t="s">
        <v>165</v>
      </c>
      <c r="C2553" s="978"/>
      <c r="D2553" s="631" t="s">
        <v>419</v>
      </c>
      <c r="E2553" s="596"/>
      <c r="F2553" s="671">
        <v>30</v>
      </c>
      <c r="G2553" s="597">
        <f>VLOOKUP(D2549,'ENSAIOS DE ORÇAMENTO'!$C$3:$L$79,3,FALSE)</f>
        <v>0</v>
      </c>
      <c r="H2553" s="682">
        <f>IF(F2553=0,0,IF(F2553&lt;=30,(0.7*F2553+1.45)*G2553,((0.7*30+1.45)+0.58*(F2553-30))*G2553))</f>
        <v>0</v>
      </c>
      <c r="I2553" s="592"/>
      <c r="J2553" s="592" t="str">
        <f t="shared" si="1474"/>
        <v/>
      </c>
      <c r="K2553" s="593">
        <f t="shared" si="1458"/>
        <v>0</v>
      </c>
      <c r="L2553" s="670" t="s">
        <v>783</v>
      </c>
      <c r="M2553" s="632"/>
      <c r="N2553" s="633"/>
      <c r="O2553" s="93">
        <f t="shared" si="1461"/>
        <v>0</v>
      </c>
      <c r="P2553" s="93">
        <f t="shared" si="1462"/>
        <v>0</v>
      </c>
      <c r="Q2553" s="94"/>
      <c r="R2553" s="632">
        <f t="shared" si="1463"/>
        <v>0</v>
      </c>
      <c r="S2553" s="633">
        <f t="shared" si="1464"/>
        <v>0</v>
      </c>
      <c r="T2553" s="93">
        <f t="shared" si="1465"/>
        <v>0</v>
      </c>
      <c r="U2553" s="95">
        <f t="shared" si="1466"/>
        <v>0</v>
      </c>
      <c r="V2553" s="94"/>
      <c r="W2553" s="579" t="str">
        <f>IF(U2549&gt;0,"xx",IF(P2549&gt;0,"xy",""))</f>
        <v/>
      </c>
      <c r="X2553" s="580" t="str">
        <f t="shared" si="1457"/>
        <v/>
      </c>
      <c r="Y2553" s="580" t="str">
        <f t="shared" si="1459"/>
        <v/>
      </c>
      <c r="Z2553" s="580" t="str">
        <f t="shared" si="1467"/>
        <v/>
      </c>
    </row>
    <row r="2554" spans="1:26" hidden="1" x14ac:dyDescent="0.2">
      <c r="A2554" s="97" t="s">
        <v>165</v>
      </c>
      <c r="B2554" s="1031" t="s">
        <v>165</v>
      </c>
      <c r="C2554" s="978"/>
      <c r="D2554" s="631" t="s">
        <v>420</v>
      </c>
      <c r="E2554" s="596"/>
      <c r="F2554" s="671">
        <v>500</v>
      </c>
      <c r="G2554" s="597">
        <f>VLOOKUP(D2549,'ENSAIOS DE ORÇAMENTO'!$C$3:$L$79,10,FALSE)</f>
        <v>0</v>
      </c>
      <c r="H2554" s="682">
        <f>IF(F2554=0,0,IF(F2554&lt;=30,(0.7*F2554+1.45)*G2554,((0.7*30+1.45)+0.58*(F2554-30))*G2554))</f>
        <v>0</v>
      </c>
      <c r="I2554" s="592"/>
      <c r="J2554" s="592" t="str">
        <f t="shared" si="1474"/>
        <v/>
      </c>
      <c r="K2554" s="593">
        <f t="shared" si="1458"/>
        <v>0</v>
      </c>
      <c r="L2554" s="670" t="s">
        <v>783</v>
      </c>
      <c r="M2554" s="632"/>
      <c r="N2554" s="633"/>
      <c r="O2554" s="93">
        <f t="shared" si="1461"/>
        <v>0</v>
      </c>
      <c r="P2554" s="93">
        <f t="shared" si="1462"/>
        <v>0</v>
      </c>
      <c r="Q2554" s="94"/>
      <c r="R2554" s="632">
        <f t="shared" si="1463"/>
        <v>0</v>
      </c>
      <c r="S2554" s="633">
        <f t="shared" si="1464"/>
        <v>0</v>
      </c>
      <c r="T2554" s="93">
        <f t="shared" si="1465"/>
        <v>0</v>
      </c>
      <c r="U2554" s="95">
        <f t="shared" si="1466"/>
        <v>0</v>
      </c>
      <c r="V2554" s="94"/>
      <c r="W2554" s="579" t="str">
        <f>IF(U2549&gt;0,"xx",IF(P2549&gt;0,"xy",""))</f>
        <v/>
      </c>
      <c r="X2554" s="580" t="str">
        <f t="shared" si="1457"/>
        <v/>
      </c>
      <c r="Y2554" s="580" t="str">
        <f t="shared" si="1459"/>
        <v/>
      </c>
      <c r="Z2554" s="580" t="str">
        <f t="shared" si="1467"/>
        <v/>
      </c>
    </row>
    <row r="2555" spans="1:26" hidden="1" x14ac:dyDescent="0.2">
      <c r="A2555" s="97" t="s">
        <v>453</v>
      </c>
      <c r="B2555" s="1031" t="s">
        <v>453</v>
      </c>
      <c r="C2555" s="978" t="s">
        <v>212</v>
      </c>
      <c r="D2555" s="595" t="str">
        <f>'ENSAIOS DE ORÇAMENTO'!C76</f>
        <v>ENSAIO DE ORÇAMENTO 7</v>
      </c>
      <c r="E2555" s="596"/>
      <c r="F2555" s="671"/>
      <c r="G2555" s="597"/>
      <c r="H2555" s="682">
        <f>SUM(H2556:H2560)</f>
        <v>0</v>
      </c>
      <c r="I2555" s="592">
        <f>VLOOKUP(D2555,'ENSAIOS DE ORÇAMENTO'!$C$3:$L$79,8,FALSE)</f>
        <v>0</v>
      </c>
      <c r="J2555" s="592">
        <f t="shared" si="1474"/>
        <v>0</v>
      </c>
      <c r="K2555" s="593">
        <f t="shared" si="1458"/>
        <v>0</v>
      </c>
      <c r="L2555" s="594" t="s">
        <v>21</v>
      </c>
      <c r="M2555" s="92"/>
      <c r="N2555" s="92"/>
      <c r="O2555" s="93">
        <f t="shared" si="1461"/>
        <v>0</v>
      </c>
      <c r="P2555" s="93">
        <f t="shared" si="1462"/>
        <v>0</v>
      </c>
      <c r="Q2555" s="94"/>
      <c r="R2555" s="92">
        <f t="shared" si="1463"/>
        <v>0</v>
      </c>
      <c r="S2555" s="92">
        <f t="shared" si="1464"/>
        <v>0</v>
      </c>
      <c r="T2555" s="93">
        <f t="shared" si="1465"/>
        <v>0</v>
      </c>
      <c r="U2555" s="95">
        <f t="shared" si="1466"/>
        <v>0</v>
      </c>
      <c r="V2555" s="94"/>
      <c r="X2555" s="580" t="str">
        <f t="shared" si="1457"/>
        <v/>
      </c>
      <c r="Y2555" s="580" t="str">
        <f t="shared" si="1459"/>
        <v/>
      </c>
      <c r="Z2555" s="580" t="str">
        <f t="shared" si="1467"/>
        <v/>
      </c>
    </row>
    <row r="2556" spans="1:26" hidden="1" x14ac:dyDescent="0.2">
      <c r="A2556" s="97" t="s">
        <v>165</v>
      </c>
      <c r="B2556" s="1031" t="s">
        <v>165</v>
      </c>
      <c r="C2556" s="978"/>
      <c r="D2556" s="631" t="s">
        <v>218</v>
      </c>
      <c r="E2556" s="596"/>
      <c r="F2556" s="671">
        <v>500</v>
      </c>
      <c r="G2556" s="597">
        <f>VLOOKUP(D2555,'ENSAIOS DE ORÇAMENTO'!$C$3:$L$79,4,FALSE)</f>
        <v>0</v>
      </c>
      <c r="H2556" s="682">
        <f>IF(F2556&lt;=30,(0.51*F2556+4.28)*G2556,((0.51*30+4.28)+0.42*(F2556-30))*G2556)</f>
        <v>0</v>
      </c>
      <c r="I2556" s="592"/>
      <c r="J2556" s="592" t="str">
        <f t="shared" si="1474"/>
        <v/>
      </c>
      <c r="K2556" s="593">
        <f t="shared" si="1458"/>
        <v>0</v>
      </c>
      <c r="L2556" s="670" t="s">
        <v>783</v>
      </c>
      <c r="M2556" s="632"/>
      <c r="N2556" s="633"/>
      <c r="O2556" s="93">
        <f t="shared" si="1461"/>
        <v>0</v>
      </c>
      <c r="P2556" s="93">
        <f t="shared" si="1462"/>
        <v>0</v>
      </c>
      <c r="Q2556" s="94"/>
      <c r="R2556" s="632">
        <f t="shared" si="1463"/>
        <v>0</v>
      </c>
      <c r="S2556" s="633">
        <f t="shared" si="1464"/>
        <v>0</v>
      </c>
      <c r="T2556" s="93">
        <f t="shared" si="1465"/>
        <v>0</v>
      </c>
      <c r="U2556" s="95">
        <f t="shared" si="1466"/>
        <v>0</v>
      </c>
      <c r="V2556" s="94"/>
      <c r="W2556" s="579" t="str">
        <f>IF(U2555&gt;0,"xx",IF(P2555&gt;0,"xy",""))</f>
        <v/>
      </c>
      <c r="X2556" s="580" t="str">
        <f t="shared" si="1457"/>
        <v/>
      </c>
      <c r="Y2556" s="580" t="str">
        <f t="shared" si="1459"/>
        <v/>
      </c>
      <c r="Z2556" s="580" t="str">
        <f t="shared" si="1467"/>
        <v/>
      </c>
    </row>
    <row r="2557" spans="1:26" hidden="1" x14ac:dyDescent="0.2">
      <c r="A2557" s="97" t="s">
        <v>165</v>
      </c>
      <c r="B2557" s="1031" t="s">
        <v>165</v>
      </c>
      <c r="C2557" s="978"/>
      <c r="D2557" s="631" t="s">
        <v>257</v>
      </c>
      <c r="E2557" s="596"/>
      <c r="F2557" s="671">
        <v>180</v>
      </c>
      <c r="G2557" s="597">
        <f>VLOOKUP(D2555,'ENSAIOS DE ORÇAMENTO'!$C$3:$L$79,5,FALSE)</f>
        <v>0</v>
      </c>
      <c r="H2557" s="682">
        <f>IF(F2557=0,0,IF(F2557&lt;=30,(0.7*F2557+1.45)*G2557,((0.7*30+1.45)+0.58*(F2557-30))*G2557))</f>
        <v>0</v>
      </c>
      <c r="I2557" s="592"/>
      <c r="J2557" s="592" t="str">
        <f t="shared" si="1474"/>
        <v/>
      </c>
      <c r="K2557" s="593">
        <f t="shared" si="1458"/>
        <v>0</v>
      </c>
      <c r="L2557" s="670" t="s">
        <v>783</v>
      </c>
      <c r="M2557" s="632"/>
      <c r="N2557" s="633"/>
      <c r="O2557" s="93">
        <f t="shared" si="1461"/>
        <v>0</v>
      </c>
      <c r="P2557" s="93">
        <f t="shared" si="1462"/>
        <v>0</v>
      </c>
      <c r="Q2557" s="94"/>
      <c r="R2557" s="632">
        <f t="shared" si="1463"/>
        <v>0</v>
      </c>
      <c r="S2557" s="633">
        <f t="shared" si="1464"/>
        <v>0</v>
      </c>
      <c r="T2557" s="93">
        <f t="shared" si="1465"/>
        <v>0</v>
      </c>
      <c r="U2557" s="95">
        <f t="shared" si="1466"/>
        <v>0</v>
      </c>
      <c r="V2557" s="94"/>
      <c r="W2557" s="579" t="str">
        <f>IF(U2555&gt;0,"xx",IF(P2555&gt;0,"xy",""))</f>
        <v/>
      </c>
      <c r="X2557" s="580" t="str">
        <f t="shared" si="1457"/>
        <v/>
      </c>
      <c r="Y2557" s="580" t="str">
        <f t="shared" si="1459"/>
        <v/>
      </c>
      <c r="Z2557" s="580" t="str">
        <f t="shared" si="1467"/>
        <v/>
      </c>
    </row>
    <row r="2558" spans="1:26" hidden="1" x14ac:dyDescent="0.2">
      <c r="A2558" s="97" t="s">
        <v>165</v>
      </c>
      <c r="B2558" s="1031" t="s">
        <v>165</v>
      </c>
      <c r="C2558" s="978"/>
      <c r="D2558" s="631" t="s">
        <v>261</v>
      </c>
      <c r="E2558" s="596"/>
      <c r="F2558" s="671">
        <v>20</v>
      </c>
      <c r="G2558" s="597">
        <f>VLOOKUP(D2555,'ENSAIOS DE ORÇAMENTO'!$C$3:$L$79,6,FALSE)</f>
        <v>0</v>
      </c>
      <c r="H2558" s="682">
        <f>IF(F2558=0,0,IF(F2558&lt;=30,(0.7*F2558+1.45)*G2558,((0.7*30+1.45)+0.58*(F2558-30))*G2558))</f>
        <v>0</v>
      </c>
      <c r="I2558" s="592"/>
      <c r="J2558" s="592" t="str">
        <f t="shared" si="1474"/>
        <v/>
      </c>
      <c r="K2558" s="593">
        <f t="shared" si="1458"/>
        <v>0</v>
      </c>
      <c r="L2558" s="670" t="s">
        <v>783</v>
      </c>
      <c r="M2558" s="632"/>
      <c r="N2558" s="633"/>
      <c r="O2558" s="93">
        <f t="shared" si="1461"/>
        <v>0</v>
      </c>
      <c r="P2558" s="93">
        <f t="shared" si="1462"/>
        <v>0</v>
      </c>
      <c r="Q2558" s="94"/>
      <c r="R2558" s="632">
        <f t="shared" si="1463"/>
        <v>0</v>
      </c>
      <c r="S2558" s="633">
        <f t="shared" si="1464"/>
        <v>0</v>
      </c>
      <c r="T2558" s="93">
        <f t="shared" si="1465"/>
        <v>0</v>
      </c>
      <c r="U2558" s="95">
        <f t="shared" si="1466"/>
        <v>0</v>
      </c>
      <c r="V2558" s="94"/>
      <c r="W2558" s="579" t="str">
        <f>IF(U2555&gt;0,"xx",IF(P2555&gt;0,"xy",""))</f>
        <v/>
      </c>
      <c r="X2558" s="580" t="str">
        <f t="shared" si="1457"/>
        <v/>
      </c>
      <c r="Y2558" s="580" t="str">
        <f t="shared" si="1459"/>
        <v/>
      </c>
      <c r="Z2558" s="580" t="str">
        <f t="shared" si="1467"/>
        <v/>
      </c>
    </row>
    <row r="2559" spans="1:26" hidden="1" x14ac:dyDescent="0.2">
      <c r="A2559" s="97" t="s">
        <v>165</v>
      </c>
      <c r="B2559" s="1031" t="s">
        <v>165</v>
      </c>
      <c r="C2559" s="978"/>
      <c r="D2559" s="631" t="s">
        <v>419</v>
      </c>
      <c r="E2559" s="596"/>
      <c r="F2559" s="671">
        <v>30</v>
      </c>
      <c r="G2559" s="597">
        <f>VLOOKUP(D2555,'ENSAIOS DE ORÇAMENTO'!$C$3:$L$79,3,FALSE)</f>
        <v>0</v>
      </c>
      <c r="H2559" s="682">
        <f>IF(F2559=0,0,IF(F2559&lt;=30,(0.7*F2559+1.45)*G2559,((0.7*30+1.45)+0.58*(F2559-30))*G2559))</f>
        <v>0</v>
      </c>
      <c r="I2559" s="592"/>
      <c r="J2559" s="592" t="str">
        <f t="shared" si="1474"/>
        <v/>
      </c>
      <c r="K2559" s="593">
        <f t="shared" si="1458"/>
        <v>0</v>
      </c>
      <c r="L2559" s="670" t="s">
        <v>783</v>
      </c>
      <c r="M2559" s="632"/>
      <c r="N2559" s="633"/>
      <c r="O2559" s="93">
        <f t="shared" si="1461"/>
        <v>0</v>
      </c>
      <c r="P2559" s="93">
        <f t="shared" si="1462"/>
        <v>0</v>
      </c>
      <c r="Q2559" s="94"/>
      <c r="R2559" s="632">
        <f t="shared" si="1463"/>
        <v>0</v>
      </c>
      <c r="S2559" s="633">
        <f t="shared" si="1464"/>
        <v>0</v>
      </c>
      <c r="T2559" s="93">
        <f t="shared" si="1465"/>
        <v>0</v>
      </c>
      <c r="U2559" s="95">
        <f t="shared" si="1466"/>
        <v>0</v>
      </c>
      <c r="V2559" s="94"/>
      <c r="W2559" s="579" t="str">
        <f>IF(U2555&gt;0,"xx",IF(P2555&gt;0,"xy",""))</f>
        <v/>
      </c>
      <c r="X2559" s="580" t="str">
        <f t="shared" si="1457"/>
        <v/>
      </c>
      <c r="Y2559" s="580" t="str">
        <f t="shared" si="1459"/>
        <v/>
      </c>
      <c r="Z2559" s="580" t="str">
        <f t="shared" si="1467"/>
        <v/>
      </c>
    </row>
    <row r="2560" spans="1:26" hidden="1" x14ac:dyDescent="0.2">
      <c r="A2560" s="97" t="s">
        <v>165</v>
      </c>
      <c r="B2560" s="1031" t="s">
        <v>165</v>
      </c>
      <c r="C2560" s="978"/>
      <c r="D2560" s="631" t="s">
        <v>420</v>
      </c>
      <c r="E2560" s="596"/>
      <c r="F2560" s="671">
        <v>500</v>
      </c>
      <c r="G2560" s="597">
        <f>VLOOKUP(D2555,'ENSAIOS DE ORÇAMENTO'!$C$3:$L$79,10,FALSE)</f>
        <v>0</v>
      </c>
      <c r="H2560" s="682">
        <f>IF(F2560=0,0,IF(F2560&lt;=30,(0.7*F2560+1.45)*G2560,((0.7*30+1.45)+0.58*(F2560-30))*G2560))</f>
        <v>0</v>
      </c>
      <c r="I2560" s="592"/>
      <c r="J2560" s="592" t="str">
        <f t="shared" si="1474"/>
        <v/>
      </c>
      <c r="K2560" s="593">
        <f t="shared" si="1458"/>
        <v>0</v>
      </c>
      <c r="L2560" s="670" t="s">
        <v>783</v>
      </c>
      <c r="M2560" s="632"/>
      <c r="N2560" s="633"/>
      <c r="O2560" s="93">
        <f t="shared" si="1461"/>
        <v>0</v>
      </c>
      <c r="P2560" s="93">
        <f t="shared" si="1462"/>
        <v>0</v>
      </c>
      <c r="Q2560" s="94"/>
      <c r="R2560" s="632">
        <f t="shared" si="1463"/>
        <v>0</v>
      </c>
      <c r="S2560" s="633">
        <f t="shared" si="1464"/>
        <v>0</v>
      </c>
      <c r="T2560" s="93">
        <f t="shared" si="1465"/>
        <v>0</v>
      </c>
      <c r="U2560" s="95">
        <f t="shared" si="1466"/>
        <v>0</v>
      </c>
      <c r="V2560" s="94"/>
      <c r="W2560" s="579" t="str">
        <f>IF(U2555&gt;0,"xx",IF(P2555&gt;0,"xy",""))</f>
        <v/>
      </c>
      <c r="X2560" s="580" t="str">
        <f t="shared" si="1457"/>
        <v/>
      </c>
      <c r="Y2560" s="580" t="str">
        <f t="shared" si="1459"/>
        <v/>
      </c>
      <c r="Z2560" s="580" t="str">
        <f t="shared" si="1467"/>
        <v/>
      </c>
    </row>
    <row r="2561" spans="1:26" hidden="1" x14ac:dyDescent="0.2">
      <c r="A2561" s="97" t="s">
        <v>454</v>
      </c>
      <c r="B2561" s="1031" t="s">
        <v>454</v>
      </c>
      <c r="C2561" s="978" t="s">
        <v>212</v>
      </c>
      <c r="D2561" s="595" t="str">
        <f>'ENSAIOS DE ORÇAMENTO'!C77</f>
        <v>ENSAIO DE ORÇAMENTO 8</v>
      </c>
      <c r="E2561" s="596"/>
      <c r="F2561" s="671"/>
      <c r="G2561" s="597"/>
      <c r="H2561" s="682">
        <f>SUM(H2562:H2566)</f>
        <v>0</v>
      </c>
      <c r="I2561" s="592">
        <f>VLOOKUP(D2561,'ENSAIOS DE ORÇAMENTO'!$C$3:$L$79,8,FALSE)</f>
        <v>0</v>
      </c>
      <c r="J2561" s="592">
        <f t="shared" si="1474"/>
        <v>0</v>
      </c>
      <c r="K2561" s="593">
        <f t="shared" si="1458"/>
        <v>0</v>
      </c>
      <c r="L2561" s="594" t="s">
        <v>21</v>
      </c>
      <c r="M2561" s="92"/>
      <c r="N2561" s="92"/>
      <c r="O2561" s="93">
        <f t="shared" si="1461"/>
        <v>0</v>
      </c>
      <c r="P2561" s="93">
        <f t="shared" si="1462"/>
        <v>0</v>
      </c>
      <c r="Q2561" s="94"/>
      <c r="R2561" s="92">
        <f t="shared" si="1463"/>
        <v>0</v>
      </c>
      <c r="S2561" s="92">
        <f t="shared" si="1464"/>
        <v>0</v>
      </c>
      <c r="T2561" s="93">
        <f t="shared" si="1465"/>
        <v>0</v>
      </c>
      <c r="U2561" s="95">
        <f t="shared" si="1466"/>
        <v>0</v>
      </c>
      <c r="V2561" s="94"/>
      <c r="X2561" s="580" t="str">
        <f t="shared" si="1457"/>
        <v/>
      </c>
      <c r="Y2561" s="580" t="str">
        <f t="shared" si="1459"/>
        <v/>
      </c>
      <c r="Z2561" s="580" t="str">
        <f t="shared" si="1467"/>
        <v/>
      </c>
    </row>
    <row r="2562" spans="1:26" hidden="1" x14ac:dyDescent="0.2">
      <c r="A2562" s="97" t="s">
        <v>165</v>
      </c>
      <c r="B2562" s="1031" t="s">
        <v>165</v>
      </c>
      <c r="C2562" s="978"/>
      <c r="D2562" s="631" t="s">
        <v>218</v>
      </c>
      <c r="E2562" s="596"/>
      <c r="F2562" s="671">
        <v>500</v>
      </c>
      <c r="G2562" s="597">
        <f>VLOOKUP(D2561,'ENSAIOS DE ORÇAMENTO'!$C$3:$L$79,4,FALSE)</f>
        <v>0</v>
      </c>
      <c r="H2562" s="682">
        <f>IF(F2562&lt;=30,(0.51*F2562+4.28)*G2562,((0.51*30+4.28)+0.42*(F2562-30))*G2562)</f>
        <v>0</v>
      </c>
      <c r="I2562" s="592"/>
      <c r="J2562" s="592" t="str">
        <f t="shared" si="1474"/>
        <v/>
      </c>
      <c r="K2562" s="593">
        <f t="shared" si="1458"/>
        <v>0</v>
      </c>
      <c r="L2562" s="670" t="s">
        <v>783</v>
      </c>
      <c r="M2562" s="632"/>
      <c r="N2562" s="633"/>
      <c r="O2562" s="93">
        <f t="shared" si="1461"/>
        <v>0</v>
      </c>
      <c r="P2562" s="93">
        <f t="shared" si="1462"/>
        <v>0</v>
      </c>
      <c r="Q2562" s="94"/>
      <c r="R2562" s="632">
        <f t="shared" si="1463"/>
        <v>0</v>
      </c>
      <c r="S2562" s="633">
        <f t="shared" si="1464"/>
        <v>0</v>
      </c>
      <c r="T2562" s="93">
        <f t="shared" si="1465"/>
        <v>0</v>
      </c>
      <c r="U2562" s="95">
        <f t="shared" si="1466"/>
        <v>0</v>
      </c>
      <c r="V2562" s="94"/>
      <c r="W2562" s="579" t="str">
        <f>IF(U2561&gt;0,"xx",IF(P2561&gt;0,"xy",""))</f>
        <v/>
      </c>
      <c r="X2562" s="580" t="str">
        <f t="shared" si="1457"/>
        <v/>
      </c>
      <c r="Y2562" s="580" t="str">
        <f t="shared" si="1459"/>
        <v/>
      </c>
      <c r="Z2562" s="580" t="str">
        <f t="shared" si="1467"/>
        <v/>
      </c>
    </row>
    <row r="2563" spans="1:26" hidden="1" x14ac:dyDescent="0.2">
      <c r="A2563" s="97" t="s">
        <v>165</v>
      </c>
      <c r="B2563" s="1031" t="s">
        <v>165</v>
      </c>
      <c r="C2563" s="978"/>
      <c r="D2563" s="631" t="s">
        <v>257</v>
      </c>
      <c r="E2563" s="596"/>
      <c r="F2563" s="671">
        <v>180</v>
      </c>
      <c r="G2563" s="597">
        <f>VLOOKUP(D2561,'ENSAIOS DE ORÇAMENTO'!$C$3:$L$79,5,FALSE)</f>
        <v>0</v>
      </c>
      <c r="H2563" s="682">
        <f>IF(F2563=0,0,IF(F2563&lt;=30,(0.7*F2563+1.45)*G2563,((0.7*30+1.45)+0.58*(F2563-30))*G2563))</f>
        <v>0</v>
      </c>
      <c r="I2563" s="592"/>
      <c r="J2563" s="592" t="str">
        <f t="shared" si="1474"/>
        <v/>
      </c>
      <c r="K2563" s="593">
        <f t="shared" si="1458"/>
        <v>0</v>
      </c>
      <c r="L2563" s="670" t="s">
        <v>783</v>
      </c>
      <c r="M2563" s="632"/>
      <c r="N2563" s="633"/>
      <c r="O2563" s="93">
        <f t="shared" si="1461"/>
        <v>0</v>
      </c>
      <c r="P2563" s="93">
        <f t="shared" si="1462"/>
        <v>0</v>
      </c>
      <c r="Q2563" s="94"/>
      <c r="R2563" s="632">
        <f t="shared" si="1463"/>
        <v>0</v>
      </c>
      <c r="S2563" s="633">
        <f t="shared" si="1464"/>
        <v>0</v>
      </c>
      <c r="T2563" s="93">
        <f t="shared" si="1465"/>
        <v>0</v>
      </c>
      <c r="U2563" s="95">
        <f t="shared" si="1466"/>
        <v>0</v>
      </c>
      <c r="V2563" s="94"/>
      <c r="W2563" s="579" t="str">
        <f>IF(U2561&gt;0,"xx",IF(P2561&gt;0,"xy",""))</f>
        <v/>
      </c>
      <c r="X2563" s="580" t="str">
        <f t="shared" si="1457"/>
        <v/>
      </c>
      <c r="Y2563" s="580" t="str">
        <f t="shared" si="1459"/>
        <v/>
      </c>
      <c r="Z2563" s="580" t="str">
        <f t="shared" si="1467"/>
        <v/>
      </c>
    </row>
    <row r="2564" spans="1:26" hidden="1" x14ac:dyDescent="0.2">
      <c r="A2564" s="97" t="s">
        <v>165</v>
      </c>
      <c r="B2564" s="1031" t="s">
        <v>165</v>
      </c>
      <c r="C2564" s="978"/>
      <c r="D2564" s="631" t="s">
        <v>261</v>
      </c>
      <c r="E2564" s="596"/>
      <c r="F2564" s="671">
        <v>20</v>
      </c>
      <c r="G2564" s="597">
        <f>VLOOKUP(D2561,'ENSAIOS DE ORÇAMENTO'!$C$3:$L$79,6,FALSE)</f>
        <v>0</v>
      </c>
      <c r="H2564" s="682">
        <f>IF(F2564=0,0,IF(F2564&lt;=30,(0.7*F2564+1.45)*G2564,((0.7*30+1.45)+0.58*(F2564-30))*G2564))</f>
        <v>0</v>
      </c>
      <c r="I2564" s="592"/>
      <c r="J2564" s="592" t="str">
        <f t="shared" si="1474"/>
        <v/>
      </c>
      <c r="K2564" s="593">
        <f t="shared" si="1458"/>
        <v>0</v>
      </c>
      <c r="L2564" s="670" t="s">
        <v>783</v>
      </c>
      <c r="M2564" s="632"/>
      <c r="N2564" s="633"/>
      <c r="O2564" s="93">
        <f t="shared" si="1461"/>
        <v>0</v>
      </c>
      <c r="P2564" s="93">
        <f t="shared" si="1462"/>
        <v>0</v>
      </c>
      <c r="Q2564" s="94"/>
      <c r="R2564" s="632">
        <f t="shared" si="1463"/>
        <v>0</v>
      </c>
      <c r="S2564" s="633">
        <f t="shared" si="1464"/>
        <v>0</v>
      </c>
      <c r="T2564" s="93">
        <f t="shared" si="1465"/>
        <v>0</v>
      </c>
      <c r="U2564" s="95">
        <f t="shared" si="1466"/>
        <v>0</v>
      </c>
      <c r="V2564" s="94"/>
      <c r="W2564" s="579" t="str">
        <f>IF(U2561&gt;0,"xx",IF(P2561&gt;0,"xy",""))</f>
        <v/>
      </c>
      <c r="X2564" s="580" t="str">
        <f t="shared" si="1457"/>
        <v/>
      </c>
      <c r="Y2564" s="580" t="str">
        <f t="shared" si="1459"/>
        <v/>
      </c>
      <c r="Z2564" s="580" t="str">
        <f t="shared" si="1467"/>
        <v/>
      </c>
    </row>
    <row r="2565" spans="1:26" hidden="1" x14ac:dyDescent="0.2">
      <c r="A2565" s="97" t="s">
        <v>165</v>
      </c>
      <c r="B2565" s="1031" t="s">
        <v>165</v>
      </c>
      <c r="C2565" s="978"/>
      <c r="D2565" s="631" t="s">
        <v>419</v>
      </c>
      <c r="E2565" s="596"/>
      <c r="F2565" s="671">
        <v>30</v>
      </c>
      <c r="G2565" s="597">
        <f>VLOOKUP(D2561,'ENSAIOS DE ORÇAMENTO'!$C$3:$L$79,3,FALSE)</f>
        <v>0</v>
      </c>
      <c r="H2565" s="682">
        <f>IF(F2565=0,0,IF(F2565&lt;=30,(0.7*F2565+1.45)*G2565,((0.7*30+1.45)+0.58*(F2565-30))*G2565))</f>
        <v>0</v>
      </c>
      <c r="I2565" s="592"/>
      <c r="J2565" s="592" t="str">
        <f t="shared" si="1474"/>
        <v/>
      </c>
      <c r="K2565" s="593">
        <f t="shared" si="1458"/>
        <v>0</v>
      </c>
      <c r="L2565" s="670" t="s">
        <v>783</v>
      </c>
      <c r="M2565" s="632"/>
      <c r="N2565" s="633"/>
      <c r="O2565" s="93">
        <f t="shared" ref="O2565:O2578" si="1475">IF(ISBLANK(M2565),0,ROUND(K2565*M2565,2))</f>
        <v>0</v>
      </c>
      <c r="P2565" s="93">
        <f t="shared" ref="P2565:P2578" si="1476">IF(ISBLANK(N2565),0,ROUND(M2565*N2565,2))</f>
        <v>0</v>
      </c>
      <c r="Q2565" s="94"/>
      <c r="R2565" s="632">
        <f t="shared" ref="R2565:R2578" si="1477">M2565</f>
        <v>0</v>
      </c>
      <c r="S2565" s="633">
        <f t="shared" ref="S2565:S2578" si="1478">N2565</f>
        <v>0</v>
      </c>
      <c r="T2565" s="93">
        <f t="shared" ref="T2565:T2578" si="1479">IF(ISBLANK(R2565),0,ROUND(K2565*R2565,2))</f>
        <v>0</v>
      </c>
      <c r="U2565" s="95">
        <f t="shared" si="1466"/>
        <v>0</v>
      </c>
      <c r="V2565" s="94"/>
      <c r="W2565" s="579" t="str">
        <f>IF(U2561&gt;0,"xx",IF(P2561&gt;0,"xy",""))</f>
        <v/>
      </c>
      <c r="X2565" s="580" t="str">
        <f t="shared" si="1457"/>
        <v/>
      </c>
      <c r="Y2565" s="580" t="str">
        <f t="shared" si="1459"/>
        <v/>
      </c>
      <c r="Z2565" s="580" t="str">
        <f t="shared" si="1467"/>
        <v/>
      </c>
    </row>
    <row r="2566" spans="1:26" hidden="1" x14ac:dyDescent="0.2">
      <c r="A2566" s="97" t="s">
        <v>165</v>
      </c>
      <c r="B2566" s="1031" t="s">
        <v>165</v>
      </c>
      <c r="C2566" s="978"/>
      <c r="D2566" s="631" t="s">
        <v>420</v>
      </c>
      <c r="E2566" s="596"/>
      <c r="F2566" s="671">
        <v>500</v>
      </c>
      <c r="G2566" s="597">
        <f>VLOOKUP(D2561,'ENSAIOS DE ORÇAMENTO'!$C$3:$L$79,10,FALSE)</f>
        <v>0</v>
      </c>
      <c r="H2566" s="682">
        <f>IF(F2566=0,0,IF(F2566&lt;=30,(0.7*F2566+1.45)*G2566,((0.7*30+1.45)+0.58*(F2566-30))*G2566))</f>
        <v>0</v>
      </c>
      <c r="I2566" s="592"/>
      <c r="J2566" s="592" t="str">
        <f t="shared" si="1474"/>
        <v/>
      </c>
      <c r="K2566" s="593">
        <f t="shared" si="1458"/>
        <v>0</v>
      </c>
      <c r="L2566" s="670" t="s">
        <v>783</v>
      </c>
      <c r="M2566" s="632"/>
      <c r="N2566" s="633"/>
      <c r="O2566" s="93">
        <f t="shared" si="1475"/>
        <v>0</v>
      </c>
      <c r="P2566" s="93">
        <f t="shared" si="1476"/>
        <v>0</v>
      </c>
      <c r="Q2566" s="94"/>
      <c r="R2566" s="632">
        <f t="shared" si="1477"/>
        <v>0</v>
      </c>
      <c r="S2566" s="633">
        <f t="shared" si="1478"/>
        <v>0</v>
      </c>
      <c r="T2566" s="93">
        <f t="shared" si="1479"/>
        <v>0</v>
      </c>
      <c r="U2566" s="95">
        <f t="shared" ref="U2566:U2578" si="1480">IF(ISBLANK(R2566),0,ROUND(R2566*S2566,2))</f>
        <v>0</v>
      </c>
      <c r="V2566" s="94"/>
      <c r="W2566" s="579" t="str">
        <f>IF(U2561&gt;0,"xx",IF(P2561&gt;0,"xy",""))</f>
        <v/>
      </c>
      <c r="X2566" s="580" t="str">
        <f t="shared" si="1457"/>
        <v/>
      </c>
      <c r="Y2566" s="580" t="str">
        <f t="shared" si="1459"/>
        <v/>
      </c>
      <c r="Z2566" s="580" t="str">
        <f t="shared" si="1467"/>
        <v/>
      </c>
    </row>
    <row r="2567" spans="1:26" hidden="1" x14ac:dyDescent="0.2">
      <c r="A2567" s="97" t="s">
        <v>455</v>
      </c>
      <c r="B2567" s="1031" t="s">
        <v>455</v>
      </c>
      <c r="C2567" s="978" t="s">
        <v>212</v>
      </c>
      <c r="D2567" s="595" t="str">
        <f>'ENSAIOS DE ORÇAMENTO'!C78</f>
        <v>ENSAIO DE ORÇAMENTO 9</v>
      </c>
      <c r="E2567" s="596"/>
      <c r="F2567" s="671"/>
      <c r="G2567" s="597"/>
      <c r="H2567" s="682">
        <f>SUM(H2568:H2572)</f>
        <v>0</v>
      </c>
      <c r="I2567" s="592">
        <f>VLOOKUP(D2567,'ENSAIOS DE ORÇAMENTO'!$C$3:$L$79,8,FALSE)</f>
        <v>0</v>
      </c>
      <c r="J2567" s="592">
        <f t="shared" si="1474"/>
        <v>0</v>
      </c>
      <c r="K2567" s="593">
        <f t="shared" si="1458"/>
        <v>0</v>
      </c>
      <c r="L2567" s="594" t="s">
        <v>21</v>
      </c>
      <c r="M2567" s="92"/>
      <c r="N2567" s="92"/>
      <c r="O2567" s="93">
        <f t="shared" si="1475"/>
        <v>0</v>
      </c>
      <c r="P2567" s="93">
        <f t="shared" si="1476"/>
        <v>0</v>
      </c>
      <c r="Q2567" s="94"/>
      <c r="R2567" s="92">
        <f t="shared" si="1477"/>
        <v>0</v>
      </c>
      <c r="S2567" s="92">
        <f t="shared" si="1478"/>
        <v>0</v>
      </c>
      <c r="T2567" s="93">
        <f t="shared" si="1479"/>
        <v>0</v>
      </c>
      <c r="U2567" s="95">
        <f t="shared" si="1480"/>
        <v>0</v>
      </c>
      <c r="V2567" s="94"/>
      <c r="X2567" s="580" t="str">
        <f t="shared" si="1457"/>
        <v/>
      </c>
      <c r="Y2567" s="580" t="str">
        <f t="shared" si="1459"/>
        <v/>
      </c>
      <c r="Z2567" s="580" t="str">
        <f t="shared" si="1467"/>
        <v/>
      </c>
    </row>
    <row r="2568" spans="1:26" hidden="1" x14ac:dyDescent="0.2">
      <c r="A2568" s="97" t="s">
        <v>165</v>
      </c>
      <c r="B2568" s="1031" t="s">
        <v>165</v>
      </c>
      <c r="C2568" s="978"/>
      <c r="D2568" s="631" t="s">
        <v>218</v>
      </c>
      <c r="E2568" s="596"/>
      <c r="F2568" s="671">
        <v>500</v>
      </c>
      <c r="G2568" s="597">
        <f>VLOOKUP(D2567,'ENSAIOS DE ORÇAMENTO'!$C$3:$L$79,4,FALSE)</f>
        <v>0</v>
      </c>
      <c r="H2568" s="682">
        <f>IF(F2568&lt;=30,(0.51*F2568+4.28)*G2568,((0.51*30+4.28)+0.42*(F2568-30))*G2568)</f>
        <v>0</v>
      </c>
      <c r="I2568" s="592"/>
      <c r="J2568" s="592" t="str">
        <f t="shared" si="1474"/>
        <v/>
      </c>
      <c r="K2568" s="593">
        <f t="shared" si="1458"/>
        <v>0</v>
      </c>
      <c r="L2568" s="670" t="s">
        <v>783</v>
      </c>
      <c r="M2568" s="632"/>
      <c r="N2568" s="633"/>
      <c r="O2568" s="93">
        <f t="shared" si="1475"/>
        <v>0</v>
      </c>
      <c r="P2568" s="93">
        <f t="shared" si="1476"/>
        <v>0</v>
      </c>
      <c r="Q2568" s="94"/>
      <c r="R2568" s="632">
        <f t="shared" si="1477"/>
        <v>0</v>
      </c>
      <c r="S2568" s="633">
        <f t="shared" si="1478"/>
        <v>0</v>
      </c>
      <c r="T2568" s="93">
        <f t="shared" si="1479"/>
        <v>0</v>
      </c>
      <c r="U2568" s="95">
        <f t="shared" si="1480"/>
        <v>0</v>
      </c>
      <c r="V2568" s="94"/>
      <c r="W2568" s="579" t="str">
        <f>IF(U2567&gt;0,"xx",IF(P2567&gt;0,"xy",""))</f>
        <v/>
      </c>
      <c r="X2568" s="580" t="str">
        <f t="shared" si="1457"/>
        <v/>
      </c>
      <c r="Y2568" s="580" t="str">
        <f t="shared" si="1459"/>
        <v/>
      </c>
      <c r="Z2568" s="580" t="str">
        <f t="shared" si="1467"/>
        <v/>
      </c>
    </row>
    <row r="2569" spans="1:26" hidden="1" x14ac:dyDescent="0.2">
      <c r="A2569" s="97" t="s">
        <v>165</v>
      </c>
      <c r="B2569" s="1031" t="s">
        <v>165</v>
      </c>
      <c r="C2569" s="978"/>
      <c r="D2569" s="631" t="s">
        <v>257</v>
      </c>
      <c r="E2569" s="596"/>
      <c r="F2569" s="671">
        <v>180</v>
      </c>
      <c r="G2569" s="597">
        <f>VLOOKUP(D2567,'ENSAIOS DE ORÇAMENTO'!$C$3:$L$79,5,FALSE)</f>
        <v>0</v>
      </c>
      <c r="H2569" s="682">
        <f>IF(F2569=0,0,IF(F2569&lt;=30,(0.7*F2569+1.45)*G2569,((0.7*30+1.45)+0.58*(F2569-30))*G2569))</f>
        <v>0</v>
      </c>
      <c r="I2569" s="592"/>
      <c r="J2569" s="592" t="str">
        <f t="shared" si="1474"/>
        <v/>
      </c>
      <c r="K2569" s="593">
        <f t="shared" si="1458"/>
        <v>0</v>
      </c>
      <c r="L2569" s="670" t="s">
        <v>783</v>
      </c>
      <c r="M2569" s="632"/>
      <c r="N2569" s="633"/>
      <c r="O2569" s="93">
        <f t="shared" si="1475"/>
        <v>0</v>
      </c>
      <c r="P2569" s="93">
        <f t="shared" si="1476"/>
        <v>0</v>
      </c>
      <c r="Q2569" s="94"/>
      <c r="R2569" s="632">
        <f t="shared" si="1477"/>
        <v>0</v>
      </c>
      <c r="S2569" s="633">
        <f t="shared" si="1478"/>
        <v>0</v>
      </c>
      <c r="T2569" s="93">
        <f t="shared" si="1479"/>
        <v>0</v>
      </c>
      <c r="U2569" s="95">
        <f t="shared" si="1480"/>
        <v>0</v>
      </c>
      <c r="V2569" s="94"/>
      <c r="W2569" s="579" t="str">
        <f>IF(U2567&gt;0,"xx",IF(P2567&gt;0,"xy",""))</f>
        <v/>
      </c>
      <c r="X2569" s="580" t="str">
        <f t="shared" si="1457"/>
        <v/>
      </c>
      <c r="Y2569" s="580" t="str">
        <f t="shared" si="1459"/>
        <v/>
      </c>
      <c r="Z2569" s="580" t="str">
        <f t="shared" si="1467"/>
        <v/>
      </c>
    </row>
    <row r="2570" spans="1:26" hidden="1" x14ac:dyDescent="0.2">
      <c r="A2570" s="97" t="s">
        <v>165</v>
      </c>
      <c r="B2570" s="1031" t="s">
        <v>165</v>
      </c>
      <c r="C2570" s="978"/>
      <c r="D2570" s="631" t="s">
        <v>261</v>
      </c>
      <c r="E2570" s="596"/>
      <c r="F2570" s="671">
        <v>20</v>
      </c>
      <c r="G2570" s="597">
        <f>VLOOKUP(D2567,'ENSAIOS DE ORÇAMENTO'!$C$3:$L$79,6,FALSE)</f>
        <v>0</v>
      </c>
      <c r="H2570" s="682">
        <f>IF(F2570=0,0,IF(F2570&lt;=30,(0.7*F2570+1.45)*G2570,((0.7*30+1.45)+0.58*(F2570-30))*G2570))</f>
        <v>0</v>
      </c>
      <c r="I2570" s="592"/>
      <c r="J2570" s="592" t="str">
        <f t="shared" si="1474"/>
        <v/>
      </c>
      <c r="K2570" s="593">
        <f t="shared" si="1458"/>
        <v>0</v>
      </c>
      <c r="L2570" s="670" t="s">
        <v>783</v>
      </c>
      <c r="M2570" s="632"/>
      <c r="N2570" s="633"/>
      <c r="O2570" s="93">
        <f t="shared" si="1475"/>
        <v>0</v>
      </c>
      <c r="P2570" s="93">
        <f t="shared" si="1476"/>
        <v>0</v>
      </c>
      <c r="Q2570" s="94"/>
      <c r="R2570" s="632">
        <f t="shared" si="1477"/>
        <v>0</v>
      </c>
      <c r="S2570" s="633">
        <f t="shared" si="1478"/>
        <v>0</v>
      </c>
      <c r="T2570" s="93">
        <f t="shared" si="1479"/>
        <v>0</v>
      </c>
      <c r="U2570" s="95">
        <f t="shared" si="1480"/>
        <v>0</v>
      </c>
      <c r="V2570" s="94"/>
      <c r="W2570" s="579" t="str">
        <f>IF(U2567&gt;0,"xx",IF(P2567&gt;0,"xy",""))</f>
        <v/>
      </c>
      <c r="X2570" s="580" t="str">
        <f t="shared" si="1457"/>
        <v/>
      </c>
      <c r="Y2570" s="580" t="str">
        <f t="shared" si="1459"/>
        <v/>
      </c>
      <c r="Z2570" s="580" t="str">
        <f t="shared" si="1467"/>
        <v/>
      </c>
    </row>
    <row r="2571" spans="1:26" hidden="1" x14ac:dyDescent="0.2">
      <c r="A2571" s="97" t="s">
        <v>165</v>
      </c>
      <c r="B2571" s="1031" t="s">
        <v>165</v>
      </c>
      <c r="C2571" s="978"/>
      <c r="D2571" s="631" t="s">
        <v>419</v>
      </c>
      <c r="E2571" s="596"/>
      <c r="F2571" s="671">
        <v>30</v>
      </c>
      <c r="G2571" s="597">
        <f>VLOOKUP(D2567,'ENSAIOS DE ORÇAMENTO'!$C$3:$L$79,3,FALSE)</f>
        <v>0</v>
      </c>
      <c r="H2571" s="682">
        <f>IF(F2571=0,0,IF(F2571&lt;=30,(0.7*F2571+1.45)*G2571,((0.7*30+1.45)+0.58*(F2571-30))*G2571))</f>
        <v>0</v>
      </c>
      <c r="I2571" s="592"/>
      <c r="J2571" s="592" t="str">
        <f t="shared" si="1474"/>
        <v/>
      </c>
      <c r="K2571" s="593">
        <f t="shared" si="1458"/>
        <v>0</v>
      </c>
      <c r="L2571" s="670" t="s">
        <v>783</v>
      </c>
      <c r="M2571" s="632"/>
      <c r="N2571" s="633"/>
      <c r="O2571" s="93">
        <f t="shared" si="1475"/>
        <v>0</v>
      </c>
      <c r="P2571" s="93">
        <f t="shared" si="1476"/>
        <v>0</v>
      </c>
      <c r="Q2571" s="94"/>
      <c r="R2571" s="632">
        <f t="shared" si="1477"/>
        <v>0</v>
      </c>
      <c r="S2571" s="633">
        <f t="shared" si="1478"/>
        <v>0</v>
      </c>
      <c r="T2571" s="93">
        <f t="shared" si="1479"/>
        <v>0</v>
      </c>
      <c r="U2571" s="95">
        <f t="shared" si="1480"/>
        <v>0</v>
      </c>
      <c r="V2571" s="94"/>
      <c r="W2571" s="579" t="str">
        <f>IF(U2567&gt;0,"xx",IF(P2567&gt;0,"xy",""))</f>
        <v/>
      </c>
      <c r="X2571" s="580" t="str">
        <f t="shared" ref="X2571:X2635" si="1481">IF(W2571="X","x",IF(W2571="xx","x",IF(W2571="xy","x",IF(W2571="y","x",IF(OR(P2571&gt;0,U2571&gt;0),"x","")))))</f>
        <v/>
      </c>
      <c r="Y2571" s="580" t="str">
        <f t="shared" si="1459"/>
        <v/>
      </c>
      <c r="Z2571" s="580" t="str">
        <f t="shared" si="1467"/>
        <v/>
      </c>
    </row>
    <row r="2572" spans="1:26" hidden="1" x14ac:dyDescent="0.2">
      <c r="A2572" s="97" t="s">
        <v>165</v>
      </c>
      <c r="B2572" s="1031" t="s">
        <v>165</v>
      </c>
      <c r="C2572" s="978"/>
      <c r="D2572" s="631" t="s">
        <v>420</v>
      </c>
      <c r="E2572" s="596"/>
      <c r="F2572" s="671">
        <v>500</v>
      </c>
      <c r="G2572" s="597">
        <f>VLOOKUP(D2567,'ENSAIOS DE ORÇAMENTO'!$C$3:$L$79,10,FALSE)</f>
        <v>0</v>
      </c>
      <c r="H2572" s="682">
        <f>IF(F2572=0,0,IF(F2572&lt;=30,(0.7*F2572+1.45)*G2572,((0.7*30+1.45)+0.58*(F2572-30))*G2572))</f>
        <v>0</v>
      </c>
      <c r="I2572" s="592"/>
      <c r="J2572" s="592" t="str">
        <f t="shared" si="1474"/>
        <v/>
      </c>
      <c r="K2572" s="593">
        <f t="shared" si="1458"/>
        <v>0</v>
      </c>
      <c r="L2572" s="670" t="s">
        <v>783</v>
      </c>
      <c r="M2572" s="632"/>
      <c r="N2572" s="633"/>
      <c r="O2572" s="93">
        <f t="shared" si="1475"/>
        <v>0</v>
      </c>
      <c r="P2572" s="93">
        <f t="shared" si="1476"/>
        <v>0</v>
      </c>
      <c r="Q2572" s="94"/>
      <c r="R2572" s="632">
        <f t="shared" si="1477"/>
        <v>0</v>
      </c>
      <c r="S2572" s="633">
        <f t="shared" si="1478"/>
        <v>0</v>
      </c>
      <c r="T2572" s="93">
        <f t="shared" si="1479"/>
        <v>0</v>
      </c>
      <c r="U2572" s="95">
        <f t="shared" si="1480"/>
        <v>0</v>
      </c>
      <c r="V2572" s="94"/>
      <c r="W2572" s="579" t="str">
        <f>IF(U2567&gt;0,"xx",IF(P2567&gt;0,"xy",""))</f>
        <v/>
      </c>
      <c r="X2572" s="580" t="str">
        <f t="shared" si="1481"/>
        <v/>
      </c>
      <c r="Y2572" s="580" t="str">
        <f t="shared" si="1459"/>
        <v/>
      </c>
      <c r="Z2572" s="580" t="str">
        <f t="shared" si="1467"/>
        <v/>
      </c>
    </row>
    <row r="2573" spans="1:26" hidden="1" x14ac:dyDescent="0.2">
      <c r="A2573" s="97" t="s">
        <v>456</v>
      </c>
      <c r="B2573" s="1031" t="s">
        <v>456</v>
      </c>
      <c r="C2573" s="978" t="s">
        <v>212</v>
      </c>
      <c r="D2573" s="595" t="str">
        <f>'ENSAIOS DE ORÇAMENTO'!C79</f>
        <v>ENSAIO DE ORÇAMENTO 10</v>
      </c>
      <c r="E2573" s="596"/>
      <c r="F2573" s="671"/>
      <c r="G2573" s="597"/>
      <c r="H2573" s="682">
        <f>SUM(H2574:H2578)</f>
        <v>0</v>
      </c>
      <c r="I2573" s="592">
        <f>VLOOKUP(D2573,'ENSAIOS DE ORÇAMENTO'!$C$3:$L$79,8,FALSE)</f>
        <v>0</v>
      </c>
      <c r="J2573" s="592">
        <f t="shared" si="1474"/>
        <v>0</v>
      </c>
      <c r="K2573" s="593">
        <f t="shared" ref="K2573:K2578" si="1482">IF(ISBLANK(I2573),0,ROUND(J2573*(1+$F$10)*(1+$F$11*E2573),2))</f>
        <v>0</v>
      </c>
      <c r="L2573" s="594" t="s">
        <v>21</v>
      </c>
      <c r="M2573" s="92"/>
      <c r="N2573" s="92"/>
      <c r="O2573" s="93">
        <f t="shared" si="1475"/>
        <v>0</v>
      </c>
      <c r="P2573" s="93">
        <f t="shared" si="1476"/>
        <v>0</v>
      </c>
      <c r="Q2573" s="94"/>
      <c r="R2573" s="92">
        <f t="shared" si="1477"/>
        <v>0</v>
      </c>
      <c r="S2573" s="92">
        <f t="shared" si="1478"/>
        <v>0</v>
      </c>
      <c r="T2573" s="93">
        <f t="shared" si="1479"/>
        <v>0</v>
      </c>
      <c r="U2573" s="95">
        <f t="shared" si="1480"/>
        <v>0</v>
      </c>
      <c r="V2573" s="94"/>
      <c r="X2573" s="580" t="str">
        <f t="shared" si="1481"/>
        <v/>
      </c>
      <c r="Y2573" s="580" t="str">
        <f t="shared" si="1459"/>
        <v/>
      </c>
      <c r="Z2573" s="580" t="str">
        <f t="shared" si="1467"/>
        <v/>
      </c>
    </row>
    <row r="2574" spans="1:26" hidden="1" x14ac:dyDescent="0.2">
      <c r="A2574" s="97" t="s">
        <v>165</v>
      </c>
      <c r="B2574" s="1031" t="s">
        <v>165</v>
      </c>
      <c r="C2574" s="978"/>
      <c r="D2574" s="631" t="s">
        <v>218</v>
      </c>
      <c r="E2574" s="596"/>
      <c r="F2574" s="671">
        <v>500</v>
      </c>
      <c r="G2574" s="597">
        <f>VLOOKUP(D2573,'ENSAIOS DE ORÇAMENTO'!$C$3:$L$79,4,FALSE)</f>
        <v>0</v>
      </c>
      <c r="H2574" s="682">
        <f>IF(F2574&lt;=30,(0.51*F2574+4.28)*G2574,((0.51*30+4.28)+0.42*(F2574-30))*G2574)</f>
        <v>0</v>
      </c>
      <c r="I2574" s="592"/>
      <c r="J2574" s="592" t="str">
        <f t="shared" si="1474"/>
        <v/>
      </c>
      <c r="K2574" s="593">
        <f t="shared" si="1482"/>
        <v>0</v>
      </c>
      <c r="L2574" s="670" t="s">
        <v>783</v>
      </c>
      <c r="M2574" s="632"/>
      <c r="N2574" s="633"/>
      <c r="O2574" s="93">
        <f t="shared" si="1475"/>
        <v>0</v>
      </c>
      <c r="P2574" s="93">
        <f t="shared" si="1476"/>
        <v>0</v>
      </c>
      <c r="Q2574" s="94"/>
      <c r="R2574" s="632">
        <f t="shared" si="1477"/>
        <v>0</v>
      </c>
      <c r="S2574" s="633">
        <f t="shared" si="1478"/>
        <v>0</v>
      </c>
      <c r="T2574" s="93">
        <f t="shared" si="1479"/>
        <v>0</v>
      </c>
      <c r="U2574" s="95">
        <f t="shared" si="1480"/>
        <v>0</v>
      </c>
      <c r="V2574" s="94"/>
      <c r="W2574" s="579" t="str">
        <f>IF(U2573&gt;0,"xx",IF(P2573&gt;0,"xy",""))</f>
        <v/>
      </c>
      <c r="X2574" s="580" t="str">
        <f t="shared" si="1481"/>
        <v/>
      </c>
      <c r="Y2574" s="580" t="str">
        <f t="shared" si="1459"/>
        <v/>
      </c>
      <c r="Z2574" s="580" t="str">
        <f t="shared" si="1467"/>
        <v/>
      </c>
    </row>
    <row r="2575" spans="1:26" hidden="1" x14ac:dyDescent="0.2">
      <c r="A2575" s="97" t="s">
        <v>165</v>
      </c>
      <c r="B2575" s="1031" t="s">
        <v>165</v>
      </c>
      <c r="C2575" s="978"/>
      <c r="D2575" s="631" t="s">
        <v>257</v>
      </c>
      <c r="E2575" s="596"/>
      <c r="F2575" s="671">
        <v>180</v>
      </c>
      <c r="G2575" s="597">
        <f>VLOOKUP(D2573,'ENSAIOS DE ORÇAMENTO'!$C$3:$L$79,5,FALSE)</f>
        <v>0</v>
      </c>
      <c r="H2575" s="682">
        <f>IF(F2575=0,0,IF(F2575&lt;=30,(0.7*F2575+1.45)*G2575,((0.7*30+1.45)+0.58*(F2575-30))*G2575))</f>
        <v>0</v>
      </c>
      <c r="I2575" s="592"/>
      <c r="J2575" s="592" t="str">
        <f t="shared" si="1474"/>
        <v/>
      </c>
      <c r="K2575" s="593">
        <f t="shared" si="1482"/>
        <v>0</v>
      </c>
      <c r="L2575" s="670" t="s">
        <v>783</v>
      </c>
      <c r="M2575" s="632"/>
      <c r="N2575" s="633"/>
      <c r="O2575" s="93">
        <f t="shared" si="1475"/>
        <v>0</v>
      </c>
      <c r="P2575" s="93">
        <f t="shared" si="1476"/>
        <v>0</v>
      </c>
      <c r="Q2575" s="94"/>
      <c r="R2575" s="632">
        <f t="shared" si="1477"/>
        <v>0</v>
      </c>
      <c r="S2575" s="633">
        <f t="shared" si="1478"/>
        <v>0</v>
      </c>
      <c r="T2575" s="93">
        <f t="shared" si="1479"/>
        <v>0</v>
      </c>
      <c r="U2575" s="95">
        <f t="shared" si="1480"/>
        <v>0</v>
      </c>
      <c r="V2575" s="94"/>
      <c r="W2575" s="579" t="str">
        <f>IF(U2573&gt;0,"xx",IF(P2573&gt;0,"xy",""))</f>
        <v/>
      </c>
      <c r="X2575" s="580" t="str">
        <f t="shared" si="1481"/>
        <v/>
      </c>
      <c r="Y2575" s="580" t="str">
        <f t="shared" si="1459"/>
        <v/>
      </c>
      <c r="Z2575" s="580" t="str">
        <f t="shared" si="1467"/>
        <v/>
      </c>
    </row>
    <row r="2576" spans="1:26" hidden="1" x14ac:dyDescent="0.2">
      <c r="A2576" s="97" t="s">
        <v>165</v>
      </c>
      <c r="B2576" s="1031" t="s">
        <v>165</v>
      </c>
      <c r="C2576" s="978"/>
      <c r="D2576" s="631" t="s">
        <v>261</v>
      </c>
      <c r="E2576" s="596"/>
      <c r="F2576" s="671">
        <v>20</v>
      </c>
      <c r="G2576" s="597">
        <f>VLOOKUP(D2573,'ENSAIOS DE ORÇAMENTO'!$C$3:$L$79,6,FALSE)</f>
        <v>0</v>
      </c>
      <c r="H2576" s="682">
        <f>IF(F2576=0,0,IF(F2576&lt;=30,(0.7*F2576+1.45)*G2576,((0.7*30+1.45)+0.58*(F2576-30))*G2576))</f>
        <v>0</v>
      </c>
      <c r="I2576" s="592"/>
      <c r="J2576" s="592" t="str">
        <f t="shared" si="1474"/>
        <v/>
      </c>
      <c r="K2576" s="593">
        <f t="shared" si="1482"/>
        <v>0</v>
      </c>
      <c r="L2576" s="670" t="s">
        <v>783</v>
      </c>
      <c r="M2576" s="632"/>
      <c r="N2576" s="633"/>
      <c r="O2576" s="93">
        <f t="shared" si="1475"/>
        <v>0</v>
      </c>
      <c r="P2576" s="93">
        <f t="shared" si="1476"/>
        <v>0</v>
      </c>
      <c r="Q2576" s="94"/>
      <c r="R2576" s="632">
        <f t="shared" si="1477"/>
        <v>0</v>
      </c>
      <c r="S2576" s="633">
        <f t="shared" si="1478"/>
        <v>0</v>
      </c>
      <c r="T2576" s="93">
        <f t="shared" si="1479"/>
        <v>0</v>
      </c>
      <c r="U2576" s="95">
        <f t="shared" si="1480"/>
        <v>0</v>
      </c>
      <c r="V2576" s="94"/>
      <c r="W2576" s="579" t="str">
        <f>IF(U2573&gt;0,"xx",IF(P2573&gt;0,"xy",""))</f>
        <v/>
      </c>
      <c r="X2576" s="580" t="str">
        <f t="shared" si="1481"/>
        <v/>
      </c>
      <c r="Y2576" s="580" t="str">
        <f t="shared" si="1459"/>
        <v/>
      </c>
      <c r="Z2576" s="580" t="str">
        <f t="shared" si="1467"/>
        <v/>
      </c>
    </row>
    <row r="2577" spans="1:26" hidden="1" x14ac:dyDescent="0.2">
      <c r="A2577" s="97" t="s">
        <v>165</v>
      </c>
      <c r="B2577" s="1031" t="s">
        <v>165</v>
      </c>
      <c r="C2577" s="978"/>
      <c r="D2577" s="631" t="s">
        <v>419</v>
      </c>
      <c r="E2577" s="596"/>
      <c r="F2577" s="671">
        <v>30</v>
      </c>
      <c r="G2577" s="597">
        <f>VLOOKUP(D2573,'ENSAIOS DE ORÇAMENTO'!$C$3:$L$79,3,FALSE)</f>
        <v>0</v>
      </c>
      <c r="H2577" s="682">
        <f>IF(F2577=0,0,IF(F2577&lt;=30,(0.7*F2577+1.45)*G2577,((0.7*30+1.45)+0.58*(F2577-30))*G2577))</f>
        <v>0</v>
      </c>
      <c r="I2577" s="592"/>
      <c r="J2577" s="592" t="str">
        <f t="shared" si="1474"/>
        <v/>
      </c>
      <c r="K2577" s="593">
        <f t="shared" si="1482"/>
        <v>0</v>
      </c>
      <c r="L2577" s="670" t="s">
        <v>783</v>
      </c>
      <c r="M2577" s="632"/>
      <c r="N2577" s="633"/>
      <c r="O2577" s="93">
        <f t="shared" si="1475"/>
        <v>0</v>
      </c>
      <c r="P2577" s="93">
        <f t="shared" si="1476"/>
        <v>0</v>
      </c>
      <c r="Q2577" s="94"/>
      <c r="R2577" s="632">
        <f t="shared" si="1477"/>
        <v>0</v>
      </c>
      <c r="S2577" s="633">
        <f t="shared" si="1478"/>
        <v>0</v>
      </c>
      <c r="T2577" s="93">
        <f t="shared" si="1479"/>
        <v>0</v>
      </c>
      <c r="U2577" s="95">
        <f t="shared" si="1480"/>
        <v>0</v>
      </c>
      <c r="V2577" s="94"/>
      <c r="W2577" s="579" t="str">
        <f>IF(U2573&gt;0,"xx",IF(P2573&gt;0,"xy",""))</f>
        <v/>
      </c>
      <c r="X2577" s="580" t="str">
        <f t="shared" si="1481"/>
        <v/>
      </c>
      <c r="Y2577" s="580" t="str">
        <f t="shared" ref="Y2577:Y2641" si="1483">IF(W2577="X","x",IF(W2577="y","x",IF(W2577="xx","x",IF(U2577&gt;0,"x",""))))</f>
        <v/>
      </c>
      <c r="Z2577" s="580" t="str">
        <f t="shared" si="1467"/>
        <v/>
      </c>
    </row>
    <row r="2578" spans="1:26" hidden="1" x14ac:dyDescent="0.2">
      <c r="A2578" s="97" t="s">
        <v>165</v>
      </c>
      <c r="B2578" s="1031" t="s">
        <v>165</v>
      </c>
      <c r="C2578" s="978"/>
      <c r="D2578" s="631" t="s">
        <v>420</v>
      </c>
      <c r="E2578" s="596"/>
      <c r="F2578" s="671">
        <v>500</v>
      </c>
      <c r="G2578" s="597">
        <f>VLOOKUP(D2573,'ENSAIOS DE ORÇAMENTO'!$C$3:$L$79,10,FALSE)</f>
        <v>0</v>
      </c>
      <c r="H2578" s="682">
        <f>IF(F2578=0,0,IF(F2578&lt;=30,(0.7*F2578+1.45)*G2578,((0.7*30+1.45)+0.58*(F2578-30))*G2578))</f>
        <v>0</v>
      </c>
      <c r="I2578" s="592"/>
      <c r="J2578" s="592" t="str">
        <f t="shared" ref="J2578" si="1484">IF(ISBLANK(I2578),"",SUM(H2578:I2578))</f>
        <v/>
      </c>
      <c r="K2578" s="593">
        <f t="shared" si="1482"/>
        <v>0</v>
      </c>
      <c r="L2578" s="670" t="s">
        <v>783</v>
      </c>
      <c r="M2578" s="632"/>
      <c r="N2578" s="633"/>
      <c r="O2578" s="93">
        <f t="shared" si="1475"/>
        <v>0</v>
      </c>
      <c r="P2578" s="95">
        <f t="shared" si="1476"/>
        <v>0</v>
      </c>
      <c r="Q2578" s="94"/>
      <c r="R2578" s="632">
        <f t="shared" si="1477"/>
        <v>0</v>
      </c>
      <c r="S2578" s="633">
        <f t="shared" si="1478"/>
        <v>0</v>
      </c>
      <c r="T2578" s="93">
        <f t="shared" si="1479"/>
        <v>0</v>
      </c>
      <c r="U2578" s="95">
        <f t="shared" si="1480"/>
        <v>0</v>
      </c>
      <c r="V2578" s="94"/>
      <c r="W2578" s="579" t="str">
        <f>IF(U2573&gt;0,"xx",IF(P2573&gt;0,"xy",""))</f>
        <v/>
      </c>
      <c r="X2578" s="580" t="str">
        <f t="shared" si="1481"/>
        <v/>
      </c>
      <c r="Y2578" s="580" t="str">
        <f t="shared" si="1483"/>
        <v/>
      </c>
      <c r="Z2578" s="580" t="str">
        <f t="shared" si="1467"/>
        <v/>
      </c>
    </row>
    <row r="2579" spans="1:26" hidden="1" x14ac:dyDescent="0.2">
      <c r="A2579" s="602" t="s">
        <v>187</v>
      </c>
      <c r="B2579" s="1013" t="s">
        <v>187</v>
      </c>
      <c r="C2579" s="1014"/>
      <c r="D2579" s="603" t="s">
        <v>467</v>
      </c>
      <c r="E2579" s="910"/>
      <c r="F2579" s="676"/>
      <c r="G2579" s="604"/>
      <c r="H2579" s="606"/>
      <c r="I2579" s="605"/>
      <c r="J2579" s="605"/>
      <c r="K2579" s="605"/>
      <c r="L2579" s="605" t="s">
        <v>783</v>
      </c>
      <c r="M2579" s="606"/>
      <c r="N2579" s="605"/>
      <c r="O2579" s="605"/>
      <c r="P2579" s="607"/>
      <c r="Q2579" s="94"/>
      <c r="R2579" s="606"/>
      <c r="S2579" s="605"/>
      <c r="T2579" s="605"/>
      <c r="U2579" s="607"/>
      <c r="V2579" s="94"/>
      <c r="W2579" s="579" t="str">
        <f>IF(OR(SUM(P2580:P2610)&gt;0,SUM(U2580:U2610)&gt;0),"y","")</f>
        <v>y</v>
      </c>
      <c r="X2579" s="580" t="str">
        <f t="shared" si="1481"/>
        <v>x</v>
      </c>
      <c r="Y2579" s="580" t="str">
        <f t="shared" si="1483"/>
        <v>x</v>
      </c>
      <c r="Z2579" s="580" t="str">
        <f t="shared" si="1467"/>
        <v/>
      </c>
    </row>
    <row r="2580" spans="1:26" x14ac:dyDescent="0.2">
      <c r="A2580" s="602" t="s">
        <v>187</v>
      </c>
      <c r="B2580" s="1120">
        <v>516200</v>
      </c>
      <c r="C2580" s="1121" t="s">
        <v>212</v>
      </c>
      <c r="D2580" s="1154" t="s">
        <v>234</v>
      </c>
      <c r="E2580" s="1123"/>
      <c r="F2580" s="1091">
        <v>4.7</v>
      </c>
      <c r="G2580" s="597">
        <v>1.95</v>
      </c>
      <c r="H2580" s="924">
        <f t="shared" ref="H2580" si="1485">IF(F2580&lt;=30,(0.7*F2580+1.45)*G2580,((0.7*30+1.45)+0.58*(F2580-30))*G2580)</f>
        <v>9.2430000000000003</v>
      </c>
      <c r="I2580" s="592">
        <v>73.73</v>
      </c>
      <c r="J2580" s="592">
        <f>IF(ISBLANK(I2580),"",SUM(H2580:I2580))*0.85</f>
        <v>70.527050000000003</v>
      </c>
      <c r="K2580" s="593">
        <f t="shared" ref="K2580:K2610" si="1486">IF(ISBLANK(J2580),0,ROUND(J2580*(1+$F$10)*(1+$F$11*E2580),2))</f>
        <v>85.84</v>
      </c>
      <c r="L2580" s="615" t="s">
        <v>16</v>
      </c>
      <c r="M2580" s="599">
        <v>179.5</v>
      </c>
      <c r="N2580" s="599">
        <v>87.33</v>
      </c>
      <c r="O2580" s="93">
        <f t="shared" ref="O2580" si="1487">IF(ISBLANK(M2580),0,ROUND(K2580*M2580,2))</f>
        <v>15408.28</v>
      </c>
      <c r="P2580" s="95">
        <f t="shared" ref="P2580:P2610" si="1488">IF(ISBLANK(N2580),0,ROUND(M2580*N2580,2))</f>
        <v>15675.74</v>
      </c>
      <c r="Q2580" s="94"/>
      <c r="R2580" s="1116">
        <f t="shared" ref="R2580:R2610" si="1489">M2580</f>
        <v>179.5</v>
      </c>
      <c r="S2580" s="1117">
        <f>K2580</f>
        <v>85.84</v>
      </c>
      <c r="T2580" s="1112">
        <f t="shared" ref="T2580:T2610" si="1490">IF(ISBLANK(R2580),0,ROUND(K2580*R2580,2))</f>
        <v>15408.28</v>
      </c>
      <c r="U2580" s="1113">
        <f t="shared" ref="U2580:U2610" si="1491">IF(ISBLANK(R2580),0,ROUND(R2580*S2580,2))</f>
        <v>15408.28</v>
      </c>
      <c r="V2580" s="1114"/>
      <c r="X2580" s="580" t="str">
        <f t="shared" si="1481"/>
        <v>x</v>
      </c>
      <c r="Y2580" s="580" t="str">
        <f t="shared" si="1483"/>
        <v>x</v>
      </c>
      <c r="Z2580" s="580" t="str">
        <f t="shared" si="1467"/>
        <v>x</v>
      </c>
    </row>
    <row r="2581" spans="1:26" x14ac:dyDescent="0.2">
      <c r="A2581" s="602" t="s">
        <v>2257</v>
      </c>
      <c r="B2581" s="1120" t="s">
        <v>2244</v>
      </c>
      <c r="C2581" s="1121" t="s">
        <v>212</v>
      </c>
      <c r="D2581" s="1122" t="s">
        <v>2245</v>
      </c>
      <c r="E2581" s="1123"/>
      <c r="F2581" s="671"/>
      <c r="G2581" s="597"/>
      <c r="H2581" s="924"/>
      <c r="I2581" s="592">
        <v>56.16</v>
      </c>
      <c r="J2581" s="592">
        <v>56.16</v>
      </c>
      <c r="K2581" s="585">
        <f t="shared" si="1486"/>
        <v>68.349999999999994</v>
      </c>
      <c r="L2581" s="615" t="s">
        <v>19</v>
      </c>
      <c r="M2581" s="92">
        <v>922.51</v>
      </c>
      <c r="N2581" s="92">
        <v>67.3</v>
      </c>
      <c r="O2581" s="93">
        <f>IF(ISBLANK(M2581),0,ROUND(K2581*M2581,2))</f>
        <v>63053.56</v>
      </c>
      <c r="P2581" s="93">
        <f t="shared" si="1488"/>
        <v>62084.92</v>
      </c>
      <c r="Q2581" s="94"/>
      <c r="R2581" s="1111">
        <f t="shared" si="1489"/>
        <v>922.51</v>
      </c>
      <c r="S2581" s="1111">
        <f t="shared" ref="S2581:S2610" si="1492">N2581</f>
        <v>67.3</v>
      </c>
      <c r="T2581" s="1112">
        <f t="shared" si="1490"/>
        <v>63053.56</v>
      </c>
      <c r="U2581" s="1152">
        <f t="shared" si="1491"/>
        <v>62084.92</v>
      </c>
      <c r="V2581" s="1114"/>
      <c r="X2581" s="580" t="str">
        <f t="shared" si="1481"/>
        <v>x</v>
      </c>
      <c r="Y2581" s="580" t="str">
        <f t="shared" si="1483"/>
        <v>x</v>
      </c>
      <c r="Z2581" s="580" t="str">
        <f t="shared" si="1467"/>
        <v>x</v>
      </c>
    </row>
    <row r="2582" spans="1:26" x14ac:dyDescent="0.2">
      <c r="A2582" s="602" t="s">
        <v>187</v>
      </c>
      <c r="B2582" s="1120" t="s">
        <v>2246</v>
      </c>
      <c r="C2582" s="1121" t="s">
        <v>212</v>
      </c>
      <c r="D2582" s="1122" t="s">
        <v>2247</v>
      </c>
      <c r="E2582" s="1123"/>
      <c r="F2582" s="671"/>
      <c r="G2582" s="597"/>
      <c r="H2582" s="924"/>
      <c r="I2582" s="592">
        <v>223.69</v>
      </c>
      <c r="J2582" s="592">
        <v>223.69</v>
      </c>
      <c r="K2582" s="585">
        <f t="shared" si="1486"/>
        <v>272.25</v>
      </c>
      <c r="L2582" s="615" t="s">
        <v>19</v>
      </c>
      <c r="M2582" s="92">
        <v>119</v>
      </c>
      <c r="N2582" s="92">
        <v>277</v>
      </c>
      <c r="O2582" s="93">
        <f t="shared" ref="O2582:O2610" si="1493">IF(ISBLANK(M2582),0,ROUND(K2582*M2582,2))</f>
        <v>32397.75</v>
      </c>
      <c r="P2582" s="93">
        <f t="shared" si="1488"/>
        <v>32963</v>
      </c>
      <c r="Q2582" s="94"/>
      <c r="R2582" s="1111">
        <f t="shared" si="1489"/>
        <v>119</v>
      </c>
      <c r="S2582" s="1111">
        <f>K2582</f>
        <v>272.25</v>
      </c>
      <c r="T2582" s="1112">
        <f t="shared" si="1490"/>
        <v>32397.75</v>
      </c>
      <c r="U2582" s="1113">
        <f t="shared" si="1491"/>
        <v>32397.75</v>
      </c>
      <c r="V2582" s="1114"/>
      <c r="X2582" s="580" t="str">
        <f t="shared" si="1481"/>
        <v>x</v>
      </c>
      <c r="Y2582" s="580" t="str">
        <f t="shared" si="1483"/>
        <v>x</v>
      </c>
      <c r="Z2582" s="580" t="str">
        <f t="shared" si="1467"/>
        <v>x</v>
      </c>
    </row>
    <row r="2583" spans="1:26" ht="13.5" thickBot="1" x14ac:dyDescent="0.25">
      <c r="A2583" s="602" t="s">
        <v>187</v>
      </c>
      <c r="B2583" s="1120"/>
      <c r="C2583" s="1121"/>
      <c r="D2583" s="1122" t="s">
        <v>2248</v>
      </c>
      <c r="E2583" s="1123"/>
      <c r="F2583" s="671"/>
      <c r="G2583" s="597"/>
      <c r="H2583" s="924">
        <v>5</v>
      </c>
      <c r="I2583" s="592">
        <f>SUM(I2584:I2588)</f>
        <v>1288</v>
      </c>
      <c r="J2583" s="592">
        <f t="shared" ref="J2583" si="1494">IF(ISBLANK(I2583),"",SUM(H2583:I2583))</f>
        <v>1293</v>
      </c>
      <c r="K2583" s="585">
        <f t="shared" si="1486"/>
        <v>1573.71</v>
      </c>
      <c r="L2583" s="615" t="s">
        <v>21</v>
      </c>
      <c r="M2583" s="92">
        <v>2</v>
      </c>
      <c r="N2583" s="92">
        <v>1601.12</v>
      </c>
      <c r="O2583" s="93">
        <f t="shared" si="1493"/>
        <v>3147.42</v>
      </c>
      <c r="P2583" s="93">
        <f t="shared" si="1488"/>
        <v>3202.24</v>
      </c>
      <c r="Q2583" s="94"/>
      <c r="R2583" s="1111">
        <f t="shared" si="1489"/>
        <v>2</v>
      </c>
      <c r="S2583" s="1111">
        <f>K2583</f>
        <v>1573.71</v>
      </c>
      <c r="T2583" s="1112">
        <f t="shared" si="1490"/>
        <v>3147.42</v>
      </c>
      <c r="U2583" s="1113">
        <f t="shared" si="1491"/>
        <v>3147.42</v>
      </c>
      <c r="V2583" s="1114"/>
      <c r="X2583" s="580" t="str">
        <f t="shared" si="1481"/>
        <v>x</v>
      </c>
      <c r="Y2583" s="580" t="str">
        <f t="shared" si="1483"/>
        <v>x</v>
      </c>
      <c r="Z2583" s="580" t="str">
        <f t="shared" ref="Z2583:Z2647" si="1495">IF(W2583="X","x",IF(U2583&gt;0,"x",""))</f>
        <v>x</v>
      </c>
    </row>
    <row r="2584" spans="1:26" ht="13.5" hidden="1" thickBot="1" x14ac:dyDescent="0.25">
      <c r="A2584" s="602" t="s">
        <v>187</v>
      </c>
      <c r="B2584" s="1015" t="s">
        <v>2249</v>
      </c>
      <c r="C2584" s="1016" t="s">
        <v>212</v>
      </c>
      <c r="D2584" s="616" t="s">
        <v>2250</v>
      </c>
      <c r="E2584" s="609"/>
      <c r="F2584" s="671"/>
      <c r="G2584" s="597">
        <v>2.2920000000000003</v>
      </c>
      <c r="H2584" s="924"/>
      <c r="I2584" s="592">
        <v>450.05</v>
      </c>
      <c r="J2584" s="592"/>
      <c r="K2584" s="585">
        <f t="shared" si="1486"/>
        <v>0</v>
      </c>
      <c r="L2584" s="615" t="s">
        <v>783</v>
      </c>
      <c r="M2584" s="92"/>
      <c r="N2584" s="92"/>
      <c r="O2584" s="93">
        <f t="shared" si="1493"/>
        <v>0</v>
      </c>
      <c r="P2584" s="93">
        <f t="shared" si="1488"/>
        <v>0</v>
      </c>
      <c r="Q2584" s="94"/>
      <c r="R2584" s="92">
        <f t="shared" si="1489"/>
        <v>0</v>
      </c>
      <c r="S2584" s="92">
        <f t="shared" si="1492"/>
        <v>0</v>
      </c>
      <c r="T2584" s="93">
        <f t="shared" si="1490"/>
        <v>0</v>
      </c>
      <c r="U2584" s="95">
        <f t="shared" si="1491"/>
        <v>0</v>
      </c>
      <c r="V2584" s="94"/>
      <c r="X2584" s="580" t="str">
        <f t="shared" si="1481"/>
        <v/>
      </c>
      <c r="Y2584" s="580" t="str">
        <f t="shared" si="1483"/>
        <v/>
      </c>
      <c r="Z2584" s="580" t="str">
        <f t="shared" si="1495"/>
        <v/>
      </c>
    </row>
    <row r="2585" spans="1:26" ht="13.5" hidden="1" thickBot="1" x14ac:dyDescent="0.25">
      <c r="A2585" s="602" t="s">
        <v>187</v>
      </c>
      <c r="B2585" s="1015">
        <v>602100</v>
      </c>
      <c r="C2585" s="1016" t="s">
        <v>212</v>
      </c>
      <c r="D2585" s="616" t="s">
        <v>290</v>
      </c>
      <c r="E2585" s="609"/>
      <c r="F2585" s="671"/>
      <c r="G2585" s="597">
        <v>21.68</v>
      </c>
      <c r="H2585" s="924"/>
      <c r="I2585" s="592">
        <v>90.76</v>
      </c>
      <c r="J2585" s="592"/>
      <c r="K2585" s="585">
        <f t="shared" si="1486"/>
        <v>0</v>
      </c>
      <c r="L2585" s="615" t="s">
        <v>783</v>
      </c>
      <c r="M2585" s="92"/>
      <c r="N2585" s="92"/>
      <c r="O2585" s="93">
        <f t="shared" si="1493"/>
        <v>0</v>
      </c>
      <c r="P2585" s="93">
        <f t="shared" si="1488"/>
        <v>0</v>
      </c>
      <c r="Q2585" s="94"/>
      <c r="R2585" s="92">
        <f t="shared" si="1489"/>
        <v>0</v>
      </c>
      <c r="S2585" s="92">
        <f t="shared" si="1492"/>
        <v>0</v>
      </c>
      <c r="T2585" s="93">
        <f t="shared" si="1490"/>
        <v>0</v>
      </c>
      <c r="U2585" s="95">
        <f t="shared" si="1491"/>
        <v>0</v>
      </c>
      <c r="V2585" s="94"/>
      <c r="X2585" s="580" t="str">
        <f t="shared" si="1481"/>
        <v/>
      </c>
      <c r="Y2585" s="580" t="str">
        <f t="shared" si="1483"/>
        <v/>
      </c>
      <c r="Z2585" s="580" t="str">
        <f t="shared" si="1495"/>
        <v/>
      </c>
    </row>
    <row r="2586" spans="1:26" ht="13.5" hidden="1" thickBot="1" x14ac:dyDescent="0.25">
      <c r="A2586" s="602" t="s">
        <v>187</v>
      </c>
      <c r="B2586" s="1015">
        <v>603000</v>
      </c>
      <c r="C2586" s="1016" t="s">
        <v>212</v>
      </c>
      <c r="D2586" s="616" t="s">
        <v>2251</v>
      </c>
      <c r="E2586" s="609"/>
      <c r="F2586" s="671"/>
      <c r="G2586" s="597">
        <v>12.08</v>
      </c>
      <c r="H2586" s="924"/>
      <c r="I2586" s="592">
        <v>18.079999999999998</v>
      </c>
      <c r="J2586" s="592"/>
      <c r="K2586" s="585">
        <f t="shared" si="1486"/>
        <v>0</v>
      </c>
      <c r="L2586" s="615" t="s">
        <v>783</v>
      </c>
      <c r="M2586" s="92"/>
      <c r="N2586" s="92"/>
      <c r="O2586" s="93">
        <f t="shared" si="1493"/>
        <v>0</v>
      </c>
      <c r="P2586" s="93">
        <f t="shared" si="1488"/>
        <v>0</v>
      </c>
      <c r="Q2586" s="94"/>
      <c r="R2586" s="92">
        <f t="shared" si="1489"/>
        <v>0</v>
      </c>
      <c r="S2586" s="92">
        <f t="shared" si="1492"/>
        <v>0</v>
      </c>
      <c r="T2586" s="93">
        <f t="shared" si="1490"/>
        <v>0</v>
      </c>
      <c r="U2586" s="95">
        <f t="shared" si="1491"/>
        <v>0</v>
      </c>
      <c r="V2586" s="94"/>
      <c r="X2586" s="580" t="str">
        <f t="shared" si="1481"/>
        <v/>
      </c>
      <c r="Y2586" s="580" t="str">
        <f t="shared" si="1483"/>
        <v/>
      </c>
      <c r="Z2586" s="580" t="str">
        <f t="shared" si="1495"/>
        <v/>
      </c>
    </row>
    <row r="2587" spans="1:26" ht="13.5" hidden="1" thickBot="1" x14ac:dyDescent="0.25">
      <c r="A2587" s="602" t="s">
        <v>187</v>
      </c>
      <c r="B2587" s="1015">
        <v>601100</v>
      </c>
      <c r="C2587" s="1016" t="s">
        <v>212</v>
      </c>
      <c r="D2587" s="616" t="s">
        <v>354</v>
      </c>
      <c r="E2587" s="609"/>
      <c r="F2587" s="671"/>
      <c r="G2587" s="597">
        <v>5</v>
      </c>
      <c r="H2587" s="924"/>
      <c r="I2587" s="592">
        <v>45.66</v>
      </c>
      <c r="J2587" s="592"/>
      <c r="K2587" s="585">
        <f t="shared" si="1486"/>
        <v>0</v>
      </c>
      <c r="L2587" s="615" t="s">
        <v>783</v>
      </c>
      <c r="M2587" s="92"/>
      <c r="N2587" s="92"/>
      <c r="O2587" s="93">
        <f t="shared" si="1493"/>
        <v>0</v>
      </c>
      <c r="P2587" s="93">
        <f t="shared" si="1488"/>
        <v>0</v>
      </c>
      <c r="Q2587" s="94"/>
      <c r="R2587" s="92">
        <f t="shared" si="1489"/>
        <v>0</v>
      </c>
      <c r="S2587" s="92">
        <f t="shared" si="1492"/>
        <v>0</v>
      </c>
      <c r="T2587" s="93">
        <f t="shared" si="1490"/>
        <v>0</v>
      </c>
      <c r="U2587" s="95">
        <f t="shared" si="1491"/>
        <v>0</v>
      </c>
      <c r="V2587" s="94"/>
      <c r="X2587" s="580" t="str">
        <f t="shared" si="1481"/>
        <v/>
      </c>
      <c r="Y2587" s="580" t="str">
        <f t="shared" si="1483"/>
        <v/>
      </c>
      <c r="Z2587" s="580" t="str">
        <f t="shared" si="1495"/>
        <v/>
      </c>
    </row>
    <row r="2588" spans="1:26" ht="13.5" hidden="1" thickBot="1" x14ac:dyDescent="0.25">
      <c r="A2588" s="602" t="s">
        <v>187</v>
      </c>
      <c r="B2588" s="1015">
        <v>603200</v>
      </c>
      <c r="C2588" s="1016" t="s">
        <v>212</v>
      </c>
      <c r="D2588" s="616" t="s">
        <v>2252</v>
      </c>
      <c r="E2588" s="609"/>
      <c r="F2588" s="671"/>
      <c r="G2588" s="597">
        <v>1</v>
      </c>
      <c r="H2588" s="924"/>
      <c r="I2588" s="592">
        <v>683.45</v>
      </c>
      <c r="J2588" s="592"/>
      <c r="K2588" s="585">
        <f t="shared" si="1486"/>
        <v>0</v>
      </c>
      <c r="L2588" s="615" t="s">
        <v>783</v>
      </c>
      <c r="M2588" s="92"/>
      <c r="N2588" s="92"/>
      <c r="O2588" s="93">
        <f t="shared" si="1493"/>
        <v>0</v>
      </c>
      <c r="P2588" s="93">
        <f t="shared" si="1488"/>
        <v>0</v>
      </c>
      <c r="Q2588" s="94"/>
      <c r="R2588" s="92">
        <f t="shared" si="1489"/>
        <v>0</v>
      </c>
      <c r="S2588" s="92">
        <f t="shared" si="1492"/>
        <v>0</v>
      </c>
      <c r="T2588" s="93">
        <f t="shared" si="1490"/>
        <v>0</v>
      </c>
      <c r="U2588" s="95">
        <f t="shared" si="1491"/>
        <v>0</v>
      </c>
      <c r="V2588" s="94"/>
      <c r="X2588" s="580" t="str">
        <f t="shared" si="1481"/>
        <v/>
      </c>
      <c r="Y2588" s="580" t="str">
        <f t="shared" si="1483"/>
        <v/>
      </c>
      <c r="Z2588" s="580" t="str">
        <f t="shared" si="1495"/>
        <v/>
      </c>
    </row>
    <row r="2589" spans="1:26" ht="13.5" hidden="1" thickBot="1" x14ac:dyDescent="0.25">
      <c r="A2589" s="602" t="s">
        <v>187</v>
      </c>
      <c r="B2589" s="1015" t="s">
        <v>2253</v>
      </c>
      <c r="C2589" s="1016" t="s">
        <v>212</v>
      </c>
      <c r="D2589" s="616" t="s">
        <v>2254</v>
      </c>
      <c r="E2589" s="609"/>
      <c r="F2589" s="671"/>
      <c r="G2589" s="597"/>
      <c r="H2589" s="924"/>
      <c r="I2589" s="592">
        <v>29.5</v>
      </c>
      <c r="J2589" s="592">
        <v>29.5</v>
      </c>
      <c r="K2589" s="585">
        <f t="shared" si="1486"/>
        <v>35.9</v>
      </c>
      <c r="L2589" s="615" t="s">
        <v>19</v>
      </c>
      <c r="M2589" s="92"/>
      <c r="N2589" s="92">
        <v>35.9</v>
      </c>
      <c r="O2589" s="93">
        <f t="shared" si="1493"/>
        <v>0</v>
      </c>
      <c r="P2589" s="93">
        <f t="shared" si="1488"/>
        <v>0</v>
      </c>
      <c r="Q2589" s="94"/>
      <c r="R2589" s="92">
        <f t="shared" si="1489"/>
        <v>0</v>
      </c>
      <c r="S2589" s="92">
        <f t="shared" si="1492"/>
        <v>35.9</v>
      </c>
      <c r="T2589" s="93">
        <f t="shared" si="1490"/>
        <v>0</v>
      </c>
      <c r="U2589" s="95">
        <f t="shared" si="1491"/>
        <v>0</v>
      </c>
      <c r="V2589" s="94"/>
      <c r="X2589" s="580" t="str">
        <f t="shared" si="1481"/>
        <v/>
      </c>
      <c r="Y2589" s="580" t="str">
        <f t="shared" si="1483"/>
        <v/>
      </c>
      <c r="Z2589" s="580" t="str">
        <f t="shared" si="1495"/>
        <v/>
      </c>
    </row>
    <row r="2590" spans="1:26" ht="13.5" hidden="1" thickBot="1" x14ac:dyDescent="0.25">
      <c r="A2590" s="602" t="s">
        <v>187</v>
      </c>
      <c r="B2590" s="1015" t="s">
        <v>2255</v>
      </c>
      <c r="C2590" s="1016" t="s">
        <v>212</v>
      </c>
      <c r="D2590" s="616" t="s">
        <v>2256</v>
      </c>
      <c r="E2590" s="609"/>
      <c r="F2590" s="671"/>
      <c r="G2590" s="597"/>
      <c r="H2590" s="924"/>
      <c r="I2590" s="592">
        <v>45.370000000000005</v>
      </c>
      <c r="J2590" s="592">
        <v>45.370000000000005</v>
      </c>
      <c r="K2590" s="585">
        <f t="shared" si="1486"/>
        <v>55.22</v>
      </c>
      <c r="L2590" s="615" t="s">
        <v>19</v>
      </c>
      <c r="M2590" s="92"/>
      <c r="N2590" s="92">
        <v>55.22</v>
      </c>
      <c r="O2590" s="93">
        <f t="shared" si="1493"/>
        <v>0</v>
      </c>
      <c r="P2590" s="93">
        <f t="shared" si="1488"/>
        <v>0</v>
      </c>
      <c r="Q2590" s="94"/>
      <c r="R2590" s="92">
        <f t="shared" si="1489"/>
        <v>0</v>
      </c>
      <c r="S2590" s="92">
        <f t="shared" si="1492"/>
        <v>55.22</v>
      </c>
      <c r="T2590" s="93">
        <f t="shared" si="1490"/>
        <v>0</v>
      </c>
      <c r="U2590" s="95">
        <f t="shared" si="1491"/>
        <v>0</v>
      </c>
      <c r="V2590" s="94"/>
      <c r="X2590" s="580" t="str">
        <f t="shared" si="1481"/>
        <v/>
      </c>
      <c r="Y2590" s="580" t="str">
        <f t="shared" si="1483"/>
        <v/>
      </c>
      <c r="Z2590" s="580" t="str">
        <f t="shared" si="1495"/>
        <v/>
      </c>
    </row>
    <row r="2591" spans="1:26" ht="13.5" hidden="1" thickBot="1" x14ac:dyDescent="0.25">
      <c r="A2591" s="602" t="s">
        <v>187</v>
      </c>
      <c r="B2591" s="1015" t="s">
        <v>187</v>
      </c>
      <c r="C2591" s="1016" t="s">
        <v>187</v>
      </c>
      <c r="D2591" s="616"/>
      <c r="E2591" s="609"/>
      <c r="F2591" s="671"/>
      <c r="G2591" s="597"/>
      <c r="H2591" s="924"/>
      <c r="I2591" s="592"/>
      <c r="J2591" s="592"/>
      <c r="K2591" s="585">
        <f t="shared" si="1486"/>
        <v>0</v>
      </c>
      <c r="L2591" s="615" t="s">
        <v>783</v>
      </c>
      <c r="M2591" s="92"/>
      <c r="N2591" s="92"/>
      <c r="O2591" s="93">
        <f t="shared" si="1493"/>
        <v>0</v>
      </c>
      <c r="P2591" s="93">
        <f t="shared" si="1488"/>
        <v>0</v>
      </c>
      <c r="Q2591" s="94"/>
      <c r="R2591" s="92">
        <f t="shared" si="1489"/>
        <v>0</v>
      </c>
      <c r="S2591" s="92">
        <f t="shared" si="1492"/>
        <v>0</v>
      </c>
      <c r="T2591" s="93">
        <f t="shared" si="1490"/>
        <v>0</v>
      </c>
      <c r="U2591" s="95">
        <f t="shared" si="1491"/>
        <v>0</v>
      </c>
      <c r="V2591" s="94"/>
      <c r="X2591" s="580" t="str">
        <f t="shared" si="1481"/>
        <v/>
      </c>
      <c r="Y2591" s="580" t="str">
        <f t="shared" si="1483"/>
        <v/>
      </c>
      <c r="Z2591" s="580" t="str">
        <f t="shared" si="1495"/>
        <v/>
      </c>
    </row>
    <row r="2592" spans="1:26" ht="13.5" hidden="1" thickBot="1" x14ac:dyDescent="0.25">
      <c r="A2592" s="602" t="s">
        <v>187</v>
      </c>
      <c r="B2592" s="1015" t="s">
        <v>187</v>
      </c>
      <c r="C2592" s="1016" t="s">
        <v>187</v>
      </c>
      <c r="D2592" s="616"/>
      <c r="E2592" s="609"/>
      <c r="F2592" s="671"/>
      <c r="G2592" s="597"/>
      <c r="H2592" s="924"/>
      <c r="I2592" s="592"/>
      <c r="J2592" s="592"/>
      <c r="K2592" s="585">
        <f t="shared" si="1486"/>
        <v>0</v>
      </c>
      <c r="L2592" s="615" t="s">
        <v>783</v>
      </c>
      <c r="M2592" s="92"/>
      <c r="N2592" s="92"/>
      <c r="O2592" s="93">
        <f t="shared" si="1493"/>
        <v>0</v>
      </c>
      <c r="P2592" s="93">
        <f t="shared" si="1488"/>
        <v>0</v>
      </c>
      <c r="Q2592" s="94"/>
      <c r="R2592" s="92">
        <f t="shared" si="1489"/>
        <v>0</v>
      </c>
      <c r="S2592" s="92">
        <f t="shared" si="1492"/>
        <v>0</v>
      </c>
      <c r="T2592" s="93">
        <f t="shared" si="1490"/>
        <v>0</v>
      </c>
      <c r="U2592" s="95">
        <f t="shared" si="1491"/>
        <v>0</v>
      </c>
      <c r="V2592" s="94"/>
      <c r="X2592" s="580" t="str">
        <f t="shared" si="1481"/>
        <v/>
      </c>
      <c r="Y2592" s="580" t="str">
        <f t="shared" si="1483"/>
        <v/>
      </c>
      <c r="Z2592" s="580" t="str">
        <f t="shared" si="1495"/>
        <v/>
      </c>
    </row>
    <row r="2593" spans="1:26" ht="13.5" hidden="1" thickBot="1" x14ac:dyDescent="0.25">
      <c r="A2593" s="602" t="s">
        <v>187</v>
      </c>
      <c r="B2593" s="1015" t="s">
        <v>187</v>
      </c>
      <c r="C2593" s="1016" t="s">
        <v>187</v>
      </c>
      <c r="D2593" s="616"/>
      <c r="E2593" s="609"/>
      <c r="F2593" s="671"/>
      <c r="G2593" s="597"/>
      <c r="H2593" s="924"/>
      <c r="I2593" s="592"/>
      <c r="J2593" s="592"/>
      <c r="K2593" s="585">
        <f t="shared" si="1486"/>
        <v>0</v>
      </c>
      <c r="L2593" s="615" t="s">
        <v>783</v>
      </c>
      <c r="M2593" s="92"/>
      <c r="N2593" s="92"/>
      <c r="O2593" s="93">
        <f t="shared" si="1493"/>
        <v>0</v>
      </c>
      <c r="P2593" s="93">
        <f t="shared" si="1488"/>
        <v>0</v>
      </c>
      <c r="Q2593" s="94"/>
      <c r="R2593" s="92">
        <f t="shared" si="1489"/>
        <v>0</v>
      </c>
      <c r="S2593" s="92">
        <f t="shared" si="1492"/>
        <v>0</v>
      </c>
      <c r="T2593" s="93">
        <f t="shared" si="1490"/>
        <v>0</v>
      </c>
      <c r="U2593" s="95">
        <f t="shared" si="1491"/>
        <v>0</v>
      </c>
      <c r="V2593" s="94"/>
      <c r="X2593" s="580" t="str">
        <f t="shared" si="1481"/>
        <v/>
      </c>
      <c r="Y2593" s="580" t="str">
        <f t="shared" si="1483"/>
        <v/>
      </c>
      <c r="Z2593" s="580" t="str">
        <f t="shared" si="1495"/>
        <v/>
      </c>
    </row>
    <row r="2594" spans="1:26" ht="13.5" hidden="1" thickBot="1" x14ac:dyDescent="0.25">
      <c r="A2594" s="602" t="s">
        <v>187</v>
      </c>
      <c r="B2594" s="1015" t="s">
        <v>187</v>
      </c>
      <c r="C2594" s="1016" t="s">
        <v>187</v>
      </c>
      <c r="D2594" s="616"/>
      <c r="E2594" s="609"/>
      <c r="F2594" s="671"/>
      <c r="G2594" s="597"/>
      <c r="H2594" s="924"/>
      <c r="I2594" s="592"/>
      <c r="J2594" s="592"/>
      <c r="K2594" s="585">
        <f t="shared" si="1486"/>
        <v>0</v>
      </c>
      <c r="L2594" s="615" t="s">
        <v>783</v>
      </c>
      <c r="M2594" s="92"/>
      <c r="N2594" s="92"/>
      <c r="O2594" s="93">
        <f t="shared" si="1493"/>
        <v>0</v>
      </c>
      <c r="P2594" s="93">
        <f t="shared" si="1488"/>
        <v>0</v>
      </c>
      <c r="Q2594" s="94"/>
      <c r="R2594" s="92">
        <f t="shared" si="1489"/>
        <v>0</v>
      </c>
      <c r="S2594" s="92">
        <f t="shared" si="1492"/>
        <v>0</v>
      </c>
      <c r="T2594" s="93">
        <f t="shared" si="1490"/>
        <v>0</v>
      </c>
      <c r="U2594" s="95">
        <f t="shared" si="1491"/>
        <v>0</v>
      </c>
      <c r="V2594" s="94"/>
      <c r="X2594" s="580" t="str">
        <f t="shared" si="1481"/>
        <v/>
      </c>
      <c r="Y2594" s="580" t="str">
        <f t="shared" si="1483"/>
        <v/>
      </c>
      <c r="Z2594" s="580" t="str">
        <f t="shared" si="1495"/>
        <v/>
      </c>
    </row>
    <row r="2595" spans="1:26" ht="13.5" hidden="1" thickBot="1" x14ac:dyDescent="0.25">
      <c r="A2595" s="602" t="s">
        <v>187</v>
      </c>
      <c r="B2595" s="1093" t="s">
        <v>2249</v>
      </c>
      <c r="C2595" s="1094" t="s">
        <v>212</v>
      </c>
      <c r="D2595" s="1095" t="s">
        <v>2250</v>
      </c>
      <c r="E2595" s="609"/>
      <c r="F2595" s="671"/>
      <c r="G2595" s="597"/>
      <c r="H2595" s="924">
        <f>SUM(H2596:H2598)</f>
        <v>26.891069999999999</v>
      </c>
      <c r="I2595" s="592">
        <v>450.05</v>
      </c>
      <c r="J2595" s="592">
        <f>IF(ISBLANK(I2595),"",SUM(H2595:I2595))</f>
        <v>476.94107000000002</v>
      </c>
      <c r="K2595" s="585">
        <f t="shared" si="1486"/>
        <v>580.48</v>
      </c>
      <c r="L2595" s="615" t="s">
        <v>16</v>
      </c>
      <c r="M2595" s="92"/>
      <c r="N2595" s="92"/>
      <c r="O2595" s="93">
        <f t="shared" si="1493"/>
        <v>0</v>
      </c>
      <c r="P2595" s="93">
        <f t="shared" si="1488"/>
        <v>0</v>
      </c>
      <c r="Q2595" s="94"/>
      <c r="R2595" s="92">
        <f t="shared" si="1489"/>
        <v>0</v>
      </c>
      <c r="S2595" s="92">
        <f t="shared" si="1492"/>
        <v>0</v>
      </c>
      <c r="T2595" s="93">
        <f t="shared" si="1490"/>
        <v>0</v>
      </c>
      <c r="U2595" s="95">
        <f t="shared" si="1491"/>
        <v>0</v>
      </c>
      <c r="V2595" s="94"/>
      <c r="X2595" s="580" t="str">
        <f t="shared" si="1481"/>
        <v/>
      </c>
      <c r="Y2595" s="580" t="str">
        <f t="shared" si="1483"/>
        <v/>
      </c>
      <c r="Z2595" s="580" t="str">
        <f t="shared" si="1495"/>
        <v/>
      </c>
    </row>
    <row r="2596" spans="1:26" ht="13.5" hidden="1" thickBot="1" x14ac:dyDescent="0.25">
      <c r="A2596" s="602" t="s">
        <v>187</v>
      </c>
      <c r="B2596" s="1093" t="s">
        <v>165</v>
      </c>
      <c r="C2596" s="1094"/>
      <c r="D2596" s="1095" t="s">
        <v>218</v>
      </c>
      <c r="E2596" s="609"/>
      <c r="F2596" s="1091">
        <v>97.1</v>
      </c>
      <c r="G2596" s="597">
        <v>0.435</v>
      </c>
      <c r="H2596" s="924">
        <f>IF(F2596&lt;=30,(0.51*F2596+4.28)*G2596,((0.51*30+4.28)+0.42*(F2596-30))*G2596)</f>
        <v>20.77647</v>
      </c>
      <c r="I2596" s="592">
        <v>0</v>
      </c>
      <c r="J2596" s="592"/>
      <c r="K2596" s="585">
        <f t="shared" si="1486"/>
        <v>0</v>
      </c>
      <c r="L2596" s="615" t="s">
        <v>783</v>
      </c>
      <c r="M2596" s="92"/>
      <c r="N2596" s="92"/>
      <c r="O2596" s="93">
        <f t="shared" si="1493"/>
        <v>0</v>
      </c>
      <c r="P2596" s="93">
        <f t="shared" si="1488"/>
        <v>0</v>
      </c>
      <c r="Q2596" s="94"/>
      <c r="R2596" s="92">
        <f t="shared" si="1489"/>
        <v>0</v>
      </c>
      <c r="S2596" s="92">
        <f t="shared" si="1492"/>
        <v>0</v>
      </c>
      <c r="T2596" s="93">
        <f t="shared" si="1490"/>
        <v>0</v>
      </c>
      <c r="U2596" s="95">
        <f t="shared" si="1491"/>
        <v>0</v>
      </c>
      <c r="V2596" s="94"/>
      <c r="X2596" s="580" t="str">
        <f t="shared" si="1481"/>
        <v/>
      </c>
      <c r="Y2596" s="580" t="str">
        <f t="shared" si="1483"/>
        <v/>
      </c>
      <c r="Z2596" s="580" t="str">
        <f t="shared" si="1495"/>
        <v/>
      </c>
    </row>
    <row r="2597" spans="1:26" ht="13.5" hidden="1" thickBot="1" x14ac:dyDescent="0.25">
      <c r="A2597" s="602" t="s">
        <v>187</v>
      </c>
      <c r="B2597" s="1093" t="s">
        <v>165</v>
      </c>
      <c r="C2597" s="1094"/>
      <c r="D2597" s="1095" t="s">
        <v>257</v>
      </c>
      <c r="E2597" s="609"/>
      <c r="F2597" s="1091">
        <v>4.7</v>
      </c>
      <c r="G2597" s="597">
        <v>0.55000000000000004</v>
      </c>
      <c r="H2597" s="924">
        <f>IF(F2597=0,0,IF(F2597&lt;=30,(0.7*F2597+1.45)*G2597,((0.7*30+1.45)+0.58*(F2597-30))*G2597))</f>
        <v>2.6070000000000002</v>
      </c>
      <c r="I2597" s="592">
        <v>0</v>
      </c>
      <c r="J2597" s="592"/>
      <c r="K2597" s="585">
        <f t="shared" si="1486"/>
        <v>0</v>
      </c>
      <c r="L2597" s="615" t="s">
        <v>783</v>
      </c>
      <c r="M2597" s="92"/>
      <c r="N2597" s="92"/>
      <c r="O2597" s="93">
        <f t="shared" si="1493"/>
        <v>0</v>
      </c>
      <c r="P2597" s="93">
        <f t="shared" si="1488"/>
        <v>0</v>
      </c>
      <c r="Q2597" s="94"/>
      <c r="R2597" s="92">
        <f t="shared" si="1489"/>
        <v>0</v>
      </c>
      <c r="S2597" s="92">
        <f t="shared" si="1492"/>
        <v>0</v>
      </c>
      <c r="T2597" s="93">
        <f t="shared" si="1490"/>
        <v>0</v>
      </c>
      <c r="U2597" s="95">
        <f t="shared" si="1491"/>
        <v>0</v>
      </c>
      <c r="V2597" s="94"/>
      <c r="X2597" s="580" t="str">
        <f t="shared" si="1481"/>
        <v/>
      </c>
      <c r="Y2597" s="580" t="str">
        <f t="shared" si="1483"/>
        <v/>
      </c>
      <c r="Z2597" s="580" t="str">
        <f t="shared" si="1495"/>
        <v/>
      </c>
    </row>
    <row r="2598" spans="1:26" ht="13.5" hidden="1" thickBot="1" x14ac:dyDescent="0.25">
      <c r="A2598" s="602" t="s">
        <v>187</v>
      </c>
      <c r="B2598" s="1093" t="s">
        <v>165</v>
      </c>
      <c r="C2598" s="1094"/>
      <c r="D2598" s="1095" t="s">
        <v>261</v>
      </c>
      <c r="E2598" s="609"/>
      <c r="F2598" s="1091">
        <v>4.7</v>
      </c>
      <c r="G2598" s="597">
        <v>0.74</v>
      </c>
      <c r="H2598" s="924">
        <f>IF(F2598=0,0,IF(F2598&lt;=30,(0.7*F2598+1.45)*G2598,((0.7*30+1.45)+0.58*(F2598-30))*G2598))</f>
        <v>3.5076000000000001</v>
      </c>
      <c r="I2598" s="592">
        <v>0</v>
      </c>
      <c r="J2598" s="592"/>
      <c r="K2598" s="585">
        <f t="shared" si="1486"/>
        <v>0</v>
      </c>
      <c r="L2598" s="615" t="s">
        <v>783</v>
      </c>
      <c r="M2598" s="92"/>
      <c r="N2598" s="92"/>
      <c r="O2598" s="93">
        <f t="shared" si="1493"/>
        <v>0</v>
      </c>
      <c r="P2598" s="93">
        <f t="shared" si="1488"/>
        <v>0</v>
      </c>
      <c r="Q2598" s="94"/>
      <c r="R2598" s="92">
        <f t="shared" si="1489"/>
        <v>0</v>
      </c>
      <c r="S2598" s="92">
        <f t="shared" si="1492"/>
        <v>0</v>
      </c>
      <c r="T2598" s="93">
        <f t="shared" si="1490"/>
        <v>0</v>
      </c>
      <c r="U2598" s="95">
        <f t="shared" si="1491"/>
        <v>0</v>
      </c>
      <c r="V2598" s="94"/>
      <c r="X2598" s="580" t="str">
        <f t="shared" si="1481"/>
        <v/>
      </c>
      <c r="Y2598" s="580" t="str">
        <f t="shared" si="1483"/>
        <v/>
      </c>
      <c r="Z2598" s="580" t="str">
        <f t="shared" si="1495"/>
        <v/>
      </c>
    </row>
    <row r="2599" spans="1:26" ht="13.5" hidden="1" thickBot="1" x14ac:dyDescent="0.25">
      <c r="A2599" s="602" t="s">
        <v>187</v>
      </c>
      <c r="B2599" s="1093">
        <v>602100</v>
      </c>
      <c r="C2599" s="1094" t="s">
        <v>212</v>
      </c>
      <c r="D2599" s="1095" t="s">
        <v>290</v>
      </c>
      <c r="E2599" s="609"/>
      <c r="F2599" s="671"/>
      <c r="G2599" s="610"/>
      <c r="H2599" s="924">
        <v>0</v>
      </c>
      <c r="I2599" s="592">
        <v>90.759999999999991</v>
      </c>
      <c r="J2599" s="592">
        <v>90.759999999999991</v>
      </c>
      <c r="K2599" s="585">
        <f t="shared" si="1486"/>
        <v>110.46</v>
      </c>
      <c r="L2599" s="615" t="s">
        <v>18</v>
      </c>
      <c r="M2599" s="92"/>
      <c r="N2599" s="92"/>
      <c r="O2599" s="93">
        <f t="shared" si="1493"/>
        <v>0</v>
      </c>
      <c r="P2599" s="93">
        <f t="shared" si="1488"/>
        <v>0</v>
      </c>
      <c r="Q2599" s="94"/>
      <c r="R2599" s="92">
        <f t="shared" si="1489"/>
        <v>0</v>
      </c>
      <c r="S2599" s="92">
        <f t="shared" si="1492"/>
        <v>0</v>
      </c>
      <c r="T2599" s="93">
        <f t="shared" si="1490"/>
        <v>0</v>
      </c>
      <c r="U2599" s="95">
        <f t="shared" si="1491"/>
        <v>0</v>
      </c>
      <c r="V2599" s="94"/>
      <c r="X2599" s="580" t="str">
        <f t="shared" si="1481"/>
        <v/>
      </c>
      <c r="Y2599" s="580" t="str">
        <f t="shared" si="1483"/>
        <v/>
      </c>
      <c r="Z2599" s="580" t="str">
        <f t="shared" si="1495"/>
        <v/>
      </c>
    </row>
    <row r="2600" spans="1:26" ht="13.5" hidden="1" thickBot="1" x14ac:dyDescent="0.25">
      <c r="A2600" s="602" t="s">
        <v>187</v>
      </c>
      <c r="B2600" s="1093">
        <v>603000</v>
      </c>
      <c r="C2600" s="1094" t="s">
        <v>212</v>
      </c>
      <c r="D2600" s="1095" t="s">
        <v>291</v>
      </c>
      <c r="E2600" s="609"/>
      <c r="F2600" s="671"/>
      <c r="G2600" s="610"/>
      <c r="H2600" s="924">
        <v>0</v>
      </c>
      <c r="I2600" s="592">
        <v>18.079999999999998</v>
      </c>
      <c r="J2600" s="592">
        <v>18.079999999999998</v>
      </c>
      <c r="K2600" s="585">
        <f t="shared" si="1486"/>
        <v>22.01</v>
      </c>
      <c r="L2600" s="615" t="s">
        <v>23</v>
      </c>
      <c r="M2600" s="92"/>
      <c r="N2600" s="92"/>
      <c r="O2600" s="93">
        <f t="shared" si="1493"/>
        <v>0</v>
      </c>
      <c r="P2600" s="93">
        <f t="shared" si="1488"/>
        <v>0</v>
      </c>
      <c r="Q2600" s="94"/>
      <c r="R2600" s="92">
        <f t="shared" si="1489"/>
        <v>0</v>
      </c>
      <c r="S2600" s="92">
        <f t="shared" si="1492"/>
        <v>0</v>
      </c>
      <c r="T2600" s="93">
        <f t="shared" si="1490"/>
        <v>0</v>
      </c>
      <c r="U2600" s="95">
        <f t="shared" si="1491"/>
        <v>0</v>
      </c>
      <c r="V2600" s="94"/>
      <c r="X2600" s="580" t="str">
        <f t="shared" si="1481"/>
        <v/>
      </c>
      <c r="Y2600" s="580" t="str">
        <f t="shared" si="1483"/>
        <v/>
      </c>
      <c r="Z2600" s="580" t="str">
        <f t="shared" si="1495"/>
        <v/>
      </c>
    </row>
    <row r="2601" spans="1:26" ht="13.5" hidden="1" thickBot="1" x14ac:dyDescent="0.25">
      <c r="A2601" s="602" t="s">
        <v>187</v>
      </c>
      <c r="B2601" s="1093">
        <v>601100</v>
      </c>
      <c r="C2601" s="1094" t="s">
        <v>212</v>
      </c>
      <c r="D2601" s="1095" t="s">
        <v>354</v>
      </c>
      <c r="E2601" s="609"/>
      <c r="F2601" s="671"/>
      <c r="G2601" s="610"/>
      <c r="H2601" s="924"/>
      <c r="I2601" s="592">
        <v>45.66</v>
      </c>
      <c r="J2601" s="592">
        <v>45.66</v>
      </c>
      <c r="K2601" s="585">
        <f t="shared" si="1486"/>
        <v>55.57</v>
      </c>
      <c r="L2601" s="615" t="s">
        <v>16</v>
      </c>
      <c r="M2601" s="92"/>
      <c r="N2601" s="92"/>
      <c r="O2601" s="93">
        <f t="shared" si="1493"/>
        <v>0</v>
      </c>
      <c r="P2601" s="93">
        <f t="shared" si="1488"/>
        <v>0</v>
      </c>
      <c r="Q2601" s="94"/>
      <c r="R2601" s="92">
        <f t="shared" si="1489"/>
        <v>0</v>
      </c>
      <c r="S2601" s="92">
        <f t="shared" si="1492"/>
        <v>0</v>
      </c>
      <c r="T2601" s="93">
        <f t="shared" si="1490"/>
        <v>0</v>
      </c>
      <c r="U2601" s="95">
        <f t="shared" si="1491"/>
        <v>0</v>
      </c>
      <c r="V2601" s="94"/>
      <c r="X2601" s="580" t="str">
        <f t="shared" si="1481"/>
        <v/>
      </c>
      <c r="Y2601" s="580" t="str">
        <f t="shared" si="1483"/>
        <v/>
      </c>
      <c r="Z2601" s="580" t="str">
        <f t="shared" si="1495"/>
        <v/>
      </c>
    </row>
    <row r="2602" spans="1:26" ht="13.5" hidden="1" thickBot="1" x14ac:dyDescent="0.25">
      <c r="A2602" s="602" t="s">
        <v>187</v>
      </c>
      <c r="B2602" s="1093">
        <v>603200</v>
      </c>
      <c r="C2602" s="1094" t="s">
        <v>212</v>
      </c>
      <c r="D2602" s="1095" t="s">
        <v>2252</v>
      </c>
      <c r="E2602" s="609"/>
      <c r="F2602" s="671"/>
      <c r="G2602" s="610"/>
      <c r="H2602" s="924"/>
      <c r="I2602" s="592">
        <v>683.45</v>
      </c>
      <c r="J2602" s="592">
        <v>683.45</v>
      </c>
      <c r="K2602" s="585">
        <f t="shared" si="1486"/>
        <v>831.83</v>
      </c>
      <c r="L2602" s="615" t="s">
        <v>2258</v>
      </c>
      <c r="M2602" s="92"/>
      <c r="N2602" s="92"/>
      <c r="O2602" s="93">
        <f t="shared" si="1493"/>
        <v>0</v>
      </c>
      <c r="P2602" s="93">
        <f t="shared" si="1488"/>
        <v>0</v>
      </c>
      <c r="Q2602" s="94"/>
      <c r="R2602" s="92">
        <f t="shared" si="1489"/>
        <v>0</v>
      </c>
      <c r="S2602" s="92">
        <f t="shared" si="1492"/>
        <v>0</v>
      </c>
      <c r="T2602" s="93">
        <f t="shared" si="1490"/>
        <v>0</v>
      </c>
      <c r="U2602" s="95">
        <f t="shared" si="1491"/>
        <v>0</v>
      </c>
      <c r="V2602" s="94"/>
      <c r="X2602" s="580" t="str">
        <f t="shared" si="1481"/>
        <v/>
      </c>
      <c r="Y2602" s="580" t="str">
        <f t="shared" si="1483"/>
        <v/>
      </c>
      <c r="Z2602" s="580" t="str">
        <f t="shared" si="1495"/>
        <v/>
      </c>
    </row>
    <row r="2603" spans="1:26" ht="13.5" hidden="1" thickBot="1" x14ac:dyDescent="0.25">
      <c r="A2603" s="602" t="s">
        <v>187</v>
      </c>
      <c r="B2603" s="1015" t="s">
        <v>187</v>
      </c>
      <c r="C2603" s="1016" t="s">
        <v>187</v>
      </c>
      <c r="D2603" s="616"/>
      <c r="E2603" s="609"/>
      <c r="F2603" s="677"/>
      <c r="G2603" s="610"/>
      <c r="H2603" s="683"/>
      <c r="I2603" s="612"/>
      <c r="J2603" s="613"/>
      <c r="K2603" s="617">
        <f t="shared" si="1486"/>
        <v>0</v>
      </c>
      <c r="L2603" s="615" t="s">
        <v>783</v>
      </c>
      <c r="M2603" s="92"/>
      <c r="N2603" s="92"/>
      <c r="O2603" s="93">
        <f t="shared" si="1493"/>
        <v>0</v>
      </c>
      <c r="P2603" s="93">
        <f t="shared" si="1488"/>
        <v>0</v>
      </c>
      <c r="Q2603" s="94"/>
      <c r="R2603" s="92">
        <f t="shared" si="1489"/>
        <v>0</v>
      </c>
      <c r="S2603" s="92">
        <f t="shared" si="1492"/>
        <v>0</v>
      </c>
      <c r="T2603" s="93">
        <f t="shared" si="1490"/>
        <v>0</v>
      </c>
      <c r="U2603" s="95">
        <f t="shared" si="1491"/>
        <v>0</v>
      </c>
      <c r="V2603" s="94"/>
      <c r="X2603" s="580" t="str">
        <f t="shared" si="1481"/>
        <v/>
      </c>
      <c r="Y2603" s="580" t="str">
        <f t="shared" si="1483"/>
        <v/>
      </c>
      <c r="Z2603" s="580" t="str">
        <f t="shared" si="1495"/>
        <v/>
      </c>
    </row>
    <row r="2604" spans="1:26" ht="13.5" hidden="1" thickBot="1" x14ac:dyDescent="0.25">
      <c r="A2604" s="602" t="s">
        <v>187</v>
      </c>
      <c r="B2604" s="1015" t="s">
        <v>187</v>
      </c>
      <c r="C2604" s="1016" t="s">
        <v>187</v>
      </c>
      <c r="D2604" s="616"/>
      <c r="E2604" s="609"/>
      <c r="F2604" s="677"/>
      <c r="G2604" s="610"/>
      <c r="H2604" s="683"/>
      <c r="I2604" s="612"/>
      <c r="J2604" s="613"/>
      <c r="K2604" s="617">
        <f t="shared" si="1486"/>
        <v>0</v>
      </c>
      <c r="L2604" s="615" t="s">
        <v>783</v>
      </c>
      <c r="M2604" s="92"/>
      <c r="N2604" s="92"/>
      <c r="O2604" s="93">
        <f t="shared" si="1493"/>
        <v>0</v>
      </c>
      <c r="P2604" s="93">
        <f t="shared" si="1488"/>
        <v>0</v>
      </c>
      <c r="Q2604" s="94"/>
      <c r="R2604" s="92">
        <f t="shared" si="1489"/>
        <v>0</v>
      </c>
      <c r="S2604" s="92">
        <f t="shared" si="1492"/>
        <v>0</v>
      </c>
      <c r="T2604" s="93">
        <f t="shared" si="1490"/>
        <v>0</v>
      </c>
      <c r="U2604" s="95">
        <f t="shared" si="1491"/>
        <v>0</v>
      </c>
      <c r="V2604" s="94"/>
      <c r="X2604" s="580" t="str">
        <f t="shared" si="1481"/>
        <v/>
      </c>
      <c r="Y2604" s="580" t="str">
        <f t="shared" si="1483"/>
        <v/>
      </c>
      <c r="Z2604" s="580" t="str">
        <f t="shared" si="1495"/>
        <v/>
      </c>
    </row>
    <row r="2605" spans="1:26" ht="13.5" hidden="1" thickBot="1" x14ac:dyDescent="0.25">
      <c r="A2605" s="602" t="s">
        <v>187</v>
      </c>
      <c r="B2605" s="1015" t="s">
        <v>187</v>
      </c>
      <c r="C2605" s="1016" t="s">
        <v>187</v>
      </c>
      <c r="D2605" s="616"/>
      <c r="E2605" s="609"/>
      <c r="F2605" s="677"/>
      <c r="G2605" s="610"/>
      <c r="H2605" s="683"/>
      <c r="I2605" s="612"/>
      <c r="J2605" s="613"/>
      <c r="K2605" s="617">
        <f t="shared" si="1486"/>
        <v>0</v>
      </c>
      <c r="L2605" s="615" t="s">
        <v>783</v>
      </c>
      <c r="M2605" s="92"/>
      <c r="N2605" s="92"/>
      <c r="O2605" s="93">
        <f t="shared" si="1493"/>
        <v>0</v>
      </c>
      <c r="P2605" s="93">
        <f t="shared" si="1488"/>
        <v>0</v>
      </c>
      <c r="Q2605" s="94"/>
      <c r="R2605" s="92">
        <f t="shared" si="1489"/>
        <v>0</v>
      </c>
      <c r="S2605" s="92">
        <f t="shared" si="1492"/>
        <v>0</v>
      </c>
      <c r="T2605" s="93">
        <f t="shared" si="1490"/>
        <v>0</v>
      </c>
      <c r="U2605" s="95">
        <f t="shared" si="1491"/>
        <v>0</v>
      </c>
      <c r="V2605" s="94"/>
      <c r="X2605" s="580" t="str">
        <f t="shared" si="1481"/>
        <v/>
      </c>
      <c r="Y2605" s="580" t="str">
        <f t="shared" si="1483"/>
        <v/>
      </c>
      <c r="Z2605" s="580" t="str">
        <f t="shared" si="1495"/>
        <v/>
      </c>
    </row>
    <row r="2606" spans="1:26" ht="13.5" hidden="1" thickBot="1" x14ac:dyDescent="0.25">
      <c r="A2606" s="602" t="s">
        <v>187</v>
      </c>
      <c r="B2606" s="1015" t="s">
        <v>187</v>
      </c>
      <c r="C2606" s="1016" t="s">
        <v>187</v>
      </c>
      <c r="D2606" s="616"/>
      <c r="E2606" s="609"/>
      <c r="F2606" s="677"/>
      <c r="G2606" s="610"/>
      <c r="H2606" s="683"/>
      <c r="I2606" s="612"/>
      <c r="J2606" s="613"/>
      <c r="K2606" s="617">
        <f t="shared" si="1486"/>
        <v>0</v>
      </c>
      <c r="L2606" s="615" t="s">
        <v>783</v>
      </c>
      <c r="M2606" s="92"/>
      <c r="N2606" s="92"/>
      <c r="O2606" s="93">
        <f t="shared" si="1493"/>
        <v>0</v>
      </c>
      <c r="P2606" s="93">
        <f t="shared" si="1488"/>
        <v>0</v>
      </c>
      <c r="Q2606" s="94"/>
      <c r="R2606" s="92">
        <f t="shared" si="1489"/>
        <v>0</v>
      </c>
      <c r="S2606" s="92">
        <f t="shared" si="1492"/>
        <v>0</v>
      </c>
      <c r="T2606" s="93">
        <f t="shared" si="1490"/>
        <v>0</v>
      </c>
      <c r="U2606" s="95">
        <f t="shared" si="1491"/>
        <v>0</v>
      </c>
      <c r="V2606" s="94"/>
      <c r="X2606" s="580" t="str">
        <f t="shared" si="1481"/>
        <v/>
      </c>
      <c r="Y2606" s="580" t="str">
        <f t="shared" si="1483"/>
        <v/>
      </c>
      <c r="Z2606" s="580" t="str">
        <f t="shared" si="1495"/>
        <v/>
      </c>
    </row>
    <row r="2607" spans="1:26" ht="13.5" hidden="1" thickBot="1" x14ac:dyDescent="0.25">
      <c r="A2607" s="602" t="s">
        <v>187</v>
      </c>
      <c r="B2607" s="1015" t="s">
        <v>187</v>
      </c>
      <c r="C2607" s="1016" t="s">
        <v>187</v>
      </c>
      <c r="D2607" s="616"/>
      <c r="E2607" s="609"/>
      <c r="F2607" s="677"/>
      <c r="G2607" s="610"/>
      <c r="H2607" s="683"/>
      <c r="I2607" s="612"/>
      <c r="J2607" s="613"/>
      <c r="K2607" s="617">
        <f t="shared" si="1486"/>
        <v>0</v>
      </c>
      <c r="L2607" s="615" t="s">
        <v>783</v>
      </c>
      <c r="M2607" s="92"/>
      <c r="N2607" s="92"/>
      <c r="O2607" s="93">
        <f t="shared" si="1493"/>
        <v>0</v>
      </c>
      <c r="P2607" s="93">
        <f t="shared" si="1488"/>
        <v>0</v>
      </c>
      <c r="Q2607" s="94"/>
      <c r="R2607" s="92">
        <f t="shared" si="1489"/>
        <v>0</v>
      </c>
      <c r="S2607" s="92">
        <f t="shared" si="1492"/>
        <v>0</v>
      </c>
      <c r="T2607" s="93">
        <f t="shared" si="1490"/>
        <v>0</v>
      </c>
      <c r="U2607" s="95">
        <f t="shared" si="1491"/>
        <v>0</v>
      </c>
      <c r="V2607" s="94"/>
      <c r="X2607" s="580" t="str">
        <f t="shared" si="1481"/>
        <v/>
      </c>
      <c r="Y2607" s="580" t="str">
        <f t="shared" si="1483"/>
        <v/>
      </c>
      <c r="Z2607" s="580" t="str">
        <f t="shared" si="1495"/>
        <v/>
      </c>
    </row>
    <row r="2608" spans="1:26" ht="13.5" hidden="1" thickBot="1" x14ac:dyDescent="0.25">
      <c r="A2608" s="602" t="s">
        <v>187</v>
      </c>
      <c r="B2608" s="1015" t="s">
        <v>187</v>
      </c>
      <c r="C2608" s="1016" t="s">
        <v>187</v>
      </c>
      <c r="D2608" s="616"/>
      <c r="E2608" s="609"/>
      <c r="F2608" s="677"/>
      <c r="G2608" s="610"/>
      <c r="H2608" s="683"/>
      <c r="I2608" s="612"/>
      <c r="J2608" s="613"/>
      <c r="K2608" s="617">
        <f t="shared" si="1486"/>
        <v>0</v>
      </c>
      <c r="L2608" s="615" t="s">
        <v>783</v>
      </c>
      <c r="M2608" s="92"/>
      <c r="N2608" s="92"/>
      <c r="O2608" s="93">
        <f t="shared" si="1493"/>
        <v>0</v>
      </c>
      <c r="P2608" s="93">
        <f t="shared" si="1488"/>
        <v>0</v>
      </c>
      <c r="Q2608" s="94"/>
      <c r="R2608" s="92">
        <f t="shared" si="1489"/>
        <v>0</v>
      </c>
      <c r="S2608" s="92">
        <f t="shared" si="1492"/>
        <v>0</v>
      </c>
      <c r="T2608" s="93">
        <f t="shared" si="1490"/>
        <v>0</v>
      </c>
      <c r="U2608" s="95">
        <f t="shared" si="1491"/>
        <v>0</v>
      </c>
      <c r="V2608" s="94"/>
      <c r="X2608" s="580" t="str">
        <f t="shared" si="1481"/>
        <v/>
      </c>
      <c r="Y2608" s="580" t="str">
        <f t="shared" si="1483"/>
        <v/>
      </c>
      <c r="Z2608" s="580" t="str">
        <f t="shared" si="1495"/>
        <v/>
      </c>
    </row>
    <row r="2609" spans="1:30" ht="13.5" hidden="1" thickBot="1" x14ac:dyDescent="0.25">
      <c r="A2609" s="602" t="s">
        <v>187</v>
      </c>
      <c r="B2609" s="1015" t="s">
        <v>187</v>
      </c>
      <c r="C2609" s="1016" t="s">
        <v>187</v>
      </c>
      <c r="D2609" s="616"/>
      <c r="E2609" s="609"/>
      <c r="F2609" s="677"/>
      <c r="G2609" s="610"/>
      <c r="H2609" s="683"/>
      <c r="I2609" s="612"/>
      <c r="J2609" s="613"/>
      <c r="K2609" s="617">
        <f t="shared" si="1486"/>
        <v>0</v>
      </c>
      <c r="L2609" s="615" t="s">
        <v>783</v>
      </c>
      <c r="M2609" s="92"/>
      <c r="N2609" s="92"/>
      <c r="O2609" s="93">
        <f t="shared" si="1493"/>
        <v>0</v>
      </c>
      <c r="P2609" s="93">
        <f t="shared" si="1488"/>
        <v>0</v>
      </c>
      <c r="Q2609" s="94"/>
      <c r="R2609" s="92">
        <f t="shared" si="1489"/>
        <v>0</v>
      </c>
      <c r="S2609" s="92">
        <f t="shared" si="1492"/>
        <v>0</v>
      </c>
      <c r="T2609" s="93">
        <f t="shared" si="1490"/>
        <v>0</v>
      </c>
      <c r="U2609" s="95">
        <f t="shared" si="1491"/>
        <v>0</v>
      </c>
      <c r="V2609" s="94"/>
      <c r="X2609" s="580" t="str">
        <f t="shared" si="1481"/>
        <v/>
      </c>
      <c r="Y2609" s="580" t="str">
        <f t="shared" si="1483"/>
        <v/>
      </c>
      <c r="Z2609" s="684" t="str">
        <f t="shared" si="1495"/>
        <v/>
      </c>
    </row>
    <row r="2610" spans="1:30" ht="13.5" hidden="1" thickBot="1" x14ac:dyDescent="0.25">
      <c r="A2610" s="602" t="s">
        <v>187</v>
      </c>
      <c r="B2610" s="1015" t="s">
        <v>187</v>
      </c>
      <c r="C2610" s="1016" t="s">
        <v>187</v>
      </c>
      <c r="D2610" s="616"/>
      <c r="E2610" s="609"/>
      <c r="F2610" s="677"/>
      <c r="G2610" s="610"/>
      <c r="H2610" s="683"/>
      <c r="I2610" s="612"/>
      <c r="J2610" s="613"/>
      <c r="K2610" s="617">
        <f t="shared" si="1486"/>
        <v>0</v>
      </c>
      <c r="L2610" s="615" t="s">
        <v>783</v>
      </c>
      <c r="M2610" s="92"/>
      <c r="N2610" s="92"/>
      <c r="O2610" s="93">
        <f t="shared" si="1493"/>
        <v>0</v>
      </c>
      <c r="P2610" s="93">
        <f t="shared" si="1488"/>
        <v>0</v>
      </c>
      <c r="Q2610" s="94"/>
      <c r="R2610" s="92">
        <f t="shared" si="1489"/>
        <v>0</v>
      </c>
      <c r="S2610" s="92">
        <f t="shared" si="1492"/>
        <v>0</v>
      </c>
      <c r="T2610" s="93">
        <f t="shared" si="1490"/>
        <v>0</v>
      </c>
      <c r="U2610" s="95">
        <f t="shared" si="1491"/>
        <v>0</v>
      </c>
      <c r="V2610" s="94"/>
      <c r="X2610" s="580" t="str">
        <f t="shared" si="1481"/>
        <v/>
      </c>
      <c r="Y2610" s="580" t="str">
        <f t="shared" si="1483"/>
        <v/>
      </c>
      <c r="Z2610" s="684" t="str">
        <f t="shared" si="1495"/>
        <v/>
      </c>
    </row>
    <row r="2611" spans="1:30" ht="51.75" thickBot="1" x14ac:dyDescent="0.25">
      <c r="A2611" s="602" t="s">
        <v>187</v>
      </c>
      <c r="B2611" s="1124" t="s">
        <v>764</v>
      </c>
      <c r="C2611" s="1125"/>
      <c r="D2611" s="1155" t="s">
        <v>2228</v>
      </c>
      <c r="E2611" s="1156"/>
      <c r="F2611" s="679"/>
      <c r="G2611" s="574"/>
      <c r="H2611" s="575"/>
      <c r="I2611" s="576"/>
      <c r="J2611" s="576"/>
      <c r="K2611" s="576"/>
      <c r="L2611" s="576" t="s">
        <v>783</v>
      </c>
      <c r="M2611" s="575"/>
      <c r="N2611" s="576"/>
      <c r="O2611" s="576"/>
      <c r="P2611" s="577"/>
      <c r="Q2611" s="578">
        <f>SUM(P2612:P2656)</f>
        <v>25460.079999999998</v>
      </c>
      <c r="R2611" s="1103"/>
      <c r="S2611" s="1104"/>
      <c r="T2611" s="1104"/>
      <c r="U2611" s="1105"/>
      <c r="V2611" s="1106">
        <f>SUM(U2612:U2656)</f>
        <v>28772.620000000003</v>
      </c>
      <c r="W2611" s="579" t="str">
        <f>IF(OR(Q2611&gt;0,V2611&gt;0),"X","")</f>
        <v>X</v>
      </c>
      <c r="X2611" s="580" t="str">
        <f t="shared" si="1481"/>
        <v>x</v>
      </c>
      <c r="Y2611" s="580" t="str">
        <f t="shared" si="1483"/>
        <v>x</v>
      </c>
      <c r="Z2611" s="580" t="str">
        <f t="shared" si="1495"/>
        <v>x</v>
      </c>
    </row>
    <row r="2612" spans="1:30" s="97" customFormat="1" ht="25.5" hidden="1" x14ac:dyDescent="0.2">
      <c r="A2612" s="602" t="s">
        <v>187</v>
      </c>
      <c r="B2612" s="1031" t="s">
        <v>814</v>
      </c>
      <c r="C2612" s="978" t="s">
        <v>781</v>
      </c>
      <c r="D2612" s="988" t="s">
        <v>765</v>
      </c>
      <c r="E2612" s="985"/>
      <c r="F2612" s="671">
        <v>0</v>
      </c>
      <c r="G2612" s="597">
        <v>0</v>
      </c>
      <c r="H2612" s="924">
        <v>0</v>
      </c>
      <c r="I2612" s="593">
        <v>116.98</v>
      </c>
      <c r="J2612" s="592">
        <f>IF(ISBLANK(I2612),"",SUM(H2612:I2612))</f>
        <v>116.98</v>
      </c>
      <c r="K2612" s="593">
        <f t="shared" ref="K2612:K2624" si="1496">IF(ISBLANK(I2612),0,ROUND(J2612*(1+$F$10)*(1+$F$11*E2612),2))</f>
        <v>142.38</v>
      </c>
      <c r="L2612" s="594" t="s">
        <v>21</v>
      </c>
      <c r="M2612" s="92"/>
      <c r="N2612" s="92"/>
      <c r="O2612" s="93">
        <f t="shared" ref="O2612:O2624" si="1497">IF(ISBLANK(M2612),0,ROUND(K2612*M2612,2))</f>
        <v>0</v>
      </c>
      <c r="P2612" s="93">
        <f t="shared" ref="P2612:P2624" si="1498">IF(ISBLANK(N2612),0,ROUND(M2612*N2612,2))</f>
        <v>0</v>
      </c>
      <c r="Q2612" s="94"/>
      <c r="R2612" s="92">
        <f t="shared" ref="R2612:S2624" si="1499">M2612</f>
        <v>0</v>
      </c>
      <c r="S2612" s="92">
        <f t="shared" si="1499"/>
        <v>0</v>
      </c>
      <c r="T2612" s="93">
        <f t="shared" ref="T2612:T2624" si="1500">IF(ISBLANK(R2612),0,ROUND(K2612*R2612,2))</f>
        <v>0</v>
      </c>
      <c r="U2612" s="95">
        <f t="shared" ref="U2612:U2624" si="1501">IF(ISBLANK(R2612),0,ROUND(R2612*S2612,2))</f>
        <v>0</v>
      </c>
      <c r="V2612" s="94"/>
      <c r="W2612" s="96"/>
      <c r="X2612" s="580" t="str">
        <f t="shared" si="1481"/>
        <v/>
      </c>
      <c r="Y2612" s="580" t="str">
        <f t="shared" si="1483"/>
        <v/>
      </c>
      <c r="Z2612" s="580" t="str">
        <f t="shared" si="1495"/>
        <v/>
      </c>
      <c r="AB2612" s="51"/>
      <c r="AC2612" s="51"/>
      <c r="AD2612" s="51"/>
    </row>
    <row r="2613" spans="1:30" s="97" customFormat="1" ht="25.5" hidden="1" x14ac:dyDescent="0.2">
      <c r="A2613" s="602" t="s">
        <v>187</v>
      </c>
      <c r="B2613" s="1031" t="s">
        <v>814</v>
      </c>
      <c r="C2613" s="978" t="s">
        <v>781</v>
      </c>
      <c r="D2613" s="988" t="s">
        <v>766</v>
      </c>
      <c r="E2613" s="985"/>
      <c r="F2613" s="671">
        <v>0</v>
      </c>
      <c r="G2613" s="597">
        <v>0</v>
      </c>
      <c r="H2613" s="924">
        <v>0</v>
      </c>
      <c r="I2613" s="593">
        <v>116.98</v>
      </c>
      <c r="J2613" s="592">
        <f t="shared" ref="J2613:J2620" si="1502">IF(ISBLANK(I2613),"",SUM(H2613:I2613))</f>
        <v>116.98</v>
      </c>
      <c r="K2613" s="593">
        <f t="shared" si="1496"/>
        <v>142.38</v>
      </c>
      <c r="L2613" s="594" t="s">
        <v>21</v>
      </c>
      <c r="M2613" s="92"/>
      <c r="N2613" s="92"/>
      <c r="O2613" s="93">
        <f t="shared" si="1497"/>
        <v>0</v>
      </c>
      <c r="P2613" s="93">
        <f t="shared" si="1498"/>
        <v>0</v>
      </c>
      <c r="Q2613" s="94"/>
      <c r="R2613" s="92">
        <f t="shared" si="1499"/>
        <v>0</v>
      </c>
      <c r="S2613" s="92">
        <f t="shared" si="1499"/>
        <v>0</v>
      </c>
      <c r="T2613" s="93">
        <f t="shared" si="1500"/>
        <v>0</v>
      </c>
      <c r="U2613" s="95">
        <f t="shared" si="1501"/>
        <v>0</v>
      </c>
      <c r="V2613" s="94"/>
      <c r="W2613" s="96"/>
      <c r="X2613" s="580" t="str">
        <f t="shared" si="1481"/>
        <v/>
      </c>
      <c r="Y2613" s="580" t="str">
        <f t="shared" si="1483"/>
        <v/>
      </c>
      <c r="Z2613" s="580" t="str">
        <f t="shared" si="1495"/>
        <v/>
      </c>
      <c r="AB2613" s="51"/>
      <c r="AC2613" s="51"/>
      <c r="AD2613" s="51"/>
    </row>
    <row r="2614" spans="1:30" s="97" customFormat="1" ht="25.5" x14ac:dyDescent="0.2">
      <c r="A2614" s="602" t="s">
        <v>187</v>
      </c>
      <c r="B2614" s="1107" t="s">
        <v>814</v>
      </c>
      <c r="C2614" s="1108" t="s">
        <v>781</v>
      </c>
      <c r="D2614" s="1115" t="s">
        <v>767</v>
      </c>
      <c r="E2614" s="1157"/>
      <c r="F2614" s="671">
        <v>0</v>
      </c>
      <c r="G2614" s="597"/>
      <c r="H2614" s="924"/>
      <c r="I2614" s="593">
        <v>116.98</v>
      </c>
      <c r="J2614" s="592">
        <f t="shared" si="1502"/>
        <v>116.98</v>
      </c>
      <c r="K2614" s="593">
        <f t="shared" si="1496"/>
        <v>142.38</v>
      </c>
      <c r="L2614" s="594" t="s">
        <v>21</v>
      </c>
      <c r="M2614" s="92">
        <v>16</v>
      </c>
      <c r="N2614" s="92">
        <v>144.86000000000001</v>
      </c>
      <c r="O2614" s="93">
        <f t="shared" si="1497"/>
        <v>2278.08</v>
      </c>
      <c r="P2614" s="93">
        <f t="shared" si="1498"/>
        <v>2317.7600000000002</v>
      </c>
      <c r="Q2614" s="94"/>
      <c r="R2614" s="1111">
        <f t="shared" si="1499"/>
        <v>16</v>
      </c>
      <c r="S2614" s="1111">
        <f>K2614</f>
        <v>142.38</v>
      </c>
      <c r="T2614" s="1112">
        <f t="shared" si="1500"/>
        <v>2278.08</v>
      </c>
      <c r="U2614" s="1113">
        <f t="shared" si="1501"/>
        <v>2278.08</v>
      </c>
      <c r="V2614" s="1114"/>
      <c r="W2614" s="96"/>
      <c r="X2614" s="580" t="str">
        <f t="shared" si="1481"/>
        <v>x</v>
      </c>
      <c r="Y2614" s="580" t="str">
        <f t="shared" si="1483"/>
        <v>x</v>
      </c>
      <c r="Z2614" s="580" t="str">
        <f t="shared" si="1495"/>
        <v>x</v>
      </c>
      <c r="AB2614" s="51"/>
      <c r="AC2614" s="51"/>
      <c r="AD2614" s="51"/>
    </row>
    <row r="2615" spans="1:30" s="97" customFormat="1" ht="25.5" x14ac:dyDescent="0.2">
      <c r="A2615" s="602" t="s">
        <v>187</v>
      </c>
      <c r="B2615" s="1107" t="s">
        <v>814</v>
      </c>
      <c r="C2615" s="1108" t="s">
        <v>781</v>
      </c>
      <c r="D2615" s="1115" t="s">
        <v>768</v>
      </c>
      <c r="E2615" s="1157"/>
      <c r="F2615" s="671">
        <v>0</v>
      </c>
      <c r="G2615" s="597"/>
      <c r="H2615" s="924"/>
      <c r="I2615" s="593">
        <v>116.98</v>
      </c>
      <c r="J2615" s="592">
        <f t="shared" si="1502"/>
        <v>116.98</v>
      </c>
      <c r="K2615" s="593">
        <f t="shared" si="1496"/>
        <v>142.38</v>
      </c>
      <c r="L2615" s="594" t="s">
        <v>21</v>
      </c>
      <c r="M2615" s="92">
        <v>32</v>
      </c>
      <c r="N2615" s="92">
        <v>144.86000000000001</v>
      </c>
      <c r="O2615" s="93">
        <f t="shared" si="1497"/>
        <v>4556.16</v>
      </c>
      <c r="P2615" s="93">
        <f t="shared" si="1498"/>
        <v>4635.5200000000004</v>
      </c>
      <c r="Q2615" s="94"/>
      <c r="R2615" s="1111">
        <f t="shared" si="1499"/>
        <v>32</v>
      </c>
      <c r="S2615" s="1111">
        <f>K2615</f>
        <v>142.38</v>
      </c>
      <c r="T2615" s="1112">
        <f t="shared" si="1500"/>
        <v>4556.16</v>
      </c>
      <c r="U2615" s="1113">
        <f t="shared" si="1501"/>
        <v>4556.16</v>
      </c>
      <c r="V2615" s="1114"/>
      <c r="W2615" s="96"/>
      <c r="X2615" s="580" t="str">
        <f t="shared" si="1481"/>
        <v>x</v>
      </c>
      <c r="Y2615" s="580" t="str">
        <f t="shared" si="1483"/>
        <v>x</v>
      </c>
      <c r="Z2615" s="580" t="str">
        <f t="shared" si="1495"/>
        <v>x</v>
      </c>
      <c r="AB2615" s="51"/>
      <c r="AC2615" s="51"/>
      <c r="AD2615" s="51"/>
    </row>
    <row r="2616" spans="1:30" s="97" customFormat="1" x14ac:dyDescent="0.2">
      <c r="A2616" s="602" t="s">
        <v>187</v>
      </c>
      <c r="B2616" s="1107" t="s">
        <v>815</v>
      </c>
      <c r="C2616" s="1108" t="s">
        <v>781</v>
      </c>
      <c r="D2616" s="1115" t="s">
        <v>769</v>
      </c>
      <c r="E2616" s="1157"/>
      <c r="F2616" s="671"/>
      <c r="G2616" s="597"/>
      <c r="H2616" s="924"/>
      <c r="I2616" s="593">
        <v>119.27</v>
      </c>
      <c r="J2616" s="592">
        <f t="shared" si="1502"/>
        <v>119.27</v>
      </c>
      <c r="K2616" s="593">
        <f t="shared" si="1496"/>
        <v>145.16</v>
      </c>
      <c r="L2616" s="594" t="s">
        <v>21</v>
      </c>
      <c r="M2616" s="1092"/>
      <c r="N2616" s="1092">
        <v>145.16</v>
      </c>
      <c r="O2616" s="1096">
        <f t="shared" si="1497"/>
        <v>0</v>
      </c>
      <c r="P2616" s="1096">
        <f t="shared" si="1498"/>
        <v>0</v>
      </c>
      <c r="Q2616" s="94"/>
      <c r="R2616" s="1111">
        <v>32</v>
      </c>
      <c r="S2616" s="1111">
        <f t="shared" si="1499"/>
        <v>145.16</v>
      </c>
      <c r="T2616" s="1112">
        <f t="shared" si="1500"/>
        <v>4645.12</v>
      </c>
      <c r="U2616" s="1113">
        <f t="shared" si="1501"/>
        <v>4645.12</v>
      </c>
      <c r="V2616" s="1114"/>
      <c r="W2616" s="96"/>
      <c r="X2616" s="580" t="str">
        <f t="shared" si="1481"/>
        <v>x</v>
      </c>
      <c r="Y2616" s="580" t="str">
        <f t="shared" si="1483"/>
        <v>x</v>
      </c>
      <c r="Z2616" s="580" t="str">
        <f t="shared" si="1495"/>
        <v>x</v>
      </c>
      <c r="AB2616" s="51"/>
      <c r="AC2616" s="51"/>
      <c r="AD2616" s="51"/>
    </row>
    <row r="2617" spans="1:30" s="97" customFormat="1" hidden="1" x14ac:dyDescent="0.2">
      <c r="A2617" s="602" t="s">
        <v>187</v>
      </c>
      <c r="B2617" s="1031" t="s">
        <v>770</v>
      </c>
      <c r="C2617" s="978" t="s">
        <v>816</v>
      </c>
      <c r="D2617" s="989" t="s">
        <v>771</v>
      </c>
      <c r="E2617" s="985"/>
      <c r="F2617" s="671"/>
      <c r="G2617" s="597"/>
      <c r="H2617" s="924"/>
      <c r="I2617" s="593">
        <v>78.64</v>
      </c>
      <c r="J2617" s="592">
        <f t="shared" si="1502"/>
        <v>78.64</v>
      </c>
      <c r="K2617" s="593">
        <f t="shared" si="1496"/>
        <v>95.71</v>
      </c>
      <c r="L2617" s="594" t="s">
        <v>21</v>
      </c>
      <c r="M2617" s="92"/>
      <c r="N2617" s="92"/>
      <c r="O2617" s="93">
        <f t="shared" si="1497"/>
        <v>0</v>
      </c>
      <c r="P2617" s="93">
        <f t="shared" si="1498"/>
        <v>0</v>
      </c>
      <c r="Q2617" s="94"/>
      <c r="R2617" s="92">
        <f t="shared" si="1499"/>
        <v>0</v>
      </c>
      <c r="S2617" s="92">
        <f t="shared" si="1499"/>
        <v>0</v>
      </c>
      <c r="T2617" s="93">
        <f t="shared" si="1500"/>
        <v>0</v>
      </c>
      <c r="U2617" s="95">
        <f t="shared" si="1501"/>
        <v>0</v>
      </c>
      <c r="V2617" s="94"/>
      <c r="W2617" s="96"/>
      <c r="X2617" s="580" t="str">
        <f t="shared" si="1481"/>
        <v/>
      </c>
      <c r="Y2617" s="580" t="str">
        <f t="shared" si="1483"/>
        <v/>
      </c>
      <c r="Z2617" s="580" t="str">
        <f t="shared" si="1495"/>
        <v/>
      </c>
      <c r="AB2617" s="51"/>
      <c r="AC2617" s="51"/>
      <c r="AD2617" s="51"/>
    </row>
    <row r="2618" spans="1:30" s="97" customFormat="1" hidden="1" x14ac:dyDescent="0.2">
      <c r="A2618" s="602" t="s">
        <v>187</v>
      </c>
      <c r="B2618" s="1031" t="s">
        <v>772</v>
      </c>
      <c r="C2618" s="978" t="s">
        <v>816</v>
      </c>
      <c r="D2618" s="989" t="s">
        <v>773</v>
      </c>
      <c r="E2618" s="985"/>
      <c r="F2618" s="671"/>
      <c r="G2618" s="597"/>
      <c r="H2618" s="924"/>
      <c r="I2618" s="593">
        <v>46.05</v>
      </c>
      <c r="J2618" s="592">
        <f t="shared" si="1502"/>
        <v>46.05</v>
      </c>
      <c r="K2618" s="593">
        <f t="shared" si="1496"/>
        <v>56.05</v>
      </c>
      <c r="L2618" s="594" t="s">
        <v>21</v>
      </c>
      <c r="M2618" s="1092">
        <v>16</v>
      </c>
      <c r="N2618" s="1092">
        <v>57.02</v>
      </c>
      <c r="O2618" s="1096">
        <f t="shared" si="1497"/>
        <v>896.8</v>
      </c>
      <c r="P2618" s="1096">
        <f t="shared" si="1498"/>
        <v>912.32</v>
      </c>
      <c r="Q2618" s="94"/>
      <c r="R2618" s="1092"/>
      <c r="S2618" s="1092">
        <f t="shared" si="1499"/>
        <v>57.02</v>
      </c>
      <c r="T2618" s="1096">
        <f t="shared" si="1500"/>
        <v>0</v>
      </c>
      <c r="U2618" s="1097">
        <f t="shared" si="1501"/>
        <v>0</v>
      </c>
      <c r="V2618" s="94"/>
      <c r="W2618" s="96"/>
      <c r="X2618" s="580" t="str">
        <f t="shared" si="1481"/>
        <v>x</v>
      </c>
      <c r="Y2618" s="580" t="str">
        <f t="shared" si="1483"/>
        <v/>
      </c>
      <c r="Z2618" s="580" t="str">
        <f t="shared" si="1495"/>
        <v/>
      </c>
      <c r="AB2618" s="51"/>
      <c r="AC2618" s="51"/>
      <c r="AD2618" s="51"/>
    </row>
    <row r="2619" spans="1:30" s="97" customFormat="1" x14ac:dyDescent="0.2">
      <c r="A2619" s="602" t="s">
        <v>187</v>
      </c>
      <c r="B2619" s="1107" t="s">
        <v>887</v>
      </c>
      <c r="C2619" s="1108" t="s">
        <v>781</v>
      </c>
      <c r="D2619" s="1158" t="s">
        <v>774</v>
      </c>
      <c r="E2619" s="1157"/>
      <c r="F2619" s="671"/>
      <c r="G2619" s="597"/>
      <c r="H2619" s="924"/>
      <c r="I2619" s="593">
        <v>141.66</v>
      </c>
      <c r="J2619" s="592">
        <f t="shared" si="1502"/>
        <v>141.66</v>
      </c>
      <c r="K2619" s="593">
        <f t="shared" si="1496"/>
        <v>172.41</v>
      </c>
      <c r="L2619" s="594" t="s">
        <v>21</v>
      </c>
      <c r="M2619" s="92">
        <v>16</v>
      </c>
      <c r="N2619" s="92">
        <v>175.42</v>
      </c>
      <c r="O2619" s="93">
        <f t="shared" si="1497"/>
        <v>2758.56</v>
      </c>
      <c r="P2619" s="93">
        <f t="shared" si="1498"/>
        <v>2806.72</v>
      </c>
      <c r="Q2619" s="94"/>
      <c r="R2619" s="1111">
        <f t="shared" si="1499"/>
        <v>16</v>
      </c>
      <c r="S2619" s="1111">
        <f t="shared" ref="S2619:S2624" si="1503">K2619</f>
        <v>172.41</v>
      </c>
      <c r="T2619" s="1112">
        <f t="shared" si="1500"/>
        <v>2758.56</v>
      </c>
      <c r="U2619" s="1113">
        <f t="shared" si="1501"/>
        <v>2758.56</v>
      </c>
      <c r="V2619" s="1114"/>
      <c r="W2619" s="96"/>
      <c r="X2619" s="580" t="str">
        <f t="shared" si="1481"/>
        <v>x</v>
      </c>
      <c r="Y2619" s="580" t="str">
        <f t="shared" si="1483"/>
        <v>x</v>
      </c>
      <c r="Z2619" s="580" t="str">
        <f t="shared" si="1495"/>
        <v>x</v>
      </c>
      <c r="AB2619" s="51"/>
      <c r="AC2619" s="51"/>
      <c r="AD2619" s="51"/>
    </row>
    <row r="2620" spans="1:30" s="97" customFormat="1" x14ac:dyDescent="0.2">
      <c r="A2620" s="602" t="s">
        <v>187</v>
      </c>
      <c r="B2620" s="1107" t="s">
        <v>775</v>
      </c>
      <c r="C2620" s="1108" t="s">
        <v>816</v>
      </c>
      <c r="D2620" s="1115" t="s">
        <v>776</v>
      </c>
      <c r="E2620" s="1157"/>
      <c r="F2620" s="671"/>
      <c r="G2620" s="597"/>
      <c r="H2620" s="924"/>
      <c r="I2620" s="593">
        <v>82.87</v>
      </c>
      <c r="J2620" s="592">
        <f t="shared" si="1502"/>
        <v>82.87</v>
      </c>
      <c r="K2620" s="593">
        <f t="shared" si="1496"/>
        <v>100.86</v>
      </c>
      <c r="L2620" s="594" t="s">
        <v>21</v>
      </c>
      <c r="M2620" s="92">
        <v>16</v>
      </c>
      <c r="N2620" s="92">
        <v>102.62</v>
      </c>
      <c r="O2620" s="93">
        <f t="shared" si="1497"/>
        <v>1613.76</v>
      </c>
      <c r="P2620" s="93">
        <f t="shared" si="1498"/>
        <v>1641.92</v>
      </c>
      <c r="Q2620" s="94"/>
      <c r="R2620" s="1111">
        <f t="shared" si="1499"/>
        <v>16</v>
      </c>
      <c r="S2620" s="1111">
        <f t="shared" si="1503"/>
        <v>100.86</v>
      </c>
      <c r="T2620" s="1112">
        <f t="shared" si="1500"/>
        <v>1613.76</v>
      </c>
      <c r="U2620" s="1113">
        <f t="shared" si="1501"/>
        <v>1613.76</v>
      </c>
      <c r="V2620" s="1114"/>
      <c r="W2620" s="96"/>
      <c r="X2620" s="580" t="str">
        <f t="shared" si="1481"/>
        <v>x</v>
      </c>
      <c r="Y2620" s="580" t="str">
        <f t="shared" si="1483"/>
        <v>x</v>
      </c>
      <c r="Z2620" s="580" t="str">
        <f t="shared" si="1495"/>
        <v>x</v>
      </c>
      <c r="AB2620" s="51"/>
      <c r="AC2620" s="51"/>
      <c r="AD2620" s="51"/>
    </row>
    <row r="2621" spans="1:30" s="97" customFormat="1" x14ac:dyDescent="0.2">
      <c r="A2621" s="602" t="s">
        <v>187</v>
      </c>
      <c r="B2621" s="1107" t="s">
        <v>777</v>
      </c>
      <c r="C2621" s="1108" t="s">
        <v>816</v>
      </c>
      <c r="D2621" s="1115" t="s">
        <v>778</v>
      </c>
      <c r="E2621" s="1157"/>
      <c r="F2621" s="671"/>
      <c r="G2621" s="597"/>
      <c r="H2621" s="924"/>
      <c r="I2621" s="593">
        <v>67.53</v>
      </c>
      <c r="J2621" s="592">
        <f t="shared" ref="J2621" si="1504">IF(ISBLANK(I2621),"",SUM(H2621:I2621))</f>
        <v>67.53</v>
      </c>
      <c r="K2621" s="593">
        <f t="shared" si="1496"/>
        <v>82.19</v>
      </c>
      <c r="L2621" s="594" t="s">
        <v>21</v>
      </c>
      <c r="M2621" s="92">
        <v>16</v>
      </c>
      <c r="N2621" s="92">
        <v>83.62</v>
      </c>
      <c r="O2621" s="93">
        <f t="shared" si="1497"/>
        <v>1315.04</v>
      </c>
      <c r="P2621" s="93">
        <f t="shared" si="1498"/>
        <v>1337.92</v>
      </c>
      <c r="Q2621" s="94"/>
      <c r="R2621" s="1111">
        <f t="shared" si="1499"/>
        <v>16</v>
      </c>
      <c r="S2621" s="1111">
        <f t="shared" si="1503"/>
        <v>82.19</v>
      </c>
      <c r="T2621" s="1112">
        <f t="shared" si="1500"/>
        <v>1315.04</v>
      </c>
      <c r="U2621" s="1113">
        <f t="shared" si="1501"/>
        <v>1315.04</v>
      </c>
      <c r="V2621" s="1114"/>
      <c r="W2621" s="96"/>
      <c r="X2621" s="580" t="str">
        <f t="shared" ref="X2621" si="1505">IF(W2621="X","x",IF(W2621="xx","x",IF(W2621="xy","x",IF(W2621="y","x",IF(OR(P2621&gt;0,U2621&gt;0),"x","")))))</f>
        <v>x</v>
      </c>
      <c r="Y2621" s="580" t="str">
        <f t="shared" ref="Y2621" si="1506">IF(W2621="X","x",IF(W2621="y","x",IF(W2621="xx","x",IF(U2621&gt;0,"x",""))))</f>
        <v>x</v>
      </c>
      <c r="Z2621" s="580" t="str">
        <f t="shared" ref="Z2621" si="1507">IF(W2621="X","x",IF(U2621&gt;0,"x",""))</f>
        <v>x</v>
      </c>
      <c r="AB2621" s="51"/>
      <c r="AC2621" s="51"/>
      <c r="AD2621" s="51"/>
    </row>
    <row r="2622" spans="1:30" s="97" customFormat="1" x14ac:dyDescent="0.2">
      <c r="A2622" s="602" t="s">
        <v>187</v>
      </c>
      <c r="B2622" s="1107" t="s">
        <v>1097</v>
      </c>
      <c r="C2622" s="1108" t="s">
        <v>816</v>
      </c>
      <c r="D2622" s="1115" t="s">
        <v>2229</v>
      </c>
      <c r="E2622" s="1157"/>
      <c r="F2622" s="671"/>
      <c r="G2622" s="597"/>
      <c r="H2622" s="924"/>
      <c r="I2622" s="593">
        <v>182.39</v>
      </c>
      <c r="J2622" s="592">
        <f t="shared" ref="J2622:J2624" si="1508">IF(ISBLANK(I2622),"",SUM(H2622:I2622))</f>
        <v>182.39</v>
      </c>
      <c r="K2622" s="593">
        <f t="shared" si="1496"/>
        <v>221.99</v>
      </c>
      <c r="L2622" s="594" t="s">
        <v>21</v>
      </c>
      <c r="M2622" s="92">
        <v>16</v>
      </c>
      <c r="N2622" s="92">
        <v>225.85</v>
      </c>
      <c r="O2622" s="93">
        <f t="shared" ref="O2622:O2623" si="1509">IF(ISBLANK(M2622),0,ROUND(K2622*M2622,2))</f>
        <v>3551.84</v>
      </c>
      <c r="P2622" s="93">
        <f t="shared" ref="P2622:P2623" si="1510">IF(ISBLANK(N2622),0,ROUND(M2622*N2622,2))</f>
        <v>3613.6</v>
      </c>
      <c r="Q2622" s="94"/>
      <c r="R2622" s="1111">
        <f t="shared" ref="R2622:R2623" si="1511">M2622</f>
        <v>16</v>
      </c>
      <c r="S2622" s="1111">
        <f t="shared" si="1503"/>
        <v>221.99</v>
      </c>
      <c r="T2622" s="1112">
        <f t="shared" ref="T2622:T2623" si="1512">IF(ISBLANK(R2622),0,ROUND(K2622*R2622,2))</f>
        <v>3551.84</v>
      </c>
      <c r="U2622" s="1113">
        <f t="shared" ref="U2622:U2623" si="1513">IF(ISBLANK(R2622),0,ROUND(R2622*S2622,2))</f>
        <v>3551.84</v>
      </c>
      <c r="V2622" s="1114"/>
      <c r="W2622" s="96"/>
      <c r="X2622" s="580" t="str">
        <f t="shared" si="1481"/>
        <v>x</v>
      </c>
      <c r="Y2622" s="580" t="str">
        <f t="shared" si="1483"/>
        <v>x</v>
      </c>
      <c r="Z2622" s="580" t="str">
        <f t="shared" si="1495"/>
        <v>x</v>
      </c>
      <c r="AB2622" s="51"/>
      <c r="AC2622" s="51"/>
      <c r="AD2622" s="51"/>
    </row>
    <row r="2623" spans="1:30" s="97" customFormat="1" x14ac:dyDescent="0.2">
      <c r="A2623" s="602" t="s">
        <v>187</v>
      </c>
      <c r="B2623" s="1159" t="s">
        <v>818</v>
      </c>
      <c r="C2623" s="1108" t="s">
        <v>781</v>
      </c>
      <c r="D2623" s="1115" t="s">
        <v>2230</v>
      </c>
      <c r="E2623" s="1157"/>
      <c r="F2623" s="671"/>
      <c r="G2623" s="597"/>
      <c r="H2623" s="924"/>
      <c r="I2623" s="593">
        <v>110.45</v>
      </c>
      <c r="J2623" s="592">
        <f t="shared" si="1508"/>
        <v>110.45</v>
      </c>
      <c r="K2623" s="593">
        <f t="shared" si="1496"/>
        <v>134.43</v>
      </c>
      <c r="L2623" s="594" t="s">
        <v>21</v>
      </c>
      <c r="M2623" s="92">
        <v>16</v>
      </c>
      <c r="N2623" s="92">
        <v>136.77000000000001</v>
      </c>
      <c r="O2623" s="93">
        <f t="shared" si="1509"/>
        <v>2150.88</v>
      </c>
      <c r="P2623" s="93">
        <f t="shared" si="1510"/>
        <v>2188.3200000000002</v>
      </c>
      <c r="Q2623" s="94"/>
      <c r="R2623" s="1111">
        <f t="shared" si="1511"/>
        <v>16</v>
      </c>
      <c r="S2623" s="1111">
        <f t="shared" si="1503"/>
        <v>134.43</v>
      </c>
      <c r="T2623" s="1112">
        <f t="shared" si="1512"/>
        <v>2150.88</v>
      </c>
      <c r="U2623" s="1113">
        <f t="shared" si="1513"/>
        <v>2150.88</v>
      </c>
      <c r="V2623" s="1114"/>
      <c r="W2623" s="96"/>
      <c r="X2623" s="580" t="str">
        <f t="shared" si="1481"/>
        <v>x</v>
      </c>
      <c r="Y2623" s="580" t="str">
        <f t="shared" si="1483"/>
        <v>x</v>
      </c>
      <c r="Z2623" s="580" t="str">
        <f t="shared" si="1495"/>
        <v>x</v>
      </c>
      <c r="AB2623" s="51"/>
      <c r="AC2623" s="51"/>
      <c r="AD2623" s="51"/>
    </row>
    <row r="2624" spans="1:30" s="97" customFormat="1" ht="26.25" thickBot="1" x14ac:dyDescent="0.25">
      <c r="A2624" s="602" t="s">
        <v>187</v>
      </c>
      <c r="B2624" s="1107" t="s">
        <v>817</v>
      </c>
      <c r="C2624" s="1108" t="s">
        <v>781</v>
      </c>
      <c r="D2624" s="1115" t="s">
        <v>2231</v>
      </c>
      <c r="E2624" s="1157"/>
      <c r="F2624" s="671"/>
      <c r="G2624" s="597"/>
      <c r="H2624" s="925"/>
      <c r="I2624" s="593">
        <v>4850.2</v>
      </c>
      <c r="J2624" s="592">
        <f t="shared" si="1508"/>
        <v>4850.2</v>
      </c>
      <c r="K2624" s="593">
        <f t="shared" si="1496"/>
        <v>5903.18</v>
      </c>
      <c r="L2624" s="594" t="s">
        <v>780</v>
      </c>
      <c r="M2624" s="92">
        <v>1</v>
      </c>
      <c r="N2624" s="92">
        <v>6006</v>
      </c>
      <c r="O2624" s="93">
        <f t="shared" si="1497"/>
        <v>5903.18</v>
      </c>
      <c r="P2624" s="93">
        <f t="shared" si="1498"/>
        <v>6006</v>
      </c>
      <c r="Q2624" s="94"/>
      <c r="R2624" s="1111">
        <f t="shared" si="1499"/>
        <v>1</v>
      </c>
      <c r="S2624" s="1111">
        <f t="shared" si="1503"/>
        <v>5903.18</v>
      </c>
      <c r="T2624" s="1112">
        <f t="shared" si="1500"/>
        <v>5903.18</v>
      </c>
      <c r="U2624" s="1113">
        <f t="shared" si="1501"/>
        <v>5903.18</v>
      </c>
      <c r="V2624" s="1114"/>
      <c r="W2624" s="96"/>
      <c r="X2624" s="580" t="str">
        <f t="shared" si="1481"/>
        <v>x</v>
      </c>
      <c r="Y2624" s="580" t="str">
        <f t="shared" si="1483"/>
        <v>x</v>
      </c>
      <c r="Z2624" s="580" t="str">
        <f t="shared" si="1495"/>
        <v>x</v>
      </c>
      <c r="AB2624" s="51"/>
      <c r="AC2624" s="51"/>
      <c r="AD2624" s="51"/>
    </row>
    <row r="2625" spans="1:26" ht="13.5" hidden="1" thickBot="1" x14ac:dyDescent="0.25">
      <c r="A2625" s="602" t="s">
        <v>187</v>
      </c>
      <c r="B2625" s="1013" t="s">
        <v>187</v>
      </c>
      <c r="C2625" s="1014"/>
      <c r="D2625" s="987" t="s">
        <v>779</v>
      </c>
      <c r="E2625" s="986"/>
      <c r="F2625" s="676"/>
      <c r="G2625" s="604"/>
      <c r="H2625" s="606"/>
      <c r="I2625" s="605"/>
      <c r="J2625" s="605"/>
      <c r="K2625" s="605"/>
      <c r="L2625" s="605" t="s">
        <v>783</v>
      </c>
      <c r="M2625" s="606"/>
      <c r="N2625" s="605"/>
      <c r="O2625" s="605"/>
      <c r="P2625" s="607"/>
      <c r="Q2625" s="94"/>
      <c r="R2625" s="606"/>
      <c r="S2625" s="605"/>
      <c r="T2625" s="605"/>
      <c r="U2625" s="607"/>
      <c r="V2625" s="94"/>
      <c r="W2625" s="579" t="str">
        <f>IF(OR(SUM(P2626:P2656)&gt;0,SUM(U2626:U2656)&gt;0),"y","")</f>
        <v/>
      </c>
      <c r="X2625" s="580" t="str">
        <f t="shared" si="1481"/>
        <v/>
      </c>
      <c r="Y2625" s="580" t="str">
        <f t="shared" si="1483"/>
        <v/>
      </c>
      <c r="Z2625" s="580" t="str">
        <f t="shared" si="1495"/>
        <v/>
      </c>
    </row>
    <row r="2626" spans="1:26" ht="13.5" hidden="1" thickBot="1" x14ac:dyDescent="0.25">
      <c r="A2626" s="602" t="s">
        <v>187</v>
      </c>
      <c r="B2626" s="1015" t="s">
        <v>187</v>
      </c>
      <c r="C2626" s="1016" t="s">
        <v>187</v>
      </c>
      <c r="D2626" s="608"/>
      <c r="E2626" s="609"/>
      <c r="F2626" s="677"/>
      <c r="G2626" s="610"/>
      <c r="H2626" s="683"/>
      <c r="I2626" s="612"/>
      <c r="J2626" s="613"/>
      <c r="K2626" s="614">
        <f>IF(ISBLANK(J2626),0,ROUND(J2626*(1+$F$10)*(1+$F$11*E2626),2))</f>
        <v>0</v>
      </c>
      <c r="L2626" s="615" t="s">
        <v>783</v>
      </c>
      <c r="M2626" s="599"/>
      <c r="N2626" s="599"/>
      <c r="O2626" s="93">
        <f t="shared" ref="O2626" si="1514">IF(ISBLANK(M2626),0,ROUND(K2626*M2626,2))</f>
        <v>0</v>
      </c>
      <c r="P2626" s="95">
        <f t="shared" ref="P2626:P2656" si="1515">IF(ISBLANK(N2626),0,ROUND(M2626*N2626,2))</f>
        <v>0</v>
      </c>
      <c r="Q2626" s="94"/>
      <c r="R2626" s="598">
        <f t="shared" ref="R2626:R2656" si="1516">M2626</f>
        <v>0</v>
      </c>
      <c r="S2626" s="599">
        <f t="shared" ref="S2626:S2656" si="1517">N2626</f>
        <v>0</v>
      </c>
      <c r="T2626" s="93">
        <f t="shared" ref="T2626:T2656" si="1518">IF(ISBLANK(R2626),0,ROUND(K2626*R2626,2))</f>
        <v>0</v>
      </c>
      <c r="U2626" s="95">
        <f t="shared" ref="U2626:U2656" si="1519">IF(ISBLANK(R2626),0,ROUND(R2626*S2626,2))</f>
        <v>0</v>
      </c>
      <c r="V2626" s="94"/>
      <c r="X2626" s="580" t="str">
        <f t="shared" si="1481"/>
        <v/>
      </c>
      <c r="Y2626" s="580" t="str">
        <f t="shared" si="1483"/>
        <v/>
      </c>
      <c r="Z2626" s="580" t="str">
        <f t="shared" si="1495"/>
        <v/>
      </c>
    </row>
    <row r="2627" spans="1:26" ht="13.5" hidden="1" thickBot="1" x14ac:dyDescent="0.25">
      <c r="A2627" s="602" t="s">
        <v>187</v>
      </c>
      <c r="B2627" s="1015" t="s">
        <v>187</v>
      </c>
      <c r="C2627" s="1016"/>
      <c r="D2627" s="616"/>
      <c r="E2627" s="609"/>
      <c r="F2627" s="677"/>
      <c r="G2627" s="610"/>
      <c r="H2627" s="683"/>
      <c r="I2627" s="612"/>
      <c r="J2627" s="613"/>
      <c r="K2627" s="617">
        <f>IF(ISBLANK(I2627),0,ROUND(J2627*(1+$F$10)*(1+$F$11*E2627),2))</f>
        <v>0</v>
      </c>
      <c r="L2627" s="615" t="s">
        <v>783</v>
      </c>
      <c r="M2627" s="92"/>
      <c r="N2627" s="92"/>
      <c r="O2627" s="93">
        <f>IF(ISBLANK(M2627),0,ROUND(K2627*M2627,2))</f>
        <v>0</v>
      </c>
      <c r="P2627" s="93">
        <f t="shared" si="1515"/>
        <v>0</v>
      </c>
      <c r="Q2627" s="94"/>
      <c r="R2627" s="92">
        <f t="shared" si="1516"/>
        <v>0</v>
      </c>
      <c r="S2627" s="92">
        <f t="shared" si="1517"/>
        <v>0</v>
      </c>
      <c r="T2627" s="93">
        <f t="shared" si="1518"/>
        <v>0</v>
      </c>
      <c r="U2627" s="618">
        <f t="shared" si="1519"/>
        <v>0</v>
      </c>
      <c r="V2627" s="94"/>
      <c r="X2627" s="580" t="str">
        <f t="shared" si="1481"/>
        <v/>
      </c>
      <c r="Y2627" s="580" t="str">
        <f t="shared" si="1483"/>
        <v/>
      </c>
      <c r="Z2627" s="580" t="str">
        <f t="shared" si="1495"/>
        <v/>
      </c>
    </row>
    <row r="2628" spans="1:26" ht="13.5" hidden="1" thickBot="1" x14ac:dyDescent="0.25">
      <c r="A2628" s="602" t="s">
        <v>187</v>
      </c>
      <c r="B2628" s="1015" t="s">
        <v>187</v>
      </c>
      <c r="C2628" s="1016" t="s">
        <v>187</v>
      </c>
      <c r="D2628" s="616"/>
      <c r="E2628" s="609"/>
      <c r="F2628" s="677"/>
      <c r="G2628" s="610"/>
      <c r="H2628" s="683"/>
      <c r="I2628" s="612"/>
      <c r="J2628" s="613"/>
      <c r="K2628" s="617">
        <f t="shared" ref="K2628:K2656" si="1520">IF(ISBLANK(J2628),0,ROUND(J2628*(1+$F$10)*(1+$F$11*E2628),2))</f>
        <v>0</v>
      </c>
      <c r="L2628" s="615" t="s">
        <v>783</v>
      </c>
      <c r="M2628" s="92"/>
      <c r="N2628" s="92"/>
      <c r="O2628" s="93">
        <f t="shared" ref="O2628:O2656" si="1521">IF(ISBLANK(M2628),0,ROUND(K2628*M2628,2))</f>
        <v>0</v>
      </c>
      <c r="P2628" s="93">
        <f t="shared" si="1515"/>
        <v>0</v>
      </c>
      <c r="Q2628" s="94"/>
      <c r="R2628" s="92">
        <f t="shared" si="1516"/>
        <v>0</v>
      </c>
      <c r="S2628" s="92">
        <f t="shared" si="1517"/>
        <v>0</v>
      </c>
      <c r="T2628" s="93">
        <f t="shared" si="1518"/>
        <v>0</v>
      </c>
      <c r="U2628" s="95">
        <f t="shared" si="1519"/>
        <v>0</v>
      </c>
      <c r="V2628" s="94"/>
      <c r="X2628" s="580" t="str">
        <f t="shared" si="1481"/>
        <v/>
      </c>
      <c r="Y2628" s="580" t="str">
        <f t="shared" si="1483"/>
        <v/>
      </c>
      <c r="Z2628" s="580" t="str">
        <f t="shared" si="1495"/>
        <v/>
      </c>
    </row>
    <row r="2629" spans="1:26" ht="13.5" hidden="1" thickBot="1" x14ac:dyDescent="0.25">
      <c r="A2629" s="602" t="s">
        <v>187</v>
      </c>
      <c r="B2629" s="1015" t="s">
        <v>187</v>
      </c>
      <c r="C2629" s="1016" t="s">
        <v>187</v>
      </c>
      <c r="D2629" s="616"/>
      <c r="E2629" s="609"/>
      <c r="F2629" s="677"/>
      <c r="G2629" s="610"/>
      <c r="H2629" s="683"/>
      <c r="I2629" s="612"/>
      <c r="J2629" s="613"/>
      <c r="K2629" s="617">
        <f t="shared" si="1520"/>
        <v>0</v>
      </c>
      <c r="L2629" s="615" t="s">
        <v>783</v>
      </c>
      <c r="M2629" s="92"/>
      <c r="N2629" s="92"/>
      <c r="O2629" s="93">
        <f t="shared" si="1521"/>
        <v>0</v>
      </c>
      <c r="P2629" s="93">
        <f t="shared" si="1515"/>
        <v>0</v>
      </c>
      <c r="Q2629" s="94"/>
      <c r="R2629" s="92">
        <f t="shared" si="1516"/>
        <v>0</v>
      </c>
      <c r="S2629" s="92">
        <f t="shared" si="1517"/>
        <v>0</v>
      </c>
      <c r="T2629" s="93">
        <f t="shared" si="1518"/>
        <v>0</v>
      </c>
      <c r="U2629" s="95">
        <f t="shared" si="1519"/>
        <v>0</v>
      </c>
      <c r="V2629" s="94"/>
      <c r="X2629" s="580" t="str">
        <f t="shared" si="1481"/>
        <v/>
      </c>
      <c r="Y2629" s="580" t="str">
        <f t="shared" si="1483"/>
        <v/>
      </c>
      <c r="Z2629" s="580" t="str">
        <f t="shared" si="1495"/>
        <v/>
      </c>
    </row>
    <row r="2630" spans="1:26" ht="13.5" hidden="1" thickBot="1" x14ac:dyDescent="0.25">
      <c r="A2630" s="602" t="s">
        <v>187</v>
      </c>
      <c r="B2630" s="1015" t="s">
        <v>187</v>
      </c>
      <c r="C2630" s="1016" t="s">
        <v>187</v>
      </c>
      <c r="D2630" s="616"/>
      <c r="E2630" s="609"/>
      <c r="F2630" s="677"/>
      <c r="G2630" s="610"/>
      <c r="H2630" s="683"/>
      <c r="I2630" s="612"/>
      <c r="J2630" s="613"/>
      <c r="K2630" s="617">
        <f t="shared" si="1520"/>
        <v>0</v>
      </c>
      <c r="L2630" s="615" t="s">
        <v>783</v>
      </c>
      <c r="M2630" s="92"/>
      <c r="N2630" s="92"/>
      <c r="O2630" s="93">
        <f t="shared" si="1521"/>
        <v>0</v>
      </c>
      <c r="P2630" s="93">
        <f t="shared" si="1515"/>
        <v>0</v>
      </c>
      <c r="Q2630" s="94"/>
      <c r="R2630" s="92">
        <f t="shared" si="1516"/>
        <v>0</v>
      </c>
      <c r="S2630" s="92">
        <f t="shared" si="1517"/>
        <v>0</v>
      </c>
      <c r="T2630" s="93">
        <f t="shared" si="1518"/>
        <v>0</v>
      </c>
      <c r="U2630" s="95">
        <f t="shared" si="1519"/>
        <v>0</v>
      </c>
      <c r="V2630" s="94"/>
      <c r="X2630" s="580" t="str">
        <f t="shared" si="1481"/>
        <v/>
      </c>
      <c r="Y2630" s="580" t="str">
        <f t="shared" si="1483"/>
        <v/>
      </c>
      <c r="Z2630" s="580" t="str">
        <f t="shared" si="1495"/>
        <v/>
      </c>
    </row>
    <row r="2631" spans="1:26" ht="13.5" hidden="1" thickBot="1" x14ac:dyDescent="0.25">
      <c r="A2631" s="602" t="s">
        <v>187</v>
      </c>
      <c r="B2631" s="1015" t="s">
        <v>187</v>
      </c>
      <c r="C2631" s="1016" t="s">
        <v>187</v>
      </c>
      <c r="D2631" s="616"/>
      <c r="E2631" s="609"/>
      <c r="F2631" s="677"/>
      <c r="G2631" s="610"/>
      <c r="H2631" s="683"/>
      <c r="I2631" s="612"/>
      <c r="J2631" s="613"/>
      <c r="K2631" s="617">
        <f t="shared" si="1520"/>
        <v>0</v>
      </c>
      <c r="L2631" s="615" t="s">
        <v>783</v>
      </c>
      <c r="M2631" s="92"/>
      <c r="N2631" s="92"/>
      <c r="O2631" s="93">
        <f t="shared" si="1521"/>
        <v>0</v>
      </c>
      <c r="P2631" s="93">
        <f t="shared" si="1515"/>
        <v>0</v>
      </c>
      <c r="Q2631" s="94"/>
      <c r="R2631" s="92">
        <f t="shared" si="1516"/>
        <v>0</v>
      </c>
      <c r="S2631" s="92">
        <f t="shared" si="1517"/>
        <v>0</v>
      </c>
      <c r="T2631" s="93">
        <f t="shared" si="1518"/>
        <v>0</v>
      </c>
      <c r="U2631" s="95">
        <f t="shared" si="1519"/>
        <v>0</v>
      </c>
      <c r="V2631" s="94"/>
      <c r="X2631" s="580" t="str">
        <f t="shared" si="1481"/>
        <v/>
      </c>
      <c r="Y2631" s="580" t="str">
        <f t="shared" si="1483"/>
        <v/>
      </c>
      <c r="Z2631" s="580" t="str">
        <f t="shared" si="1495"/>
        <v/>
      </c>
    </row>
    <row r="2632" spans="1:26" ht="13.5" hidden="1" thickBot="1" x14ac:dyDescent="0.25">
      <c r="A2632" s="602" t="s">
        <v>187</v>
      </c>
      <c r="B2632" s="1015" t="s">
        <v>187</v>
      </c>
      <c r="C2632" s="1016" t="s">
        <v>187</v>
      </c>
      <c r="D2632" s="616"/>
      <c r="E2632" s="609"/>
      <c r="F2632" s="677"/>
      <c r="G2632" s="610"/>
      <c r="H2632" s="683"/>
      <c r="I2632" s="612"/>
      <c r="J2632" s="613"/>
      <c r="K2632" s="617">
        <f t="shared" si="1520"/>
        <v>0</v>
      </c>
      <c r="L2632" s="615" t="s">
        <v>783</v>
      </c>
      <c r="M2632" s="92"/>
      <c r="N2632" s="92"/>
      <c r="O2632" s="93">
        <f t="shared" si="1521"/>
        <v>0</v>
      </c>
      <c r="P2632" s="93">
        <f t="shared" si="1515"/>
        <v>0</v>
      </c>
      <c r="Q2632" s="94"/>
      <c r="R2632" s="92">
        <f t="shared" si="1516"/>
        <v>0</v>
      </c>
      <c r="S2632" s="92">
        <f t="shared" si="1517"/>
        <v>0</v>
      </c>
      <c r="T2632" s="93">
        <f t="shared" si="1518"/>
        <v>0</v>
      </c>
      <c r="U2632" s="95">
        <f t="shared" si="1519"/>
        <v>0</v>
      </c>
      <c r="V2632" s="94"/>
      <c r="X2632" s="580" t="str">
        <f t="shared" si="1481"/>
        <v/>
      </c>
      <c r="Y2632" s="580" t="str">
        <f t="shared" si="1483"/>
        <v/>
      </c>
      <c r="Z2632" s="580" t="str">
        <f t="shared" si="1495"/>
        <v/>
      </c>
    </row>
    <row r="2633" spans="1:26" ht="13.5" hidden="1" thickBot="1" x14ac:dyDescent="0.25">
      <c r="A2633" s="602" t="s">
        <v>187</v>
      </c>
      <c r="B2633" s="1015" t="s">
        <v>187</v>
      </c>
      <c r="C2633" s="1016" t="s">
        <v>187</v>
      </c>
      <c r="D2633" s="616"/>
      <c r="E2633" s="609"/>
      <c r="F2633" s="677"/>
      <c r="G2633" s="610"/>
      <c r="H2633" s="683"/>
      <c r="I2633" s="612"/>
      <c r="J2633" s="613"/>
      <c r="K2633" s="617">
        <f t="shared" si="1520"/>
        <v>0</v>
      </c>
      <c r="L2633" s="615" t="s">
        <v>783</v>
      </c>
      <c r="M2633" s="92"/>
      <c r="N2633" s="92"/>
      <c r="O2633" s="93">
        <f t="shared" si="1521"/>
        <v>0</v>
      </c>
      <c r="P2633" s="93">
        <f t="shared" si="1515"/>
        <v>0</v>
      </c>
      <c r="Q2633" s="94"/>
      <c r="R2633" s="92">
        <f t="shared" si="1516"/>
        <v>0</v>
      </c>
      <c r="S2633" s="92">
        <f t="shared" si="1517"/>
        <v>0</v>
      </c>
      <c r="T2633" s="93">
        <f t="shared" si="1518"/>
        <v>0</v>
      </c>
      <c r="U2633" s="95">
        <f t="shared" si="1519"/>
        <v>0</v>
      </c>
      <c r="V2633" s="94"/>
      <c r="X2633" s="580" t="str">
        <f t="shared" si="1481"/>
        <v/>
      </c>
      <c r="Y2633" s="580" t="str">
        <f t="shared" si="1483"/>
        <v/>
      </c>
      <c r="Z2633" s="580" t="str">
        <f t="shared" si="1495"/>
        <v/>
      </c>
    </row>
    <row r="2634" spans="1:26" ht="13.5" hidden="1" thickBot="1" x14ac:dyDescent="0.25">
      <c r="A2634" s="602" t="s">
        <v>187</v>
      </c>
      <c r="B2634" s="1015" t="s">
        <v>187</v>
      </c>
      <c r="C2634" s="1016" t="s">
        <v>187</v>
      </c>
      <c r="D2634" s="616"/>
      <c r="E2634" s="609"/>
      <c r="F2634" s="677"/>
      <c r="G2634" s="610"/>
      <c r="H2634" s="683"/>
      <c r="I2634" s="612"/>
      <c r="J2634" s="613"/>
      <c r="K2634" s="617">
        <f t="shared" si="1520"/>
        <v>0</v>
      </c>
      <c r="L2634" s="615" t="s">
        <v>783</v>
      </c>
      <c r="M2634" s="92"/>
      <c r="N2634" s="92"/>
      <c r="O2634" s="93">
        <f t="shared" si="1521"/>
        <v>0</v>
      </c>
      <c r="P2634" s="93">
        <f t="shared" si="1515"/>
        <v>0</v>
      </c>
      <c r="Q2634" s="94"/>
      <c r="R2634" s="92">
        <f t="shared" si="1516"/>
        <v>0</v>
      </c>
      <c r="S2634" s="92">
        <f t="shared" si="1517"/>
        <v>0</v>
      </c>
      <c r="T2634" s="93">
        <f t="shared" si="1518"/>
        <v>0</v>
      </c>
      <c r="U2634" s="95">
        <f t="shared" si="1519"/>
        <v>0</v>
      </c>
      <c r="V2634" s="94"/>
      <c r="X2634" s="580" t="str">
        <f t="shared" si="1481"/>
        <v/>
      </c>
      <c r="Y2634" s="580" t="str">
        <f t="shared" si="1483"/>
        <v/>
      </c>
      <c r="Z2634" s="580" t="str">
        <f t="shared" si="1495"/>
        <v/>
      </c>
    </row>
    <row r="2635" spans="1:26" ht="13.5" hidden="1" thickBot="1" x14ac:dyDescent="0.25">
      <c r="A2635" s="602" t="s">
        <v>187</v>
      </c>
      <c r="B2635" s="1015" t="s">
        <v>187</v>
      </c>
      <c r="C2635" s="1016" t="s">
        <v>187</v>
      </c>
      <c r="D2635" s="616"/>
      <c r="E2635" s="609"/>
      <c r="F2635" s="677"/>
      <c r="G2635" s="610"/>
      <c r="H2635" s="683"/>
      <c r="I2635" s="612"/>
      <c r="J2635" s="613"/>
      <c r="K2635" s="617">
        <f t="shared" si="1520"/>
        <v>0</v>
      </c>
      <c r="L2635" s="615" t="s">
        <v>783</v>
      </c>
      <c r="M2635" s="92"/>
      <c r="N2635" s="92"/>
      <c r="O2635" s="93">
        <f t="shared" si="1521"/>
        <v>0</v>
      </c>
      <c r="P2635" s="93">
        <f t="shared" si="1515"/>
        <v>0</v>
      </c>
      <c r="Q2635" s="94"/>
      <c r="R2635" s="92">
        <f t="shared" si="1516"/>
        <v>0</v>
      </c>
      <c r="S2635" s="92">
        <f t="shared" si="1517"/>
        <v>0</v>
      </c>
      <c r="T2635" s="93">
        <f t="shared" si="1518"/>
        <v>0</v>
      </c>
      <c r="U2635" s="95">
        <f t="shared" si="1519"/>
        <v>0</v>
      </c>
      <c r="V2635" s="94"/>
      <c r="X2635" s="580" t="str">
        <f t="shared" si="1481"/>
        <v/>
      </c>
      <c r="Y2635" s="580" t="str">
        <f t="shared" si="1483"/>
        <v/>
      </c>
      <c r="Z2635" s="580" t="str">
        <f t="shared" si="1495"/>
        <v/>
      </c>
    </row>
    <row r="2636" spans="1:26" ht="13.5" hidden="1" thickBot="1" x14ac:dyDescent="0.25">
      <c r="A2636" s="602" t="s">
        <v>187</v>
      </c>
      <c r="B2636" s="1015" t="s">
        <v>187</v>
      </c>
      <c r="C2636" s="1016" t="s">
        <v>187</v>
      </c>
      <c r="D2636" s="616"/>
      <c r="E2636" s="609"/>
      <c r="F2636" s="677"/>
      <c r="G2636" s="610"/>
      <c r="H2636" s="683"/>
      <c r="I2636" s="612"/>
      <c r="J2636" s="613"/>
      <c r="K2636" s="617">
        <f t="shared" si="1520"/>
        <v>0</v>
      </c>
      <c r="L2636" s="615" t="s">
        <v>783</v>
      </c>
      <c r="M2636" s="92"/>
      <c r="N2636" s="92"/>
      <c r="O2636" s="93">
        <f t="shared" si="1521"/>
        <v>0</v>
      </c>
      <c r="P2636" s="93">
        <f t="shared" si="1515"/>
        <v>0</v>
      </c>
      <c r="Q2636" s="94"/>
      <c r="R2636" s="92">
        <f t="shared" si="1516"/>
        <v>0</v>
      </c>
      <c r="S2636" s="92">
        <f t="shared" si="1517"/>
        <v>0</v>
      </c>
      <c r="T2636" s="93">
        <f t="shared" si="1518"/>
        <v>0</v>
      </c>
      <c r="U2636" s="95">
        <f t="shared" si="1519"/>
        <v>0</v>
      </c>
      <c r="V2636" s="94"/>
      <c r="X2636" s="580" t="str">
        <f t="shared" ref="X2636:X2656" si="1522">IF(W2636="X","x",IF(W2636="xx","x",IF(W2636="xy","x",IF(W2636="y","x",IF(OR(P2636&gt;0,U2636&gt;0),"x","")))))</f>
        <v/>
      </c>
      <c r="Y2636" s="580" t="str">
        <f t="shared" si="1483"/>
        <v/>
      </c>
      <c r="Z2636" s="580" t="str">
        <f t="shared" si="1495"/>
        <v/>
      </c>
    </row>
    <row r="2637" spans="1:26" ht="13.5" hidden="1" thickBot="1" x14ac:dyDescent="0.25">
      <c r="A2637" s="1081" t="s">
        <v>171</v>
      </c>
      <c r="B2637" s="1015" t="s">
        <v>187</v>
      </c>
      <c r="C2637" s="1016" t="s">
        <v>187</v>
      </c>
      <c r="D2637" s="616"/>
      <c r="E2637" s="609"/>
      <c r="F2637" s="677"/>
      <c r="G2637" s="610"/>
      <c r="H2637" s="683"/>
      <c r="I2637" s="612"/>
      <c r="J2637" s="613"/>
      <c r="K2637" s="617">
        <f t="shared" si="1520"/>
        <v>0</v>
      </c>
      <c r="L2637" s="615" t="s">
        <v>783</v>
      </c>
      <c r="M2637" s="92"/>
      <c r="N2637" s="92"/>
      <c r="O2637" s="93">
        <f t="shared" si="1521"/>
        <v>0</v>
      </c>
      <c r="P2637" s="93">
        <f t="shared" si="1515"/>
        <v>0</v>
      </c>
      <c r="Q2637" s="94"/>
      <c r="R2637" s="92">
        <f t="shared" si="1516"/>
        <v>0</v>
      </c>
      <c r="S2637" s="92">
        <f t="shared" si="1517"/>
        <v>0</v>
      </c>
      <c r="T2637" s="93">
        <f t="shared" si="1518"/>
        <v>0</v>
      </c>
      <c r="U2637" s="95">
        <f t="shared" si="1519"/>
        <v>0</v>
      </c>
      <c r="V2637" s="94"/>
      <c r="X2637" s="580" t="str">
        <f t="shared" si="1522"/>
        <v/>
      </c>
      <c r="Y2637" s="580" t="str">
        <f t="shared" si="1483"/>
        <v/>
      </c>
      <c r="Z2637" s="580" t="str">
        <f t="shared" si="1495"/>
        <v/>
      </c>
    </row>
    <row r="2638" spans="1:26" ht="13.5" hidden="1" thickBot="1" x14ac:dyDescent="0.25">
      <c r="A2638" s="1081" t="s">
        <v>171</v>
      </c>
      <c r="B2638" s="1015" t="s">
        <v>187</v>
      </c>
      <c r="C2638" s="1016" t="s">
        <v>187</v>
      </c>
      <c r="D2638" s="616"/>
      <c r="E2638" s="609"/>
      <c r="F2638" s="677"/>
      <c r="G2638" s="610"/>
      <c r="H2638" s="683"/>
      <c r="I2638" s="612"/>
      <c r="J2638" s="613"/>
      <c r="K2638" s="617">
        <f t="shared" si="1520"/>
        <v>0</v>
      </c>
      <c r="L2638" s="615" t="s">
        <v>783</v>
      </c>
      <c r="M2638" s="92"/>
      <c r="N2638" s="92"/>
      <c r="O2638" s="93">
        <f t="shared" si="1521"/>
        <v>0</v>
      </c>
      <c r="P2638" s="93">
        <f t="shared" si="1515"/>
        <v>0</v>
      </c>
      <c r="Q2638" s="94"/>
      <c r="R2638" s="92">
        <f t="shared" si="1516"/>
        <v>0</v>
      </c>
      <c r="S2638" s="92">
        <f t="shared" si="1517"/>
        <v>0</v>
      </c>
      <c r="T2638" s="93">
        <f t="shared" si="1518"/>
        <v>0</v>
      </c>
      <c r="U2638" s="95">
        <f t="shared" si="1519"/>
        <v>0</v>
      </c>
      <c r="V2638" s="94"/>
      <c r="X2638" s="580" t="str">
        <f t="shared" si="1522"/>
        <v/>
      </c>
      <c r="Y2638" s="580" t="str">
        <f t="shared" si="1483"/>
        <v/>
      </c>
      <c r="Z2638" s="580" t="str">
        <f t="shared" si="1495"/>
        <v/>
      </c>
    </row>
    <row r="2639" spans="1:26" ht="13.5" hidden="1" thickBot="1" x14ac:dyDescent="0.25">
      <c r="A2639" s="1081" t="s">
        <v>171</v>
      </c>
      <c r="B2639" s="1015" t="s">
        <v>187</v>
      </c>
      <c r="C2639" s="1016" t="s">
        <v>187</v>
      </c>
      <c r="D2639" s="616"/>
      <c r="E2639" s="609"/>
      <c r="F2639" s="677"/>
      <c r="G2639" s="610"/>
      <c r="H2639" s="683"/>
      <c r="I2639" s="612"/>
      <c r="J2639" s="613"/>
      <c r="K2639" s="617">
        <f t="shared" si="1520"/>
        <v>0</v>
      </c>
      <c r="L2639" s="615" t="s">
        <v>783</v>
      </c>
      <c r="M2639" s="92"/>
      <c r="N2639" s="92"/>
      <c r="O2639" s="93">
        <f t="shared" si="1521"/>
        <v>0</v>
      </c>
      <c r="P2639" s="93">
        <f t="shared" si="1515"/>
        <v>0</v>
      </c>
      <c r="Q2639" s="94"/>
      <c r="R2639" s="92">
        <f t="shared" si="1516"/>
        <v>0</v>
      </c>
      <c r="S2639" s="92">
        <f t="shared" si="1517"/>
        <v>0</v>
      </c>
      <c r="T2639" s="93">
        <f t="shared" si="1518"/>
        <v>0</v>
      </c>
      <c r="U2639" s="95">
        <f t="shared" si="1519"/>
        <v>0</v>
      </c>
      <c r="V2639" s="94"/>
      <c r="X2639" s="580" t="str">
        <f t="shared" si="1522"/>
        <v/>
      </c>
      <c r="Y2639" s="580" t="str">
        <f t="shared" si="1483"/>
        <v/>
      </c>
      <c r="Z2639" s="580" t="str">
        <f t="shared" si="1495"/>
        <v/>
      </c>
    </row>
    <row r="2640" spans="1:26" ht="13.5" hidden="1" thickBot="1" x14ac:dyDescent="0.25">
      <c r="A2640" s="1081" t="s">
        <v>171</v>
      </c>
      <c r="B2640" s="1015" t="s">
        <v>187</v>
      </c>
      <c r="C2640" s="1016" t="s">
        <v>187</v>
      </c>
      <c r="D2640" s="616"/>
      <c r="E2640" s="609"/>
      <c r="F2640" s="677"/>
      <c r="G2640" s="610"/>
      <c r="H2640" s="683"/>
      <c r="I2640" s="612"/>
      <c r="J2640" s="613"/>
      <c r="K2640" s="617">
        <f t="shared" si="1520"/>
        <v>0</v>
      </c>
      <c r="L2640" s="615" t="s">
        <v>783</v>
      </c>
      <c r="M2640" s="92"/>
      <c r="N2640" s="92"/>
      <c r="O2640" s="93">
        <f t="shared" si="1521"/>
        <v>0</v>
      </c>
      <c r="P2640" s="93">
        <f t="shared" si="1515"/>
        <v>0</v>
      </c>
      <c r="Q2640" s="94"/>
      <c r="R2640" s="92">
        <f t="shared" si="1516"/>
        <v>0</v>
      </c>
      <c r="S2640" s="92">
        <f t="shared" si="1517"/>
        <v>0</v>
      </c>
      <c r="T2640" s="93">
        <f t="shared" si="1518"/>
        <v>0</v>
      </c>
      <c r="U2640" s="95">
        <f t="shared" si="1519"/>
        <v>0</v>
      </c>
      <c r="V2640" s="94"/>
      <c r="X2640" s="580" t="str">
        <f t="shared" si="1522"/>
        <v/>
      </c>
      <c r="Y2640" s="580" t="str">
        <f t="shared" si="1483"/>
        <v/>
      </c>
      <c r="Z2640" s="580" t="str">
        <f t="shared" si="1495"/>
        <v/>
      </c>
    </row>
    <row r="2641" spans="1:26" ht="13.5" hidden="1" thickBot="1" x14ac:dyDescent="0.25">
      <c r="A2641" s="1081" t="s">
        <v>171</v>
      </c>
      <c r="B2641" s="1015" t="s">
        <v>187</v>
      </c>
      <c r="C2641" s="1016" t="s">
        <v>187</v>
      </c>
      <c r="D2641" s="616"/>
      <c r="E2641" s="609"/>
      <c r="F2641" s="677"/>
      <c r="G2641" s="610"/>
      <c r="H2641" s="683"/>
      <c r="I2641" s="612"/>
      <c r="J2641" s="613"/>
      <c r="K2641" s="617">
        <f t="shared" si="1520"/>
        <v>0</v>
      </c>
      <c r="L2641" s="615" t="s">
        <v>783</v>
      </c>
      <c r="M2641" s="92"/>
      <c r="N2641" s="92"/>
      <c r="O2641" s="93">
        <f t="shared" si="1521"/>
        <v>0</v>
      </c>
      <c r="P2641" s="93">
        <f t="shared" si="1515"/>
        <v>0</v>
      </c>
      <c r="Q2641" s="94"/>
      <c r="R2641" s="92">
        <f t="shared" si="1516"/>
        <v>0</v>
      </c>
      <c r="S2641" s="92">
        <f t="shared" si="1517"/>
        <v>0</v>
      </c>
      <c r="T2641" s="93">
        <f t="shared" si="1518"/>
        <v>0</v>
      </c>
      <c r="U2641" s="95">
        <f t="shared" si="1519"/>
        <v>0</v>
      </c>
      <c r="V2641" s="94"/>
      <c r="X2641" s="580" t="str">
        <f t="shared" si="1522"/>
        <v/>
      </c>
      <c r="Y2641" s="580" t="str">
        <f t="shared" si="1483"/>
        <v/>
      </c>
      <c r="Z2641" s="580" t="str">
        <f t="shared" si="1495"/>
        <v/>
      </c>
    </row>
    <row r="2642" spans="1:26" ht="13.5" hidden="1" thickBot="1" x14ac:dyDescent="0.25">
      <c r="A2642" s="1081" t="s">
        <v>171</v>
      </c>
      <c r="B2642" s="1015" t="s">
        <v>187</v>
      </c>
      <c r="C2642" s="1016" t="s">
        <v>187</v>
      </c>
      <c r="D2642" s="616"/>
      <c r="E2642" s="609"/>
      <c r="F2642" s="677"/>
      <c r="G2642" s="610"/>
      <c r="H2642" s="683"/>
      <c r="I2642" s="612"/>
      <c r="J2642" s="613"/>
      <c r="K2642" s="617">
        <f t="shared" si="1520"/>
        <v>0</v>
      </c>
      <c r="L2642" s="615" t="s">
        <v>783</v>
      </c>
      <c r="M2642" s="92"/>
      <c r="N2642" s="92"/>
      <c r="O2642" s="93">
        <f t="shared" si="1521"/>
        <v>0</v>
      </c>
      <c r="P2642" s="93">
        <f t="shared" si="1515"/>
        <v>0</v>
      </c>
      <c r="Q2642" s="94"/>
      <c r="R2642" s="92">
        <f t="shared" si="1516"/>
        <v>0</v>
      </c>
      <c r="S2642" s="92">
        <f t="shared" si="1517"/>
        <v>0</v>
      </c>
      <c r="T2642" s="93">
        <f t="shared" si="1518"/>
        <v>0</v>
      </c>
      <c r="U2642" s="95">
        <f t="shared" si="1519"/>
        <v>0</v>
      </c>
      <c r="V2642" s="94"/>
      <c r="X2642" s="580" t="str">
        <f t="shared" si="1522"/>
        <v/>
      </c>
      <c r="Y2642" s="580" t="str">
        <f t="shared" ref="Y2642:Y2656" si="1523">IF(W2642="X","x",IF(W2642="y","x",IF(W2642="xx","x",IF(U2642&gt;0,"x",""))))</f>
        <v/>
      </c>
      <c r="Z2642" s="580" t="str">
        <f t="shared" si="1495"/>
        <v/>
      </c>
    </row>
    <row r="2643" spans="1:26" ht="13.5" hidden="1" thickBot="1" x14ac:dyDescent="0.25">
      <c r="A2643" s="1081" t="s">
        <v>171</v>
      </c>
      <c r="B2643" s="1015" t="s">
        <v>187</v>
      </c>
      <c r="C2643" s="1016" t="s">
        <v>187</v>
      </c>
      <c r="D2643" s="616"/>
      <c r="E2643" s="609"/>
      <c r="F2643" s="677"/>
      <c r="G2643" s="610"/>
      <c r="H2643" s="683"/>
      <c r="I2643" s="612"/>
      <c r="J2643" s="613"/>
      <c r="K2643" s="617">
        <f t="shared" si="1520"/>
        <v>0</v>
      </c>
      <c r="L2643" s="615" t="s">
        <v>783</v>
      </c>
      <c r="M2643" s="92"/>
      <c r="N2643" s="92"/>
      <c r="O2643" s="93">
        <f t="shared" si="1521"/>
        <v>0</v>
      </c>
      <c r="P2643" s="93">
        <f t="shared" si="1515"/>
        <v>0</v>
      </c>
      <c r="Q2643" s="94"/>
      <c r="R2643" s="92">
        <f t="shared" si="1516"/>
        <v>0</v>
      </c>
      <c r="S2643" s="92">
        <f t="shared" si="1517"/>
        <v>0</v>
      </c>
      <c r="T2643" s="93">
        <f t="shared" si="1518"/>
        <v>0</v>
      </c>
      <c r="U2643" s="95">
        <f t="shared" si="1519"/>
        <v>0</v>
      </c>
      <c r="V2643" s="94"/>
      <c r="X2643" s="580" t="str">
        <f t="shared" si="1522"/>
        <v/>
      </c>
      <c r="Y2643" s="580" t="str">
        <f t="shared" si="1523"/>
        <v/>
      </c>
      <c r="Z2643" s="580" t="str">
        <f t="shared" si="1495"/>
        <v/>
      </c>
    </row>
    <row r="2644" spans="1:26" ht="13.5" hidden="1" thickBot="1" x14ac:dyDescent="0.25">
      <c r="A2644" s="1081" t="s">
        <v>171</v>
      </c>
      <c r="B2644" s="1015" t="s">
        <v>187</v>
      </c>
      <c r="C2644" s="1016" t="s">
        <v>187</v>
      </c>
      <c r="D2644" s="616"/>
      <c r="E2644" s="609"/>
      <c r="F2644" s="677"/>
      <c r="G2644" s="610"/>
      <c r="H2644" s="683"/>
      <c r="I2644" s="612"/>
      <c r="J2644" s="613"/>
      <c r="K2644" s="617">
        <f t="shared" si="1520"/>
        <v>0</v>
      </c>
      <c r="L2644" s="615" t="s">
        <v>783</v>
      </c>
      <c r="M2644" s="92"/>
      <c r="N2644" s="92"/>
      <c r="O2644" s="93">
        <f t="shared" si="1521"/>
        <v>0</v>
      </c>
      <c r="P2644" s="93">
        <f t="shared" si="1515"/>
        <v>0</v>
      </c>
      <c r="Q2644" s="94"/>
      <c r="R2644" s="92">
        <f t="shared" si="1516"/>
        <v>0</v>
      </c>
      <c r="S2644" s="92">
        <f t="shared" si="1517"/>
        <v>0</v>
      </c>
      <c r="T2644" s="93">
        <f t="shared" si="1518"/>
        <v>0</v>
      </c>
      <c r="U2644" s="95">
        <f t="shared" si="1519"/>
        <v>0</v>
      </c>
      <c r="V2644" s="94"/>
      <c r="X2644" s="580" t="str">
        <f t="shared" si="1522"/>
        <v/>
      </c>
      <c r="Y2644" s="580" t="str">
        <f t="shared" si="1523"/>
        <v/>
      </c>
      <c r="Z2644" s="580" t="str">
        <f t="shared" si="1495"/>
        <v/>
      </c>
    </row>
    <row r="2645" spans="1:26" ht="13.5" hidden="1" thickBot="1" x14ac:dyDescent="0.25">
      <c r="A2645" s="1081" t="s">
        <v>171</v>
      </c>
      <c r="B2645" s="1015" t="s">
        <v>187</v>
      </c>
      <c r="C2645" s="1016" t="s">
        <v>187</v>
      </c>
      <c r="D2645" s="616"/>
      <c r="E2645" s="609"/>
      <c r="F2645" s="677"/>
      <c r="G2645" s="610"/>
      <c r="H2645" s="683"/>
      <c r="I2645" s="612"/>
      <c r="J2645" s="613"/>
      <c r="K2645" s="617">
        <f t="shared" si="1520"/>
        <v>0</v>
      </c>
      <c r="L2645" s="615" t="s">
        <v>783</v>
      </c>
      <c r="M2645" s="92"/>
      <c r="N2645" s="92"/>
      <c r="O2645" s="93">
        <f t="shared" si="1521"/>
        <v>0</v>
      </c>
      <c r="P2645" s="93">
        <f t="shared" si="1515"/>
        <v>0</v>
      </c>
      <c r="Q2645" s="94"/>
      <c r="R2645" s="92">
        <f t="shared" si="1516"/>
        <v>0</v>
      </c>
      <c r="S2645" s="92">
        <f t="shared" si="1517"/>
        <v>0</v>
      </c>
      <c r="T2645" s="93">
        <f t="shared" si="1518"/>
        <v>0</v>
      </c>
      <c r="U2645" s="95">
        <f t="shared" si="1519"/>
        <v>0</v>
      </c>
      <c r="V2645" s="94"/>
      <c r="X2645" s="580" t="str">
        <f t="shared" si="1522"/>
        <v/>
      </c>
      <c r="Y2645" s="580" t="str">
        <f t="shared" si="1523"/>
        <v/>
      </c>
      <c r="Z2645" s="580" t="str">
        <f t="shared" si="1495"/>
        <v/>
      </c>
    </row>
    <row r="2646" spans="1:26" ht="13.5" hidden="1" thickBot="1" x14ac:dyDescent="0.25">
      <c r="A2646" s="1081" t="s">
        <v>171</v>
      </c>
      <c r="B2646" s="1015" t="s">
        <v>187</v>
      </c>
      <c r="C2646" s="1016" t="s">
        <v>187</v>
      </c>
      <c r="D2646" s="616"/>
      <c r="E2646" s="609"/>
      <c r="F2646" s="677"/>
      <c r="G2646" s="610"/>
      <c r="H2646" s="683"/>
      <c r="I2646" s="612"/>
      <c r="J2646" s="613"/>
      <c r="K2646" s="617">
        <f t="shared" si="1520"/>
        <v>0</v>
      </c>
      <c r="L2646" s="615" t="s">
        <v>783</v>
      </c>
      <c r="M2646" s="92"/>
      <c r="N2646" s="92"/>
      <c r="O2646" s="93">
        <f t="shared" si="1521"/>
        <v>0</v>
      </c>
      <c r="P2646" s="93">
        <f t="shared" si="1515"/>
        <v>0</v>
      </c>
      <c r="Q2646" s="94"/>
      <c r="R2646" s="92">
        <f t="shared" si="1516"/>
        <v>0</v>
      </c>
      <c r="S2646" s="92">
        <f t="shared" si="1517"/>
        <v>0</v>
      </c>
      <c r="T2646" s="93">
        <f t="shared" si="1518"/>
        <v>0</v>
      </c>
      <c r="U2646" s="95">
        <f t="shared" si="1519"/>
        <v>0</v>
      </c>
      <c r="V2646" s="94"/>
      <c r="X2646" s="580" t="str">
        <f t="shared" si="1522"/>
        <v/>
      </c>
      <c r="Y2646" s="580" t="str">
        <f t="shared" si="1523"/>
        <v/>
      </c>
      <c r="Z2646" s="580" t="str">
        <f t="shared" si="1495"/>
        <v/>
      </c>
    </row>
    <row r="2647" spans="1:26" ht="13.5" hidden="1" thickBot="1" x14ac:dyDescent="0.25">
      <c r="A2647" s="1081" t="s">
        <v>171</v>
      </c>
      <c r="B2647" s="1015" t="s">
        <v>187</v>
      </c>
      <c r="C2647" s="1016" t="s">
        <v>187</v>
      </c>
      <c r="D2647" s="616"/>
      <c r="E2647" s="609"/>
      <c r="F2647" s="677"/>
      <c r="G2647" s="610"/>
      <c r="H2647" s="683"/>
      <c r="I2647" s="612"/>
      <c r="J2647" s="613"/>
      <c r="K2647" s="617">
        <f t="shared" si="1520"/>
        <v>0</v>
      </c>
      <c r="L2647" s="615" t="s">
        <v>783</v>
      </c>
      <c r="M2647" s="92"/>
      <c r="N2647" s="92"/>
      <c r="O2647" s="93">
        <f t="shared" si="1521"/>
        <v>0</v>
      </c>
      <c r="P2647" s="93">
        <f t="shared" si="1515"/>
        <v>0</v>
      </c>
      <c r="Q2647" s="94"/>
      <c r="R2647" s="92">
        <f t="shared" si="1516"/>
        <v>0</v>
      </c>
      <c r="S2647" s="92">
        <f t="shared" si="1517"/>
        <v>0</v>
      </c>
      <c r="T2647" s="93">
        <f t="shared" si="1518"/>
        <v>0</v>
      </c>
      <c r="U2647" s="95">
        <f t="shared" si="1519"/>
        <v>0</v>
      </c>
      <c r="V2647" s="94"/>
      <c r="X2647" s="580" t="str">
        <f t="shared" si="1522"/>
        <v/>
      </c>
      <c r="Y2647" s="580" t="str">
        <f t="shared" si="1523"/>
        <v/>
      </c>
      <c r="Z2647" s="580" t="str">
        <f t="shared" si="1495"/>
        <v/>
      </c>
    </row>
    <row r="2648" spans="1:26" ht="13.5" hidden="1" thickBot="1" x14ac:dyDescent="0.25">
      <c r="A2648" s="602" t="s">
        <v>187</v>
      </c>
      <c r="B2648" s="1015" t="s">
        <v>187</v>
      </c>
      <c r="C2648" s="1016" t="s">
        <v>187</v>
      </c>
      <c r="D2648" s="616"/>
      <c r="E2648" s="609"/>
      <c r="F2648" s="677"/>
      <c r="G2648" s="610"/>
      <c r="H2648" s="683"/>
      <c r="I2648" s="612"/>
      <c r="J2648" s="613"/>
      <c r="K2648" s="617">
        <f t="shared" si="1520"/>
        <v>0</v>
      </c>
      <c r="L2648" s="615" t="s">
        <v>783</v>
      </c>
      <c r="M2648" s="92"/>
      <c r="N2648" s="92"/>
      <c r="O2648" s="93">
        <f t="shared" si="1521"/>
        <v>0</v>
      </c>
      <c r="P2648" s="93">
        <f t="shared" si="1515"/>
        <v>0</v>
      </c>
      <c r="Q2648" s="94"/>
      <c r="R2648" s="92">
        <f t="shared" si="1516"/>
        <v>0</v>
      </c>
      <c r="S2648" s="92">
        <f t="shared" si="1517"/>
        <v>0</v>
      </c>
      <c r="T2648" s="93">
        <f t="shared" si="1518"/>
        <v>0</v>
      </c>
      <c r="U2648" s="95">
        <f t="shared" si="1519"/>
        <v>0</v>
      </c>
      <c r="V2648" s="94"/>
      <c r="X2648" s="580" t="str">
        <f t="shared" si="1522"/>
        <v/>
      </c>
      <c r="Y2648" s="580" t="str">
        <f t="shared" si="1523"/>
        <v/>
      </c>
      <c r="Z2648" s="580" t="str">
        <f t="shared" ref="Z2648:Z2656" si="1524">IF(W2648="X","x",IF(U2648&gt;0,"x",""))</f>
        <v/>
      </c>
    </row>
    <row r="2649" spans="1:26" ht="13.5" hidden="1" thickBot="1" x14ac:dyDescent="0.25">
      <c r="A2649" s="602" t="s">
        <v>187</v>
      </c>
      <c r="B2649" s="1015" t="s">
        <v>187</v>
      </c>
      <c r="C2649" s="1016" t="s">
        <v>187</v>
      </c>
      <c r="D2649" s="616"/>
      <c r="E2649" s="609"/>
      <c r="F2649" s="677"/>
      <c r="G2649" s="610"/>
      <c r="H2649" s="683"/>
      <c r="I2649" s="612"/>
      <c r="J2649" s="613"/>
      <c r="K2649" s="617">
        <f t="shared" si="1520"/>
        <v>0</v>
      </c>
      <c r="L2649" s="615" t="s">
        <v>783</v>
      </c>
      <c r="M2649" s="92"/>
      <c r="N2649" s="92"/>
      <c r="O2649" s="93">
        <f t="shared" si="1521"/>
        <v>0</v>
      </c>
      <c r="P2649" s="93">
        <f t="shared" si="1515"/>
        <v>0</v>
      </c>
      <c r="Q2649" s="94"/>
      <c r="R2649" s="92">
        <f t="shared" ref="R2649:R2650" si="1525">M2649</f>
        <v>0</v>
      </c>
      <c r="S2649" s="92">
        <f t="shared" ref="S2649:S2650" si="1526">N2649</f>
        <v>0</v>
      </c>
      <c r="T2649" s="93">
        <f t="shared" si="1518"/>
        <v>0</v>
      </c>
      <c r="U2649" s="95">
        <f t="shared" si="1519"/>
        <v>0</v>
      </c>
      <c r="V2649" s="94"/>
      <c r="X2649" s="580" t="str">
        <f t="shared" si="1522"/>
        <v/>
      </c>
      <c r="Y2649" s="580" t="str">
        <f t="shared" si="1523"/>
        <v/>
      </c>
      <c r="Z2649" s="580" t="str">
        <f t="shared" si="1524"/>
        <v/>
      </c>
    </row>
    <row r="2650" spans="1:26" ht="13.5" hidden="1" thickBot="1" x14ac:dyDescent="0.25">
      <c r="A2650" s="602" t="s">
        <v>187</v>
      </c>
      <c r="B2650" s="1015" t="s">
        <v>187</v>
      </c>
      <c r="C2650" s="1016" t="s">
        <v>187</v>
      </c>
      <c r="D2650" s="616"/>
      <c r="E2650" s="609"/>
      <c r="F2650" s="677"/>
      <c r="G2650" s="610"/>
      <c r="H2650" s="683"/>
      <c r="I2650" s="612"/>
      <c r="J2650" s="613"/>
      <c r="K2650" s="617">
        <f t="shared" si="1520"/>
        <v>0</v>
      </c>
      <c r="L2650" s="615" t="s">
        <v>783</v>
      </c>
      <c r="M2650" s="92"/>
      <c r="N2650" s="92"/>
      <c r="O2650" s="93">
        <f t="shared" si="1521"/>
        <v>0</v>
      </c>
      <c r="P2650" s="93">
        <f t="shared" si="1515"/>
        <v>0</v>
      </c>
      <c r="Q2650" s="94"/>
      <c r="R2650" s="92">
        <f t="shared" si="1525"/>
        <v>0</v>
      </c>
      <c r="S2650" s="92">
        <f t="shared" si="1526"/>
        <v>0</v>
      </c>
      <c r="T2650" s="93">
        <f t="shared" si="1518"/>
        <v>0</v>
      </c>
      <c r="U2650" s="95">
        <f t="shared" si="1519"/>
        <v>0</v>
      </c>
      <c r="V2650" s="94"/>
      <c r="X2650" s="580" t="str">
        <f t="shared" si="1522"/>
        <v/>
      </c>
      <c r="Y2650" s="580" t="str">
        <f t="shared" si="1523"/>
        <v/>
      </c>
      <c r="Z2650" s="580" t="str">
        <f t="shared" si="1524"/>
        <v/>
      </c>
    </row>
    <row r="2651" spans="1:26" ht="13.5" hidden="1" thickBot="1" x14ac:dyDescent="0.25">
      <c r="A2651" s="602" t="s">
        <v>187</v>
      </c>
      <c r="B2651" s="1015" t="s">
        <v>187</v>
      </c>
      <c r="C2651" s="1016" t="s">
        <v>187</v>
      </c>
      <c r="D2651" s="616"/>
      <c r="E2651" s="609"/>
      <c r="F2651" s="677"/>
      <c r="G2651" s="610"/>
      <c r="H2651" s="683"/>
      <c r="I2651" s="612"/>
      <c r="J2651" s="613"/>
      <c r="K2651" s="617">
        <f t="shared" si="1520"/>
        <v>0</v>
      </c>
      <c r="L2651" s="615" t="s">
        <v>783</v>
      </c>
      <c r="M2651" s="92"/>
      <c r="N2651" s="92"/>
      <c r="O2651" s="93">
        <f t="shared" si="1521"/>
        <v>0</v>
      </c>
      <c r="P2651" s="93">
        <f t="shared" si="1515"/>
        <v>0</v>
      </c>
      <c r="Q2651" s="94"/>
      <c r="R2651" s="92">
        <f t="shared" si="1516"/>
        <v>0</v>
      </c>
      <c r="S2651" s="92">
        <f t="shared" si="1517"/>
        <v>0</v>
      </c>
      <c r="T2651" s="93">
        <f t="shared" si="1518"/>
        <v>0</v>
      </c>
      <c r="U2651" s="95">
        <f t="shared" si="1519"/>
        <v>0</v>
      </c>
      <c r="V2651" s="94"/>
      <c r="X2651" s="580" t="str">
        <f t="shared" si="1522"/>
        <v/>
      </c>
      <c r="Y2651" s="580" t="str">
        <f t="shared" si="1523"/>
        <v/>
      </c>
      <c r="Z2651" s="580" t="str">
        <f t="shared" si="1524"/>
        <v/>
      </c>
    </row>
    <row r="2652" spans="1:26" ht="13.5" hidden="1" thickBot="1" x14ac:dyDescent="0.25">
      <c r="A2652" s="602" t="s">
        <v>187</v>
      </c>
      <c r="B2652" s="1015" t="s">
        <v>187</v>
      </c>
      <c r="C2652" s="1016" t="s">
        <v>187</v>
      </c>
      <c r="D2652" s="616"/>
      <c r="E2652" s="609"/>
      <c r="F2652" s="677"/>
      <c r="G2652" s="610"/>
      <c r="H2652" s="683"/>
      <c r="I2652" s="612"/>
      <c r="J2652" s="613"/>
      <c r="K2652" s="617">
        <f t="shared" si="1520"/>
        <v>0</v>
      </c>
      <c r="L2652" s="615" t="s">
        <v>783</v>
      </c>
      <c r="M2652" s="92"/>
      <c r="N2652" s="92"/>
      <c r="O2652" s="93">
        <f t="shared" si="1521"/>
        <v>0</v>
      </c>
      <c r="P2652" s="93">
        <f t="shared" si="1515"/>
        <v>0</v>
      </c>
      <c r="Q2652" s="94"/>
      <c r="R2652" s="92">
        <f t="shared" si="1516"/>
        <v>0</v>
      </c>
      <c r="S2652" s="92">
        <f t="shared" si="1517"/>
        <v>0</v>
      </c>
      <c r="T2652" s="93">
        <f t="shared" si="1518"/>
        <v>0</v>
      </c>
      <c r="U2652" s="95">
        <f t="shared" si="1519"/>
        <v>0</v>
      </c>
      <c r="V2652" s="94"/>
      <c r="X2652" s="580" t="str">
        <f t="shared" si="1522"/>
        <v/>
      </c>
      <c r="Y2652" s="580" t="str">
        <f t="shared" si="1523"/>
        <v/>
      </c>
      <c r="Z2652" s="580" t="str">
        <f t="shared" si="1524"/>
        <v/>
      </c>
    </row>
    <row r="2653" spans="1:26" ht="13.5" hidden="1" thickBot="1" x14ac:dyDescent="0.25">
      <c r="A2653" s="602" t="s">
        <v>187</v>
      </c>
      <c r="B2653" s="1015" t="s">
        <v>187</v>
      </c>
      <c r="C2653" s="1016" t="s">
        <v>187</v>
      </c>
      <c r="D2653" s="616"/>
      <c r="E2653" s="609"/>
      <c r="F2653" s="677"/>
      <c r="G2653" s="610"/>
      <c r="H2653" s="683"/>
      <c r="I2653" s="612"/>
      <c r="J2653" s="613"/>
      <c r="K2653" s="617">
        <f t="shared" si="1520"/>
        <v>0</v>
      </c>
      <c r="L2653" s="615" t="s">
        <v>783</v>
      </c>
      <c r="M2653" s="92"/>
      <c r="N2653" s="92"/>
      <c r="O2653" s="93">
        <f t="shared" si="1521"/>
        <v>0</v>
      </c>
      <c r="P2653" s="93">
        <f t="shared" si="1515"/>
        <v>0</v>
      </c>
      <c r="Q2653" s="94"/>
      <c r="R2653" s="92">
        <f t="shared" si="1516"/>
        <v>0</v>
      </c>
      <c r="S2653" s="92">
        <f t="shared" si="1517"/>
        <v>0</v>
      </c>
      <c r="T2653" s="93">
        <f t="shared" si="1518"/>
        <v>0</v>
      </c>
      <c r="U2653" s="95">
        <f t="shared" si="1519"/>
        <v>0</v>
      </c>
      <c r="V2653" s="94"/>
      <c r="X2653" s="580" t="str">
        <f t="shared" si="1522"/>
        <v/>
      </c>
      <c r="Y2653" s="580" t="str">
        <f t="shared" si="1523"/>
        <v/>
      </c>
      <c r="Z2653" s="580" t="str">
        <f t="shared" si="1524"/>
        <v/>
      </c>
    </row>
    <row r="2654" spans="1:26" ht="13.5" hidden="1" thickBot="1" x14ac:dyDescent="0.25">
      <c r="A2654" s="602" t="s">
        <v>187</v>
      </c>
      <c r="B2654" s="1015" t="s">
        <v>187</v>
      </c>
      <c r="C2654" s="1016" t="s">
        <v>187</v>
      </c>
      <c r="D2654" s="616"/>
      <c r="E2654" s="609"/>
      <c r="F2654" s="677"/>
      <c r="G2654" s="610"/>
      <c r="H2654" s="683"/>
      <c r="I2654" s="612"/>
      <c r="J2654" s="613"/>
      <c r="K2654" s="617">
        <f t="shared" si="1520"/>
        <v>0</v>
      </c>
      <c r="L2654" s="615" t="s">
        <v>783</v>
      </c>
      <c r="M2654" s="92"/>
      <c r="N2654" s="92"/>
      <c r="O2654" s="93">
        <f t="shared" si="1521"/>
        <v>0</v>
      </c>
      <c r="P2654" s="93">
        <f t="shared" si="1515"/>
        <v>0</v>
      </c>
      <c r="Q2654" s="94"/>
      <c r="R2654" s="92">
        <f t="shared" si="1516"/>
        <v>0</v>
      </c>
      <c r="S2654" s="92">
        <f t="shared" si="1517"/>
        <v>0</v>
      </c>
      <c r="T2654" s="93">
        <f t="shared" si="1518"/>
        <v>0</v>
      </c>
      <c r="U2654" s="95">
        <f t="shared" si="1519"/>
        <v>0</v>
      </c>
      <c r="V2654" s="94"/>
      <c r="X2654" s="580" t="str">
        <f t="shared" si="1522"/>
        <v/>
      </c>
      <c r="Y2654" s="580" t="str">
        <f t="shared" si="1523"/>
        <v/>
      </c>
      <c r="Z2654" s="580" t="str">
        <f t="shared" si="1524"/>
        <v/>
      </c>
    </row>
    <row r="2655" spans="1:26" ht="13.5" hidden="1" thickBot="1" x14ac:dyDescent="0.25">
      <c r="A2655" s="602" t="s">
        <v>187</v>
      </c>
      <c r="B2655" s="1015" t="s">
        <v>187</v>
      </c>
      <c r="C2655" s="1016" t="s">
        <v>187</v>
      </c>
      <c r="D2655" s="616"/>
      <c r="E2655" s="609"/>
      <c r="F2655" s="677"/>
      <c r="G2655" s="610"/>
      <c r="H2655" s="683"/>
      <c r="I2655" s="612"/>
      <c r="J2655" s="613"/>
      <c r="K2655" s="617">
        <f t="shared" si="1520"/>
        <v>0</v>
      </c>
      <c r="L2655" s="615" t="s">
        <v>783</v>
      </c>
      <c r="M2655" s="92"/>
      <c r="N2655" s="92"/>
      <c r="O2655" s="93">
        <f t="shared" si="1521"/>
        <v>0</v>
      </c>
      <c r="P2655" s="93">
        <f t="shared" si="1515"/>
        <v>0</v>
      </c>
      <c r="Q2655" s="94"/>
      <c r="R2655" s="92">
        <f t="shared" si="1516"/>
        <v>0</v>
      </c>
      <c r="S2655" s="92">
        <f t="shared" si="1517"/>
        <v>0</v>
      </c>
      <c r="T2655" s="93">
        <f t="shared" si="1518"/>
        <v>0</v>
      </c>
      <c r="U2655" s="95">
        <f t="shared" si="1519"/>
        <v>0</v>
      </c>
      <c r="V2655" s="94"/>
      <c r="X2655" s="580" t="str">
        <f t="shared" si="1522"/>
        <v/>
      </c>
      <c r="Y2655" s="580" t="str">
        <f t="shared" si="1523"/>
        <v/>
      </c>
      <c r="Z2655" s="684" t="str">
        <f t="shared" si="1524"/>
        <v/>
      </c>
    </row>
    <row r="2656" spans="1:26" ht="13.5" hidden="1" thickBot="1" x14ac:dyDescent="0.25">
      <c r="A2656" s="602" t="s">
        <v>187</v>
      </c>
      <c r="B2656" s="1015" t="s">
        <v>187</v>
      </c>
      <c r="C2656" s="1016" t="s">
        <v>187</v>
      </c>
      <c r="D2656" s="619"/>
      <c r="E2656" s="609"/>
      <c r="F2656" s="677"/>
      <c r="G2656" s="610"/>
      <c r="H2656" s="683"/>
      <c r="I2656" s="612"/>
      <c r="J2656" s="613"/>
      <c r="K2656" s="617">
        <f t="shared" si="1520"/>
        <v>0</v>
      </c>
      <c r="L2656" s="615" t="s">
        <v>783</v>
      </c>
      <c r="M2656" s="92"/>
      <c r="N2656" s="92"/>
      <c r="O2656" s="93">
        <f t="shared" si="1521"/>
        <v>0</v>
      </c>
      <c r="P2656" s="93">
        <f t="shared" si="1515"/>
        <v>0</v>
      </c>
      <c r="Q2656" s="94"/>
      <c r="R2656" s="92">
        <f t="shared" si="1516"/>
        <v>0</v>
      </c>
      <c r="S2656" s="92">
        <f t="shared" si="1517"/>
        <v>0</v>
      </c>
      <c r="T2656" s="93">
        <f t="shared" si="1518"/>
        <v>0</v>
      </c>
      <c r="U2656" s="95">
        <f t="shared" si="1519"/>
        <v>0</v>
      </c>
      <c r="V2656" s="94"/>
      <c r="X2656" s="580" t="str">
        <f t="shared" si="1522"/>
        <v/>
      </c>
      <c r="Y2656" s="580" t="str">
        <f t="shared" si="1523"/>
        <v/>
      </c>
      <c r="Z2656" s="684" t="str">
        <f t="shared" si="1524"/>
        <v/>
      </c>
    </row>
    <row r="2657" spans="1:26" ht="13.5" hidden="1" thickBot="1" x14ac:dyDescent="0.25">
      <c r="A2657" s="602" t="s">
        <v>187</v>
      </c>
      <c r="B2657" s="1082" t="s">
        <v>171</v>
      </c>
      <c r="C2657" s="971"/>
      <c r="D2657" s="685"/>
      <c r="E2657" s="686"/>
      <c r="F2657" s="687"/>
      <c r="G2657" s="688"/>
      <c r="H2657" s="689"/>
      <c r="I2657" s="690"/>
      <c r="J2657" s="690"/>
      <c r="K2657" s="691"/>
      <c r="L2657" s="692"/>
      <c r="M2657" s="693"/>
      <c r="N2657" s="694"/>
      <c r="O2657" s="695"/>
      <c r="P2657" s="695"/>
      <c r="Q2657" s="695"/>
      <c r="R2657" s="693"/>
      <c r="S2657" s="694"/>
      <c r="T2657" s="695"/>
      <c r="U2657" s="696"/>
      <c r="V2657" s="588"/>
      <c r="W2657" s="697"/>
      <c r="X2657" s="698"/>
      <c r="Y2657" s="698"/>
      <c r="Z2657" s="698"/>
    </row>
    <row r="2658" spans="1:26" ht="13.5" hidden="1" thickBot="1" x14ac:dyDescent="0.25">
      <c r="A2658" s="602" t="s">
        <v>187</v>
      </c>
      <c r="B2658" s="1083" t="s">
        <v>171</v>
      </c>
      <c r="C2658" s="972"/>
      <c r="D2658" s="699"/>
      <c r="E2658" s="700"/>
      <c r="F2658" s="65"/>
      <c r="G2658" s="74"/>
      <c r="H2658" s="65"/>
      <c r="I2658" s="65"/>
      <c r="J2658" s="65"/>
      <c r="K2658" s="701"/>
      <c r="L2658" s="65"/>
      <c r="M2658" s="702"/>
      <c r="N2658" s="702"/>
      <c r="O2658" s="703"/>
      <c r="P2658" s="703"/>
      <c r="Q2658" s="703"/>
      <c r="R2658" s="702"/>
      <c r="S2658" s="702"/>
      <c r="T2658" s="703"/>
      <c r="U2658" s="703"/>
      <c r="V2658" s="704"/>
      <c r="W2658" s="697" t="s">
        <v>171</v>
      </c>
      <c r="X2658" s="698"/>
      <c r="Y2658" s="698"/>
      <c r="Z2658" s="698"/>
    </row>
    <row r="2659" spans="1:26" ht="13.5" thickBot="1" x14ac:dyDescent="0.25">
      <c r="A2659" s="602" t="s">
        <v>187</v>
      </c>
      <c r="B2659" s="1160" t="s">
        <v>171</v>
      </c>
      <c r="C2659" s="1161"/>
      <c r="D2659" s="1162" t="s">
        <v>544</v>
      </c>
      <c r="E2659" s="1163"/>
      <c r="F2659" s="65"/>
      <c r="G2659" s="74"/>
      <c r="H2659" s="65"/>
      <c r="I2659" s="65"/>
      <c r="J2659" s="65" t="str">
        <f t="shared" ref="J2659:J2661" si="1527">IF(ISBLANK(I2659),"",SUM(H2659:I2659))</f>
        <v/>
      </c>
      <c r="K2659" s="65"/>
      <c r="L2659" s="65"/>
      <c r="M2659" s="75"/>
      <c r="N2659" s="68"/>
      <c r="O2659" s="72">
        <f>SUBTOTAL(9,O18:O2657)</f>
        <v>1898247.5100000007</v>
      </c>
      <c r="P2659" s="64">
        <f>SUBTOTAL(9,P18:P2657)</f>
        <v>1923271.1299999994</v>
      </c>
      <c r="Q2659" s="77">
        <f>SUBTOTAL(9,Q18:Q2657)</f>
        <v>1924183.4500000004</v>
      </c>
      <c r="R2659" s="1164"/>
      <c r="S2659" s="1165"/>
      <c r="T2659" s="1166">
        <f>SUBTOTAL(9,T18:T2657)</f>
        <v>1902892.6300000008</v>
      </c>
      <c r="U2659" s="1167">
        <f>SUBTOTAL(9,U18:U2657)</f>
        <v>1872791.5100000007</v>
      </c>
      <c r="V2659" s="1167">
        <f>SUBTOTAL(9,V18:V2657)</f>
        <v>1872791.5100000002</v>
      </c>
      <c r="W2659" s="697" t="s">
        <v>171</v>
      </c>
      <c r="X2659" s="706" t="s">
        <v>171</v>
      </c>
      <c r="Y2659" s="706"/>
      <c r="Z2659" s="706" t="s">
        <v>171</v>
      </c>
    </row>
    <row r="2660" spans="1:26" ht="13.5" hidden="1" thickBot="1" x14ac:dyDescent="0.25">
      <c r="A2660" s="602" t="s">
        <v>187</v>
      </c>
      <c r="B2660" s="1084" t="s">
        <v>171</v>
      </c>
      <c r="C2660" s="973"/>
      <c r="D2660" s="707"/>
      <c r="E2660" s="700"/>
      <c r="F2660" s="65"/>
      <c r="G2660" s="74"/>
      <c r="H2660" s="65"/>
      <c r="I2660" s="65"/>
      <c r="J2660" s="65"/>
      <c r="K2660" s="701"/>
      <c r="L2660" s="65"/>
      <c r="M2660" s="702"/>
      <c r="N2660" s="702"/>
      <c r="O2660" s="703"/>
      <c r="P2660" s="703"/>
      <c r="Q2660" s="703"/>
      <c r="R2660" s="702"/>
      <c r="S2660" s="702"/>
      <c r="T2660" s="703"/>
      <c r="U2660" s="703"/>
      <c r="V2660" s="704"/>
      <c r="W2660" s="697" t="s">
        <v>171</v>
      </c>
      <c r="X2660" s="708"/>
      <c r="Y2660" s="580"/>
      <c r="Z2660" s="580"/>
    </row>
    <row r="2661" spans="1:26" ht="13.5" hidden="1" thickBot="1" x14ac:dyDescent="0.25">
      <c r="A2661" s="602" t="s">
        <v>187</v>
      </c>
      <c r="B2661" s="1084" t="s">
        <v>171</v>
      </c>
      <c r="C2661" s="973"/>
      <c r="D2661" s="705" t="s">
        <v>754</v>
      </c>
      <c r="E2661" s="73"/>
      <c r="F2661" s="65"/>
      <c r="G2661" s="74"/>
      <c r="H2661" s="65"/>
      <c r="I2661" s="65"/>
      <c r="J2661" s="65" t="str">
        <f t="shared" si="1527"/>
        <v/>
      </c>
      <c r="K2661" s="65"/>
      <c r="L2661" s="65"/>
      <c r="M2661" s="75"/>
      <c r="N2661" s="68"/>
      <c r="O2661" s="76">
        <f>SUM(O18:O521)</f>
        <v>1275488.23</v>
      </c>
      <c r="P2661" s="76">
        <f>SUM(P18:P521)</f>
        <v>1316705.1899999997</v>
      </c>
      <c r="Q2661" s="76">
        <f>SUM(Q18:Q521)</f>
        <v>1316705.1900000002</v>
      </c>
      <c r="R2661" s="66"/>
      <c r="S2661" s="89"/>
      <c r="T2661" s="64">
        <f>SUM(T18:T521)</f>
        <v>1275488.23</v>
      </c>
      <c r="U2661" s="76">
        <f>SUM(U18:U521)</f>
        <v>1275182.67</v>
      </c>
      <c r="V2661" s="76">
        <f>SUM(V18:V521)</f>
        <v>1275182.67</v>
      </c>
      <c r="W2661" s="697"/>
      <c r="X2661" s="580" t="s">
        <v>171</v>
      </c>
      <c r="Y2661" s="580"/>
      <c r="Z2661" s="580"/>
    </row>
    <row r="2662" spans="1:26" ht="13.5" hidden="1" thickBot="1" x14ac:dyDescent="0.25">
      <c r="A2662" s="602" t="s">
        <v>187</v>
      </c>
      <c r="B2662" s="1084" t="s">
        <v>171</v>
      </c>
      <c r="C2662" s="973"/>
      <c r="D2662" s="705" t="s">
        <v>758</v>
      </c>
      <c r="E2662" s="73"/>
      <c r="F2662" s="65"/>
      <c r="G2662" s="74"/>
      <c r="H2662" s="65"/>
      <c r="I2662" s="65"/>
      <c r="J2662" s="65" t="str">
        <f t="shared" ref="J2662:J2666" si="1528">IF(ISBLANK(I2662),"",SUM(H2662:I2662))</f>
        <v/>
      </c>
      <c r="K2662" s="65"/>
      <c r="L2662" s="65"/>
      <c r="M2662" s="75"/>
      <c r="N2662" s="68"/>
      <c r="O2662" s="72">
        <f>SUM(O522:O778)</f>
        <v>240574.42999999996</v>
      </c>
      <c r="P2662" s="72">
        <f>SUM(P522:P778)</f>
        <v>241066.36</v>
      </c>
      <c r="Q2662" s="72">
        <f>SUM(Q522:Q778)</f>
        <v>241066.36000000002</v>
      </c>
      <c r="R2662" s="66"/>
      <c r="S2662" s="90"/>
      <c r="T2662" s="64">
        <f>SUM(T522:T778)</f>
        <v>240574.42999999996</v>
      </c>
      <c r="U2662" s="72">
        <f>SUM(U522:U778)</f>
        <v>237731.80999999997</v>
      </c>
      <c r="V2662" s="72">
        <f>SUM(V522:V778)</f>
        <v>237731.81</v>
      </c>
      <c r="W2662" s="697" t="s">
        <v>171</v>
      </c>
      <c r="X2662" s="580" t="s">
        <v>171</v>
      </c>
      <c r="Y2662" s="580"/>
      <c r="Z2662" s="580"/>
    </row>
    <row r="2663" spans="1:26" ht="13.5" hidden="1" thickBot="1" x14ac:dyDescent="0.25">
      <c r="A2663" s="602" t="s">
        <v>187</v>
      </c>
      <c r="B2663" s="1084" t="s">
        <v>171</v>
      </c>
      <c r="C2663" s="973"/>
      <c r="D2663" s="705" t="s">
        <v>755</v>
      </c>
      <c r="E2663" s="73"/>
      <c r="F2663" s="65"/>
      <c r="G2663" s="74"/>
      <c r="H2663" s="65"/>
      <c r="I2663" s="65"/>
      <c r="J2663" s="65" t="str">
        <f t="shared" ref="J2663" si="1529">IF(ISBLANK(I2663),"",SUM(H2663:I2663))</f>
        <v/>
      </c>
      <c r="K2663" s="65"/>
      <c r="L2663" s="65"/>
      <c r="M2663" s="75"/>
      <c r="N2663" s="68"/>
      <c r="O2663" s="72">
        <f>SUM(O779:O1638)</f>
        <v>52935.519999999997</v>
      </c>
      <c r="P2663" s="72">
        <f>SUM(P779:P1638)</f>
        <v>53857.54</v>
      </c>
      <c r="Q2663" s="72">
        <f>SUM(Q779:Q1638)</f>
        <v>53857.54</v>
      </c>
      <c r="R2663" s="66"/>
      <c r="S2663" s="90"/>
      <c r="T2663" s="64">
        <f>SUM(T779:T1638)</f>
        <v>52935.519999999997</v>
      </c>
      <c r="U2663" s="72">
        <f>SUM(U779:U1638)</f>
        <v>52935.519999999997</v>
      </c>
      <c r="V2663" s="72">
        <f>SUM(V779:V1638)</f>
        <v>52935.519999999997</v>
      </c>
      <c r="W2663" s="697" t="s">
        <v>171</v>
      </c>
      <c r="X2663" s="580" t="s">
        <v>171</v>
      </c>
      <c r="Y2663" s="580"/>
      <c r="Z2663" s="580"/>
    </row>
    <row r="2664" spans="1:26" ht="13.5" hidden="1" thickBot="1" x14ac:dyDescent="0.25">
      <c r="A2664" s="602" t="s">
        <v>187</v>
      </c>
      <c r="B2664" s="1084" t="s">
        <v>171</v>
      </c>
      <c r="C2664" s="973"/>
      <c r="D2664" s="705" t="s">
        <v>756</v>
      </c>
      <c r="E2664" s="73"/>
      <c r="F2664" s="65"/>
      <c r="G2664" s="74"/>
      <c r="H2664" s="65"/>
      <c r="I2664" s="65"/>
      <c r="J2664" s="65" t="str">
        <f t="shared" ref="J2664:J2665" si="1530">IF(ISBLANK(I2664),"",SUM(H2664:I2664))</f>
        <v/>
      </c>
      <c r="K2664" s="65"/>
      <c r="L2664" s="65"/>
      <c r="M2664" s="75"/>
      <c r="N2664" s="68"/>
      <c r="O2664" s="72">
        <f>SUM(O1639:O1733)</f>
        <v>0</v>
      </c>
      <c r="P2664" s="72">
        <f>SUM(P1639:P1733)</f>
        <v>0</v>
      </c>
      <c r="Q2664" s="72">
        <f>SUM(Q1639:Q1733)</f>
        <v>0</v>
      </c>
      <c r="R2664" s="66"/>
      <c r="S2664" s="90"/>
      <c r="T2664" s="64">
        <f>SUM(T1639:T1733)</f>
        <v>0</v>
      </c>
      <c r="U2664" s="72">
        <f>SUM(U1639:U1733)</f>
        <v>0</v>
      </c>
      <c r="V2664" s="72">
        <f>SUM(V1639:V1733)</f>
        <v>0</v>
      </c>
      <c r="W2664" s="697" t="s">
        <v>171</v>
      </c>
      <c r="X2664" s="580" t="s">
        <v>171</v>
      </c>
      <c r="Y2664" s="580"/>
      <c r="Z2664" s="580"/>
    </row>
    <row r="2665" spans="1:26" ht="13.5" hidden="1" thickBot="1" x14ac:dyDescent="0.25">
      <c r="A2665" s="602" t="s">
        <v>187</v>
      </c>
      <c r="B2665" s="1084" t="s">
        <v>171</v>
      </c>
      <c r="C2665" s="973"/>
      <c r="D2665" s="705" t="s">
        <v>757</v>
      </c>
      <c r="E2665" s="73"/>
      <c r="F2665" s="65"/>
      <c r="G2665" s="74"/>
      <c r="H2665" s="65"/>
      <c r="I2665" s="65"/>
      <c r="J2665" s="65" t="str">
        <f t="shared" si="1530"/>
        <v/>
      </c>
      <c r="K2665" s="65"/>
      <c r="L2665" s="65"/>
      <c r="M2665" s="75"/>
      <c r="N2665" s="68"/>
      <c r="O2665" s="72">
        <f>SUM(O1734:O2610)</f>
        <v>305121.83</v>
      </c>
      <c r="P2665" s="72">
        <f>SUM(P1734:P2610)</f>
        <v>287094.28000000003</v>
      </c>
      <c r="Q2665" s="72">
        <f>SUM(Q1734:Q2610)</f>
        <v>287094.28000000003</v>
      </c>
      <c r="R2665" s="77"/>
      <c r="S2665" s="91"/>
      <c r="T2665" s="72">
        <f>SUM(T1734:T2610)</f>
        <v>305121.83</v>
      </c>
      <c r="U2665" s="72">
        <f>SUM(U1734:U2610)</f>
        <v>278168.89</v>
      </c>
      <c r="V2665" s="72">
        <f>SUM(V1734:V2610)</f>
        <v>278168.89</v>
      </c>
      <c r="W2665" s="697" t="s">
        <v>171</v>
      </c>
      <c r="X2665" s="580" t="s">
        <v>171</v>
      </c>
      <c r="Y2665" s="580"/>
      <c r="Z2665" s="580"/>
    </row>
    <row r="2666" spans="1:26" ht="13.5" hidden="1" thickBot="1" x14ac:dyDescent="0.25">
      <c r="A2666" s="602" t="s">
        <v>187</v>
      </c>
      <c r="B2666" s="1084" t="s">
        <v>171</v>
      </c>
      <c r="C2666" s="973"/>
      <c r="D2666" s="705" t="s">
        <v>782</v>
      </c>
      <c r="E2666" s="73"/>
      <c r="F2666" s="65"/>
      <c r="G2666" s="74"/>
      <c r="H2666" s="65"/>
      <c r="I2666" s="65"/>
      <c r="J2666" s="65" t="str">
        <f t="shared" si="1528"/>
        <v/>
      </c>
      <c r="K2666" s="65"/>
      <c r="L2666" s="65"/>
      <c r="M2666" s="75"/>
      <c r="N2666" s="68"/>
      <c r="O2666" s="72">
        <f>SUM(O2611:O2656)</f>
        <v>25024.300000000003</v>
      </c>
      <c r="P2666" s="72">
        <f>SUM(P2611:P2656)</f>
        <v>25460.079999999998</v>
      </c>
      <c r="Q2666" s="72">
        <f>SUM(Q2611:Q2656)</f>
        <v>25460.079999999998</v>
      </c>
      <c r="R2666" s="77"/>
      <c r="S2666" s="91"/>
      <c r="T2666" s="64">
        <f>SUM(T2611:T2656)</f>
        <v>28772.620000000003</v>
      </c>
      <c r="U2666" s="72">
        <f>SUM(U2611:U2656)</f>
        <v>28772.620000000003</v>
      </c>
      <c r="V2666" s="72">
        <f>SUM(V2611:V2656)</f>
        <v>28772.620000000003</v>
      </c>
      <c r="W2666" s="697" t="s">
        <v>171</v>
      </c>
      <c r="X2666" s="580" t="s">
        <v>171</v>
      </c>
      <c r="Y2666" s="580"/>
      <c r="Z2666" s="580"/>
    </row>
    <row r="2667" spans="1:26" ht="13.5" hidden="1" thickBot="1" x14ac:dyDescent="0.25">
      <c r="A2667" s="602" t="s">
        <v>187</v>
      </c>
      <c r="B2667" s="1081" t="s">
        <v>171</v>
      </c>
      <c r="C2667" s="97"/>
      <c r="E2667" s="710"/>
      <c r="F2667" s="711"/>
      <c r="H2667" s="712"/>
      <c r="M2667" s="1204" t="s">
        <v>468</v>
      </c>
      <c r="N2667" s="1205"/>
      <c r="O2667" s="713">
        <f>M227</f>
        <v>9818.7900000000009</v>
      </c>
      <c r="P2667" s="67" t="s">
        <v>18</v>
      </c>
      <c r="Q2667" s="70">
        <f>IF(O2667=0,0,Q2659/O2667)</f>
        <v>195.96950846285543</v>
      </c>
      <c r="R2667" s="1206" t="s">
        <v>469</v>
      </c>
      <c r="S2667" s="1207"/>
      <c r="T2667" s="713">
        <f>O2667</f>
        <v>9818.7900000000009</v>
      </c>
      <c r="U2667" s="68" t="s">
        <v>18</v>
      </c>
      <c r="V2667" s="69">
        <f>IF(T2667=0,0,V2659/T2667)</f>
        <v>190.73546842329861</v>
      </c>
      <c r="W2667" s="697" t="s">
        <v>171</v>
      </c>
      <c r="X2667" s="580" t="s">
        <v>171</v>
      </c>
      <c r="Y2667" s="580"/>
      <c r="Z2667" s="580"/>
    </row>
    <row r="2668" spans="1:26" hidden="1" x14ac:dyDescent="0.2">
      <c r="A2668" s="602" t="s">
        <v>187</v>
      </c>
      <c r="B2668" s="1081" t="s">
        <v>171</v>
      </c>
      <c r="C2668" s="97"/>
      <c r="L2668" s="714"/>
      <c r="M2668" s="714"/>
      <c r="N2668" s="714"/>
      <c r="O2668" s="714"/>
      <c r="P2668" s="714"/>
      <c r="Q2668" s="714"/>
      <c r="R2668" s="714"/>
      <c r="S2668" s="714"/>
      <c r="T2668" s="714"/>
      <c r="U2668" s="714"/>
      <c r="V2668" s="714"/>
      <c r="W2668" s="715" t="s">
        <v>171</v>
      </c>
      <c r="X2668" s="580" t="s">
        <v>171</v>
      </c>
      <c r="Y2668" s="580"/>
      <c r="Z2668" s="580"/>
    </row>
    <row r="2669" spans="1:26" hidden="1" x14ac:dyDescent="0.2">
      <c r="A2669" s="602" t="s">
        <v>187</v>
      </c>
      <c r="B2669" s="1081" t="s">
        <v>171</v>
      </c>
      <c r="C2669" s="97"/>
      <c r="L2669" s="714"/>
      <c r="M2669" s="714"/>
      <c r="N2669" s="714"/>
      <c r="O2669" s="714"/>
      <c r="P2669" s="714"/>
      <c r="Q2669" s="714"/>
      <c r="R2669" s="714"/>
      <c r="S2669" s="714"/>
      <c r="T2669" s="714"/>
      <c r="U2669" s="714"/>
      <c r="V2669" s="714"/>
      <c r="W2669" s="715" t="s">
        <v>171</v>
      </c>
      <c r="X2669" s="580" t="s">
        <v>171</v>
      </c>
      <c r="Y2669" s="580"/>
      <c r="Z2669" s="580"/>
    </row>
    <row r="2670" spans="1:26" ht="13.5" hidden="1" thickBot="1" x14ac:dyDescent="0.25">
      <c r="A2670" s="602" t="s">
        <v>187</v>
      </c>
      <c r="B2670" s="1081" t="s">
        <v>171</v>
      </c>
      <c r="C2670" s="97"/>
      <c r="J2670" s="1005">
        <f>SUM(J19:J2656)</f>
        <v>944895.90780873271</v>
      </c>
      <c r="K2670" s="1005">
        <f>SUM(K19:K2656)</f>
        <v>1150032.8999999999</v>
      </c>
      <c r="L2670" s="714"/>
      <c r="M2670" s="1206" t="s">
        <v>470</v>
      </c>
      <c r="N2670" s="1208"/>
      <c r="O2670" s="64">
        <f>SUM(O18:O2656)</f>
        <v>1899144.3100000008</v>
      </c>
      <c r="P2670" s="64">
        <f>SUM(P18:P2656)</f>
        <v>1924183.4499999995</v>
      </c>
      <c r="Q2670" s="64">
        <f>SUM(Q18:Q2656)</f>
        <v>1924183.4500000004</v>
      </c>
      <c r="R2670" s="1206"/>
      <c r="S2670" s="1208"/>
      <c r="T2670" s="64">
        <f>SUM(T18:T2656)</f>
        <v>1902892.6300000008</v>
      </c>
      <c r="U2670" s="64">
        <f>SUM(U18:U2656)</f>
        <v>1872791.5100000007</v>
      </c>
      <c r="V2670" s="64">
        <f>SUM(V18:V2656)</f>
        <v>1872791.5100000002</v>
      </c>
      <c r="W2670" s="715" t="s">
        <v>171</v>
      </c>
      <c r="X2670" s="580" t="s">
        <v>171</v>
      </c>
    </row>
    <row r="2671" spans="1:26" hidden="1" x14ac:dyDescent="0.2">
      <c r="A2671" s="602" t="s">
        <v>187</v>
      </c>
      <c r="B2671" s="97"/>
      <c r="C2671" s="97"/>
      <c r="J2671" s="1006"/>
      <c r="K2671" s="1006"/>
    </row>
    <row r="2672" spans="1:26" hidden="1" x14ac:dyDescent="0.2">
      <c r="B2672" s="97"/>
      <c r="C2672" s="97"/>
      <c r="J2672" s="1005">
        <v>939472.79198498919</v>
      </c>
      <c r="K2672" s="1005">
        <v>1140050.3199999977</v>
      </c>
      <c r="Q2672" s="97">
        <v>1924183.4500000004</v>
      </c>
    </row>
    <row r="2673" spans="2:20" hidden="1" x14ac:dyDescent="0.2">
      <c r="B2673" s="97"/>
      <c r="C2673" s="97"/>
      <c r="I2673" s="716"/>
      <c r="T2673" s="97">
        <f>T2667/700</f>
        <v>14.026842857142858</v>
      </c>
    </row>
    <row r="2674" spans="2:20" x14ac:dyDescent="0.2">
      <c r="B2674" s="97"/>
      <c r="C2674" s="97"/>
    </row>
    <row r="2675" spans="2:20" x14ac:dyDescent="0.2">
      <c r="B2675" s="97"/>
      <c r="C2675" s="97"/>
      <c r="K2675" s="712"/>
    </row>
    <row r="2676" spans="2:20" x14ac:dyDescent="0.2">
      <c r="B2676" s="97"/>
      <c r="C2676" s="97"/>
    </row>
    <row r="2677" spans="2:20" x14ac:dyDescent="0.2">
      <c r="B2677" s="97"/>
      <c r="C2677" s="97"/>
    </row>
    <row r="2678" spans="2:20" x14ac:dyDescent="0.2">
      <c r="B2678" s="97"/>
      <c r="C2678" s="97"/>
    </row>
    <row r="2679" spans="2:20" x14ac:dyDescent="0.2">
      <c r="B2679" s="97"/>
      <c r="C2679" s="97"/>
    </row>
    <row r="2680" spans="2:20" x14ac:dyDescent="0.2">
      <c r="B2680" s="97"/>
      <c r="C2680" s="97"/>
    </row>
    <row r="2681" spans="2:20" x14ac:dyDescent="0.2">
      <c r="B2681" s="97"/>
      <c r="C2681" s="97"/>
    </row>
    <row r="2682" spans="2:20" x14ac:dyDescent="0.2">
      <c r="B2682" s="97"/>
      <c r="C2682" s="97"/>
    </row>
    <row r="2683" spans="2:20" x14ac:dyDescent="0.2">
      <c r="B2683" s="97"/>
      <c r="C2683" s="97"/>
    </row>
    <row r="2684" spans="2:20" x14ac:dyDescent="0.2">
      <c r="B2684" s="97"/>
      <c r="C2684" s="97"/>
      <c r="D2684" s="602"/>
    </row>
    <row r="2685" spans="2:20" x14ac:dyDescent="0.2">
      <c r="B2685" s="97"/>
      <c r="C2685" s="97"/>
    </row>
    <row r="2686" spans="2:20" x14ac:dyDescent="0.2">
      <c r="B2686" s="97"/>
      <c r="C2686" s="97"/>
      <c r="F2686" s="602" t="s">
        <v>187</v>
      </c>
    </row>
    <row r="2687" spans="2:20" x14ac:dyDescent="0.2">
      <c r="B2687" s="97"/>
      <c r="C2687" s="97"/>
    </row>
    <row r="2688" spans="2:20" x14ac:dyDescent="0.2">
      <c r="B2688" s="97"/>
      <c r="C2688" s="97"/>
    </row>
    <row r="2689" spans="2:3" x14ac:dyDescent="0.2">
      <c r="B2689" s="97"/>
      <c r="C2689" s="97"/>
    </row>
    <row r="2690" spans="2:3" x14ac:dyDescent="0.2">
      <c r="B2690" s="97"/>
      <c r="C2690" s="97"/>
    </row>
    <row r="2691" spans="2:3" x14ac:dyDescent="0.2">
      <c r="B2691" s="97"/>
      <c r="C2691" s="97"/>
    </row>
    <row r="2692" spans="2:3" x14ac:dyDescent="0.2">
      <c r="B2692" s="97"/>
      <c r="C2692" s="97"/>
    </row>
    <row r="2693" spans="2:3" x14ac:dyDescent="0.2">
      <c r="B2693" s="97"/>
      <c r="C2693" s="97"/>
    </row>
    <row r="2694" spans="2:3" x14ac:dyDescent="0.2">
      <c r="B2694" s="97"/>
      <c r="C2694" s="97"/>
    </row>
    <row r="2695" spans="2:3" x14ac:dyDescent="0.2">
      <c r="B2695" s="97"/>
      <c r="C2695" s="97"/>
    </row>
    <row r="2696" spans="2:3" x14ac:dyDescent="0.2">
      <c r="B2696" s="97"/>
      <c r="C2696" s="97"/>
    </row>
    <row r="2697" spans="2:3" x14ac:dyDescent="0.2">
      <c r="B2697" s="97"/>
      <c r="C2697" s="97"/>
    </row>
    <row r="2698" spans="2:3" x14ac:dyDescent="0.2">
      <c r="B2698" s="97"/>
      <c r="C2698" s="97"/>
    </row>
    <row r="2699" spans="2:3" x14ac:dyDescent="0.2">
      <c r="B2699" s="97"/>
      <c r="C2699" s="97"/>
    </row>
    <row r="2700" spans="2:3" x14ac:dyDescent="0.2">
      <c r="B2700" s="97"/>
      <c r="C2700" s="97"/>
    </row>
    <row r="2701" spans="2:3" x14ac:dyDescent="0.2">
      <c r="B2701" s="97"/>
      <c r="C2701" s="97"/>
    </row>
    <row r="2702" spans="2:3" x14ac:dyDescent="0.2">
      <c r="B2702" s="97"/>
      <c r="C2702" s="97"/>
    </row>
    <row r="2703" spans="2:3" x14ac:dyDescent="0.2">
      <c r="B2703" s="97"/>
      <c r="C2703" s="97"/>
    </row>
    <row r="2704" spans="2:3" x14ac:dyDescent="0.2">
      <c r="B2704" s="97"/>
      <c r="C2704" s="97"/>
    </row>
    <row r="2705" spans="2:3" x14ac:dyDescent="0.2">
      <c r="B2705" s="97"/>
      <c r="C2705" s="97"/>
    </row>
    <row r="2706" spans="2:3" x14ac:dyDescent="0.2">
      <c r="B2706" s="97"/>
      <c r="C2706" s="97"/>
    </row>
    <row r="2707" spans="2:3" x14ac:dyDescent="0.2">
      <c r="B2707" s="97"/>
      <c r="C2707" s="97"/>
    </row>
    <row r="2708" spans="2:3" x14ac:dyDescent="0.2">
      <c r="B2708" s="97"/>
      <c r="C2708" s="97"/>
    </row>
    <row r="2709" spans="2:3" x14ac:dyDescent="0.2">
      <c r="B2709" s="97"/>
      <c r="C2709" s="97"/>
    </row>
    <row r="2710" spans="2:3" x14ac:dyDescent="0.2">
      <c r="B2710" s="97"/>
      <c r="C2710" s="97"/>
    </row>
    <row r="2711" spans="2:3" x14ac:dyDescent="0.2">
      <c r="B2711" s="97"/>
      <c r="C2711" s="97"/>
    </row>
    <row r="2712" spans="2:3" x14ac:dyDescent="0.2">
      <c r="B2712" s="97"/>
      <c r="C2712" s="97"/>
    </row>
    <row r="2713" spans="2:3" x14ac:dyDescent="0.2">
      <c r="B2713" s="97"/>
      <c r="C2713" s="97"/>
    </row>
    <row r="2714" spans="2:3" x14ac:dyDescent="0.2">
      <c r="B2714" s="97"/>
      <c r="C2714" s="97"/>
    </row>
    <row r="2715" spans="2:3" x14ac:dyDescent="0.2">
      <c r="B2715" s="97"/>
      <c r="C2715" s="97"/>
    </row>
    <row r="2716" spans="2:3" x14ac:dyDescent="0.2">
      <c r="B2716" s="97"/>
      <c r="C2716" s="97"/>
    </row>
    <row r="2717" spans="2:3" x14ac:dyDescent="0.2">
      <c r="B2717" s="97"/>
      <c r="C2717" s="97"/>
    </row>
    <row r="2718" spans="2:3" x14ac:dyDescent="0.2">
      <c r="B2718" s="97"/>
      <c r="C2718" s="97"/>
    </row>
    <row r="2719" spans="2:3" x14ac:dyDescent="0.2">
      <c r="B2719" s="97"/>
      <c r="C2719" s="97"/>
    </row>
    <row r="2720" spans="2:3" x14ac:dyDescent="0.2">
      <c r="B2720" s="97"/>
      <c r="C2720" s="97"/>
    </row>
    <row r="2721" spans="2:3" x14ac:dyDescent="0.2">
      <c r="B2721" s="97"/>
      <c r="C2721" s="97"/>
    </row>
    <row r="2722" spans="2:3" x14ac:dyDescent="0.2">
      <c r="B2722" s="97"/>
      <c r="C2722" s="97"/>
    </row>
    <row r="2723" spans="2:3" x14ac:dyDescent="0.2">
      <c r="B2723" s="97"/>
      <c r="C2723" s="97"/>
    </row>
    <row r="2724" spans="2:3" x14ac:dyDescent="0.2">
      <c r="B2724" s="97"/>
      <c r="C2724" s="97"/>
    </row>
    <row r="2725" spans="2:3" x14ac:dyDescent="0.2">
      <c r="B2725" s="97"/>
      <c r="C2725" s="97"/>
    </row>
    <row r="2726" spans="2:3" x14ac:dyDescent="0.2">
      <c r="B2726" s="97"/>
      <c r="C2726" s="97"/>
    </row>
    <row r="2727" spans="2:3" x14ac:dyDescent="0.2">
      <c r="B2727" s="97"/>
      <c r="C2727" s="97"/>
    </row>
    <row r="2728" spans="2:3" x14ac:dyDescent="0.2">
      <c r="B2728" s="97"/>
      <c r="C2728" s="97"/>
    </row>
    <row r="2729" spans="2:3" x14ac:dyDescent="0.2">
      <c r="B2729" s="97"/>
      <c r="C2729" s="97"/>
    </row>
    <row r="2730" spans="2:3" x14ac:dyDescent="0.2">
      <c r="B2730" s="97"/>
      <c r="C2730" s="97"/>
    </row>
    <row r="2731" spans="2:3" x14ac:dyDescent="0.2">
      <c r="B2731" s="97"/>
      <c r="C2731" s="97"/>
    </row>
    <row r="2732" spans="2:3" x14ac:dyDescent="0.2">
      <c r="B2732" s="97"/>
      <c r="C2732" s="97"/>
    </row>
    <row r="2733" spans="2:3" x14ac:dyDescent="0.2">
      <c r="B2733" s="97"/>
      <c r="C2733" s="97"/>
    </row>
    <row r="2734" spans="2:3" x14ac:dyDescent="0.2">
      <c r="B2734" s="97"/>
      <c r="C2734" s="97"/>
    </row>
    <row r="2735" spans="2:3" x14ac:dyDescent="0.2">
      <c r="B2735" s="97"/>
      <c r="C2735" s="97"/>
    </row>
    <row r="2736" spans="2:3" x14ac:dyDescent="0.2">
      <c r="B2736" s="97"/>
      <c r="C2736" s="97"/>
    </row>
    <row r="2737" spans="2:3" x14ac:dyDescent="0.2">
      <c r="B2737" s="97"/>
      <c r="C2737" s="97"/>
    </row>
    <row r="2738" spans="2:3" x14ac:dyDescent="0.2">
      <c r="B2738" s="97"/>
      <c r="C2738" s="97"/>
    </row>
    <row r="2739" spans="2:3" x14ac:dyDescent="0.2">
      <c r="B2739" s="97"/>
      <c r="C2739" s="97"/>
    </row>
    <row r="2740" spans="2:3" x14ac:dyDescent="0.2">
      <c r="B2740" s="97"/>
      <c r="C2740" s="97"/>
    </row>
    <row r="2741" spans="2:3" x14ac:dyDescent="0.2">
      <c r="B2741" s="97"/>
      <c r="C2741" s="97"/>
    </row>
    <row r="2742" spans="2:3" x14ac:dyDescent="0.2">
      <c r="B2742" s="97"/>
      <c r="C2742" s="97"/>
    </row>
    <row r="2743" spans="2:3" x14ac:dyDescent="0.2">
      <c r="B2743" s="97"/>
      <c r="C2743" s="97"/>
    </row>
    <row r="2744" spans="2:3" x14ac:dyDescent="0.2">
      <c r="B2744" s="97"/>
      <c r="C2744" s="97"/>
    </row>
    <row r="2745" spans="2:3" x14ac:dyDescent="0.2">
      <c r="B2745" s="97"/>
      <c r="C2745" s="97"/>
    </row>
    <row r="2746" spans="2:3" x14ac:dyDescent="0.2">
      <c r="B2746" s="97"/>
      <c r="C2746" s="97"/>
    </row>
    <row r="2747" spans="2:3" x14ac:dyDescent="0.2">
      <c r="B2747" s="97"/>
      <c r="C2747" s="97"/>
    </row>
    <row r="2748" spans="2:3" x14ac:dyDescent="0.2">
      <c r="B2748" s="97"/>
      <c r="C2748" s="97"/>
    </row>
  </sheetData>
  <autoFilter ref="A17:AI2673" xr:uid="{00000000-0001-0000-0300-000000000000}">
    <filterColumn colId="25">
      <customFilters>
        <customFilter operator="notEqual" val=" "/>
      </customFilters>
    </filterColumn>
  </autoFilter>
  <sortState xmlns:xlrd2="http://schemas.microsoft.com/office/spreadsheetml/2017/richdata2" ref="B1614:Z1642">
    <sortCondition ref="D1614:D1642"/>
  </sortState>
  <mergeCells count="6">
    <mergeCell ref="F2:G2"/>
    <mergeCell ref="E16:E17"/>
    <mergeCell ref="M2667:N2667"/>
    <mergeCell ref="R2667:S2667"/>
    <mergeCell ref="M2670:N2670"/>
    <mergeCell ref="R2670:S2670"/>
  </mergeCells>
  <phoneticPr fontId="0" type="noConversion"/>
  <pageMargins left="1.1811023622047245" right="0.78740157480314965" top="1.1811023622047245" bottom="0.78740157480314965" header="0.31496062992125984" footer="0.51181102362204722"/>
  <pageSetup paperSize="9" scale="67" fitToWidth="2" fitToHeight="2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A1E5-3521-4FE0-B4E9-146422035D4C}">
  <dimension ref="A1:E17"/>
  <sheetViews>
    <sheetView showGridLines="0" workbookViewId="0">
      <selection activeCell="C30" sqref="C30"/>
    </sheetView>
  </sheetViews>
  <sheetFormatPr defaultColWidth="9.33203125" defaultRowHeight="12.75" x14ac:dyDescent="0.2"/>
  <cols>
    <col min="1" max="1" width="44.5" style="102" customWidth="1"/>
    <col min="2" max="2" width="29.5" style="102" customWidth="1"/>
    <col min="3" max="3" width="36" style="102" customWidth="1"/>
    <col min="4" max="4" width="5.1640625" style="102" customWidth="1"/>
    <col min="5" max="5" width="34.5" style="102" customWidth="1"/>
    <col min="6" max="6" width="17.1640625" style="102" customWidth="1"/>
    <col min="7" max="16384" width="9.33203125" style="102"/>
  </cols>
  <sheetData>
    <row r="1" spans="1:5" ht="27" thickBot="1" x14ac:dyDescent="0.45">
      <c r="A1" s="99" t="s">
        <v>863</v>
      </c>
      <c r="B1" s="100"/>
      <c r="C1" s="100"/>
      <c r="D1" s="100"/>
      <c r="E1" s="101"/>
    </row>
    <row r="2" spans="1:5" ht="21" thickBot="1" x14ac:dyDescent="0.35">
      <c r="A2" s="103"/>
      <c r="B2" s="104" t="s">
        <v>864</v>
      </c>
      <c r="C2" s="105"/>
      <c r="D2" s="106"/>
      <c r="E2" s="107"/>
    </row>
    <row r="3" spans="1:5" ht="27" thickBot="1" x14ac:dyDescent="0.45">
      <c r="A3" s="108" t="s">
        <v>865</v>
      </c>
      <c r="B3" s="109"/>
      <c r="C3" s="109"/>
      <c r="D3" s="109"/>
      <c r="E3" s="110"/>
    </row>
    <row r="4" spans="1:5" ht="18.75" thickBot="1" x14ac:dyDescent="0.3">
      <c r="A4" s="111" t="s">
        <v>866</v>
      </c>
      <c r="B4" s="112"/>
      <c r="C4" s="112"/>
      <c r="D4" s="112"/>
      <c r="E4" s="113"/>
    </row>
    <row r="5" spans="1:5" ht="18" x14ac:dyDescent="0.25">
      <c r="A5" s="114" t="s">
        <v>867</v>
      </c>
      <c r="B5" s="115"/>
      <c r="C5" s="116"/>
      <c r="D5" s="1209" t="s">
        <v>868</v>
      </c>
      <c r="E5" s="1212">
        <v>0.6</v>
      </c>
    </row>
    <row r="6" spans="1:5" ht="18.75" thickBot="1" x14ac:dyDescent="0.3">
      <c r="A6" s="117" t="s">
        <v>869</v>
      </c>
      <c r="B6" s="118"/>
      <c r="C6" s="119" t="s">
        <v>870</v>
      </c>
      <c r="D6" s="1210"/>
      <c r="E6" s="1213"/>
    </row>
    <row r="7" spans="1:5" ht="19.5" customHeight="1" x14ac:dyDescent="0.25">
      <c r="A7" s="120" t="s">
        <v>871</v>
      </c>
      <c r="B7" s="1215" t="str">
        <f>IF(B5=0,"",ROUND(B6/B5,4))</f>
        <v/>
      </c>
      <c r="C7" s="121" t="s">
        <v>872</v>
      </c>
      <c r="D7" s="1210"/>
      <c r="E7" s="1213"/>
    </row>
    <row r="8" spans="1:5" ht="18.75" thickBot="1" x14ac:dyDescent="0.3">
      <c r="A8" s="122" t="s">
        <v>872</v>
      </c>
      <c r="B8" s="1216"/>
      <c r="C8" s="123"/>
      <c r="D8" s="1211"/>
      <c r="E8" s="1214"/>
    </row>
    <row r="9" spans="1:5" ht="18.75" thickBot="1" x14ac:dyDescent="0.3">
      <c r="A9" s="117" t="s">
        <v>873</v>
      </c>
      <c r="B9" s="124" t="str">
        <f>IF(B5=0,"",IF(B7&gt;=E5,"APROVADO","INVIÁVELl"))</f>
        <v/>
      </c>
      <c r="C9" s="125"/>
      <c r="D9" s="125"/>
      <c r="E9" s="126"/>
    </row>
    <row r="10" spans="1:5" x14ac:dyDescent="0.2">
      <c r="A10" s="127"/>
      <c r="B10" s="116"/>
      <c r="C10" s="116"/>
      <c r="D10" s="116"/>
      <c r="E10" s="128"/>
    </row>
    <row r="11" spans="1:5" ht="18.75" thickBot="1" x14ac:dyDescent="0.3">
      <c r="A11" s="129" t="s">
        <v>874</v>
      </c>
      <c r="B11" s="112"/>
      <c r="C11" s="112"/>
      <c r="D11" s="112"/>
      <c r="E11" s="113"/>
    </row>
    <row r="12" spans="1:5" ht="18.75" thickBot="1" x14ac:dyDescent="0.3">
      <c r="A12" s="130" t="s">
        <v>875</v>
      </c>
      <c r="B12" s="1217"/>
      <c r="C12" s="1218"/>
      <c r="D12" s="1218"/>
      <c r="E12" s="1219"/>
    </row>
    <row r="13" spans="1:5" ht="12.75" customHeight="1" x14ac:dyDescent="0.2">
      <c r="A13" s="131"/>
      <c r="B13" s="1220" t="str">
        <f>IF(B5=0,"",IF(B12=0,"",ROUND(B12/B5,4)))</f>
        <v/>
      </c>
      <c r="C13" s="116"/>
      <c r="D13" s="1209" t="s">
        <v>876</v>
      </c>
      <c r="E13" s="1222">
        <v>12591.78</v>
      </c>
    </row>
    <row r="14" spans="1:5" ht="18" x14ac:dyDescent="0.25">
      <c r="A14" s="132" t="s">
        <v>877</v>
      </c>
      <c r="B14" s="1221"/>
      <c r="C14" s="133" t="s">
        <v>870</v>
      </c>
      <c r="D14" s="1210"/>
      <c r="E14" s="1223"/>
    </row>
    <row r="15" spans="1:5" ht="18" x14ac:dyDescent="0.25">
      <c r="A15" s="134" t="s">
        <v>872</v>
      </c>
      <c r="B15" s="1225" t="s">
        <v>1066</v>
      </c>
      <c r="C15" s="135" t="s">
        <v>872</v>
      </c>
      <c r="D15" s="1210"/>
      <c r="E15" s="1223"/>
    </row>
    <row r="16" spans="1:5" ht="9.75" customHeight="1" thickBot="1" x14ac:dyDescent="0.3">
      <c r="A16" s="122"/>
      <c r="B16" s="1226"/>
      <c r="C16" s="123"/>
      <c r="D16" s="1211"/>
      <c r="E16" s="1224"/>
    </row>
    <row r="17" spans="1:5" ht="18.75" thickBot="1" x14ac:dyDescent="0.3">
      <c r="A17" s="136" t="s">
        <v>873</v>
      </c>
      <c r="B17" s="137" t="str">
        <f>IF(B13=0,"",IF(B12=0,"",IF(B13&lt;=E13,"APROVADO","INVIÁVEL")))</f>
        <v/>
      </c>
      <c r="C17" s="138"/>
      <c r="D17" s="138"/>
      <c r="E17" s="139"/>
    </row>
  </sheetData>
  <sheetProtection sheet="1" objects="1" scenarios="1"/>
  <mergeCells count="8">
    <mergeCell ref="D5:D8"/>
    <mergeCell ref="E5:E8"/>
    <mergeCell ref="B7:B8"/>
    <mergeCell ref="B12:E12"/>
    <mergeCell ref="B13:B14"/>
    <mergeCell ref="D13:D16"/>
    <mergeCell ref="E13:E16"/>
    <mergeCell ref="B15:B1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824E-43D8-4496-B337-E32F342E37C7}">
  <dimension ref="A1:I12"/>
  <sheetViews>
    <sheetView showGridLines="0" workbookViewId="0">
      <selection activeCell="C20" sqref="C20"/>
    </sheetView>
  </sheetViews>
  <sheetFormatPr defaultColWidth="9.33203125" defaultRowHeight="12.75" x14ac:dyDescent="0.2"/>
  <cols>
    <col min="1" max="1" width="48.6640625" style="102" customWidth="1"/>
    <col min="2" max="2" width="27.6640625" style="102" customWidth="1"/>
    <col min="3" max="3" width="39.83203125" style="102" customWidth="1"/>
    <col min="4" max="4" width="5.1640625" style="102" customWidth="1"/>
    <col min="5" max="5" width="34.5" style="102" customWidth="1"/>
    <col min="6" max="6" width="17.1640625" style="102" customWidth="1"/>
    <col min="7" max="16384" width="9.33203125" style="102"/>
  </cols>
  <sheetData>
    <row r="1" spans="1:9" ht="27" thickBot="1" x14ac:dyDescent="0.45">
      <c r="A1" s="99" t="s">
        <v>863</v>
      </c>
      <c r="B1" s="100"/>
      <c r="C1" s="100"/>
      <c r="D1" s="100"/>
      <c r="E1" s="101"/>
    </row>
    <row r="2" spans="1:9" ht="21" thickBot="1" x14ac:dyDescent="0.35">
      <c r="A2" s="103"/>
      <c r="B2" s="104" t="s">
        <v>878</v>
      </c>
      <c r="C2" s="105"/>
      <c r="D2" s="106"/>
      <c r="E2" s="107"/>
    </row>
    <row r="3" spans="1:9" ht="27" thickBot="1" x14ac:dyDescent="0.45">
      <c r="A3" s="108" t="s">
        <v>865</v>
      </c>
      <c r="B3" s="109"/>
      <c r="C3" s="109"/>
      <c r="D3" s="109"/>
      <c r="E3" s="110"/>
    </row>
    <row r="4" spans="1:9" x14ac:dyDescent="0.2">
      <c r="A4" s="127"/>
      <c r="B4" s="116"/>
      <c r="C4" s="116"/>
      <c r="D4" s="116"/>
      <c r="E4" s="128"/>
      <c r="H4" s="140"/>
      <c r="I4" s="140"/>
    </row>
    <row r="5" spans="1:9" ht="18.75" thickBot="1" x14ac:dyDescent="0.3">
      <c r="A5" s="129" t="s">
        <v>879</v>
      </c>
      <c r="B5" s="112"/>
      <c r="C5" s="112"/>
      <c r="D5" s="112"/>
      <c r="E5" s="113"/>
      <c r="H5" s="140"/>
      <c r="I5" s="140"/>
    </row>
    <row r="6" spans="1:9" ht="18.75" thickBot="1" x14ac:dyDescent="0.3">
      <c r="A6" s="130" t="s">
        <v>880</v>
      </c>
      <c r="B6" s="1227">
        <v>1945000</v>
      </c>
      <c r="C6" s="1228"/>
      <c r="D6" s="1228"/>
      <c r="E6" s="1229"/>
      <c r="H6" s="140"/>
      <c r="I6" s="140"/>
    </row>
    <row r="7" spans="1:9" ht="18.75" thickBot="1" x14ac:dyDescent="0.3">
      <c r="A7" s="130" t="s">
        <v>881</v>
      </c>
      <c r="B7" s="1230">
        <v>10000</v>
      </c>
      <c r="C7" s="1231"/>
      <c r="D7" s="1231"/>
      <c r="E7" s="1232"/>
      <c r="I7" s="140"/>
    </row>
    <row r="8" spans="1:9" ht="12.75" customHeight="1" x14ac:dyDescent="0.2">
      <c r="A8" s="131"/>
      <c r="B8" s="1233">
        <f>IF(B7=0,"",IF(B6=0,0,ROUND(B6/B7,2)))</f>
        <v>194.5</v>
      </c>
      <c r="C8" s="116"/>
      <c r="D8" s="1209" t="s">
        <v>876</v>
      </c>
      <c r="E8" s="1237">
        <v>194.49</v>
      </c>
    </row>
    <row r="9" spans="1:9" ht="18" x14ac:dyDescent="0.25">
      <c r="A9" s="132" t="s">
        <v>877</v>
      </c>
      <c r="B9" s="1234"/>
      <c r="C9" s="133" t="s">
        <v>882</v>
      </c>
      <c r="D9" s="1210"/>
      <c r="E9" s="1238"/>
    </row>
    <row r="10" spans="1:9" ht="18" x14ac:dyDescent="0.25">
      <c r="A10" s="134" t="s">
        <v>881</v>
      </c>
      <c r="B10" s="1235"/>
      <c r="C10" s="135" t="s">
        <v>881</v>
      </c>
      <c r="D10" s="1210"/>
      <c r="E10" s="1239"/>
    </row>
    <row r="11" spans="1:9" ht="9.75" customHeight="1" thickBot="1" x14ac:dyDescent="0.3">
      <c r="A11" s="122"/>
      <c r="B11" s="1236"/>
      <c r="C11" s="123"/>
      <c r="D11" s="1211"/>
      <c r="E11" s="1240"/>
    </row>
    <row r="12" spans="1:9" ht="18.75" thickBot="1" x14ac:dyDescent="0.3">
      <c r="A12" s="136" t="s">
        <v>873</v>
      </c>
      <c r="B12" s="137" t="str">
        <f>IF(B7=0,"",IF(B6=0,"",IF(B8&lt;=E8,"APROVADO","INVIÁVEL")))</f>
        <v>INVIÁVEL</v>
      </c>
      <c r="C12" s="138"/>
      <c r="D12" s="138"/>
      <c r="E12" s="139"/>
    </row>
  </sheetData>
  <sheetProtection sheet="1" objects="1" scenarios="1"/>
  <mergeCells count="5">
    <mergeCell ref="B6:E6"/>
    <mergeCell ref="B7:E7"/>
    <mergeCell ref="B8:B11"/>
    <mergeCell ref="D8:D11"/>
    <mergeCell ref="E8:E1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73BE-9AE1-48AC-9D20-1EBA063EBD9A}">
  <dimension ref="A1:AA72"/>
  <sheetViews>
    <sheetView topLeftCell="A46" zoomScale="70" zoomScaleNormal="70" workbookViewId="0">
      <selection activeCell="I93" sqref="I93"/>
    </sheetView>
  </sheetViews>
  <sheetFormatPr defaultColWidth="9.1640625" defaultRowHeight="11.25" x14ac:dyDescent="0.2"/>
  <cols>
    <col min="1" max="1" width="39.5" style="187" customWidth="1"/>
    <col min="2" max="2" width="31" style="187" bestFit="1" customWidth="1"/>
    <col min="3" max="3" width="15.6640625" style="187" customWidth="1"/>
    <col min="4" max="4" width="1.83203125" style="187" customWidth="1"/>
    <col min="5" max="5" width="39.5" style="187" bestFit="1" customWidth="1"/>
    <col min="6" max="6" width="22.83203125" style="187" customWidth="1"/>
    <col min="7" max="7" width="4.83203125" style="187" customWidth="1"/>
    <col min="8" max="8" width="39.5" style="187" customWidth="1"/>
    <col min="9" max="9" width="31" style="187" bestFit="1" customWidth="1"/>
    <col min="10" max="10" width="15.6640625" style="187" customWidth="1"/>
    <col min="11" max="11" width="1.83203125" style="187" customWidth="1"/>
    <col min="12" max="12" width="39.5" style="187" bestFit="1" customWidth="1"/>
    <col min="13" max="13" width="22.83203125" style="187" customWidth="1"/>
    <col min="14" max="16384" width="9.1640625" style="187"/>
  </cols>
  <sheetData>
    <row r="1" spans="1:13" ht="27.75" x14ac:dyDescent="0.4">
      <c r="A1" s="324" t="s">
        <v>1007</v>
      </c>
      <c r="B1" s="240"/>
      <c r="C1" s="240"/>
      <c r="D1" s="240"/>
      <c r="E1" s="240"/>
      <c r="F1" s="325" t="s">
        <v>1063</v>
      </c>
      <c r="G1" s="326"/>
      <c r="H1" s="326"/>
      <c r="I1" s="326"/>
      <c r="J1" s="240"/>
      <c r="K1" s="240"/>
      <c r="L1" s="240"/>
      <c r="M1" s="240"/>
    </row>
    <row r="2" spans="1:13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12" thickBot="1" x14ac:dyDescent="0.25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12.6" customHeight="1" x14ac:dyDescent="0.25">
      <c r="A4" s="241" t="s">
        <v>1008</v>
      </c>
      <c r="B4" s="189"/>
      <c r="C4" s="189"/>
      <c r="D4" s="189"/>
      <c r="E4" s="189"/>
      <c r="F4" s="190"/>
      <c r="G4" s="240"/>
      <c r="H4" s="241" t="s">
        <v>1008</v>
      </c>
      <c r="I4" s="189"/>
      <c r="J4" s="189"/>
      <c r="K4" s="189"/>
      <c r="L4" s="189"/>
      <c r="M4" s="190"/>
    </row>
    <row r="5" spans="1:13" ht="12.6" customHeight="1" x14ac:dyDescent="0.25">
      <c r="A5" s="242" t="s">
        <v>1009</v>
      </c>
      <c r="B5" s="191"/>
      <c r="C5" s="191"/>
      <c r="D5" s="191"/>
      <c r="E5" s="191"/>
      <c r="F5" s="192"/>
      <c r="G5" s="240"/>
      <c r="H5" s="242" t="s">
        <v>1009</v>
      </c>
      <c r="I5" s="191"/>
      <c r="J5" s="191"/>
      <c r="K5" s="191"/>
      <c r="L5" s="191"/>
      <c r="M5" s="192"/>
    </row>
    <row r="6" spans="1:13" ht="12.6" customHeight="1" thickBot="1" x14ac:dyDescent="0.3">
      <c r="A6" s="243" t="s">
        <v>1010</v>
      </c>
      <c r="B6" s="244"/>
      <c r="C6" s="244"/>
      <c r="D6" s="244"/>
      <c r="E6" s="244"/>
      <c r="F6" s="245"/>
      <c r="G6" s="240"/>
      <c r="H6" s="243" t="s">
        <v>1010</v>
      </c>
      <c r="I6" s="193"/>
      <c r="J6" s="193"/>
      <c r="K6" s="193"/>
      <c r="L6" s="193"/>
      <c r="M6" s="194"/>
    </row>
    <row r="7" spans="1:13" ht="12" thickBot="1" x14ac:dyDescent="0.25">
      <c r="A7" s="240"/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13" ht="20.25" x14ac:dyDescent="0.3">
      <c r="A8" s="246" t="s">
        <v>1030</v>
      </c>
      <c r="B8" s="247" t="s">
        <v>1037</v>
      </c>
      <c r="C8" s="195" t="s">
        <v>1033</v>
      </c>
      <c r="D8" s="196"/>
      <c r="E8" s="196"/>
      <c r="F8" s="197"/>
      <c r="G8" s="240"/>
      <c r="H8" s="246" t="s">
        <v>1032</v>
      </c>
      <c r="I8" s="247" t="s">
        <v>1037</v>
      </c>
      <c r="J8" s="195" t="s">
        <v>1033</v>
      </c>
      <c r="K8" s="196"/>
      <c r="L8" s="196"/>
      <c r="M8" s="197"/>
    </row>
    <row r="9" spans="1:13" ht="16.5" thickBot="1" x14ac:dyDescent="0.3">
      <c r="A9" s="248"/>
      <c r="B9" s="249" t="s">
        <v>1013</v>
      </c>
      <c r="C9" s="198" t="s">
        <v>1034</v>
      </c>
      <c r="D9" s="199"/>
      <c r="E9" s="199"/>
      <c r="F9" s="200"/>
      <c r="G9" s="240"/>
      <c r="H9" s="248"/>
      <c r="I9" s="249" t="s">
        <v>1013</v>
      </c>
      <c r="J9" s="198" t="s">
        <v>1034</v>
      </c>
      <c r="K9" s="199"/>
      <c r="L9" s="199"/>
      <c r="M9" s="200"/>
    </row>
    <row r="10" spans="1:13" ht="12" thickBot="1" x14ac:dyDescent="0.25">
      <c r="A10" s="250"/>
      <c r="B10" s="251"/>
      <c r="C10" s="251"/>
      <c r="D10" s="251"/>
      <c r="E10" s="251"/>
      <c r="F10" s="240"/>
      <c r="G10" s="240"/>
      <c r="H10" s="250"/>
      <c r="I10" s="251"/>
      <c r="J10" s="251"/>
      <c r="K10" s="251"/>
      <c r="L10" s="251"/>
      <c r="M10" s="240"/>
    </row>
    <row r="11" spans="1:13" ht="20.45" customHeight="1" x14ac:dyDescent="0.3">
      <c r="A11" s="252" t="s">
        <v>1036</v>
      </c>
      <c r="B11" s="253"/>
      <c r="C11" s="254"/>
      <c r="D11" s="255"/>
      <c r="E11" s="256" t="s">
        <v>1042</v>
      </c>
      <c r="F11" s="257"/>
      <c r="G11" s="240"/>
      <c r="H11" s="252" t="s">
        <v>1036</v>
      </c>
      <c r="I11" s="253"/>
      <c r="J11" s="254"/>
      <c r="K11" s="255"/>
      <c r="L11" s="256" t="s">
        <v>1042</v>
      </c>
      <c r="M11" s="257"/>
    </row>
    <row r="12" spans="1:13" ht="15.75" x14ac:dyDescent="0.25">
      <c r="A12" s="258" t="s">
        <v>1038</v>
      </c>
      <c r="B12" s="259"/>
      <c r="C12" s="203"/>
      <c r="D12" s="260"/>
      <c r="E12" s="261"/>
      <c r="F12" s="262"/>
      <c r="G12" s="240"/>
      <c r="H12" s="258" t="s">
        <v>1038</v>
      </c>
      <c r="I12" s="259"/>
      <c r="J12" s="203"/>
      <c r="K12" s="260"/>
      <c r="L12" s="261"/>
      <c r="M12" s="262"/>
    </row>
    <row r="13" spans="1:13" ht="20.25" x14ac:dyDescent="0.3">
      <c r="A13" s="263" t="s">
        <v>1039</v>
      </c>
      <c r="B13" s="264"/>
      <c r="C13" s="204"/>
      <c r="D13" s="260"/>
      <c r="E13" s="265" t="s">
        <v>1061</v>
      </c>
      <c r="F13" s="266"/>
      <c r="G13" s="240"/>
      <c r="H13" s="263" t="s">
        <v>1039</v>
      </c>
      <c r="I13" s="264"/>
      <c r="J13" s="204"/>
      <c r="K13" s="260"/>
      <c r="L13" s="265" t="s">
        <v>1043</v>
      </c>
      <c r="M13" s="266"/>
    </row>
    <row r="14" spans="1:13" ht="15.75" x14ac:dyDescent="0.25">
      <c r="A14" s="267" t="s">
        <v>1011</v>
      </c>
      <c r="B14" s="268"/>
      <c r="C14" s="269"/>
      <c r="D14" s="260"/>
      <c r="E14" s="270" t="s">
        <v>1012</v>
      </c>
      <c r="F14" s="271" t="s">
        <v>1041</v>
      </c>
      <c r="G14" s="240"/>
      <c r="H14" s="267" t="s">
        <v>1011</v>
      </c>
      <c r="I14" s="268"/>
      <c r="J14" s="269"/>
      <c r="K14" s="260"/>
      <c r="L14" s="270" t="s">
        <v>1012</v>
      </c>
      <c r="M14" s="271" t="s">
        <v>1041</v>
      </c>
    </row>
    <row r="15" spans="1:13" ht="15" x14ac:dyDescent="0.2">
      <c r="A15" s="272" t="s">
        <v>1012</v>
      </c>
      <c r="B15" s="273" t="s">
        <v>1040</v>
      </c>
      <c r="C15" s="274"/>
      <c r="D15" s="260"/>
      <c r="E15" s="275"/>
      <c r="F15" s="276" t="s">
        <v>1044</v>
      </c>
      <c r="G15" s="240"/>
      <c r="H15" s="272" t="s">
        <v>1012</v>
      </c>
      <c r="I15" s="273" t="s">
        <v>1040</v>
      </c>
      <c r="J15" s="274"/>
      <c r="K15" s="260"/>
      <c r="L15" s="275"/>
      <c r="M15" s="276" t="s">
        <v>1044</v>
      </c>
    </row>
    <row r="16" spans="1:13" ht="15.75" x14ac:dyDescent="0.25">
      <c r="A16" s="277" t="s">
        <v>1014</v>
      </c>
      <c r="B16" s="205" t="s">
        <v>1018</v>
      </c>
      <c r="C16" s="206"/>
      <c r="D16" s="260"/>
      <c r="E16" s="278"/>
      <c r="F16" s="279"/>
      <c r="G16" s="240"/>
      <c r="H16" s="277" t="s">
        <v>1014</v>
      </c>
      <c r="I16" s="205" t="s">
        <v>1018</v>
      </c>
      <c r="J16" s="206"/>
      <c r="K16" s="260"/>
      <c r="L16" s="278"/>
      <c r="M16" s="279"/>
    </row>
    <row r="17" spans="1:27" ht="15.75" x14ac:dyDescent="0.25">
      <c r="A17" s="280" t="s">
        <v>1015</v>
      </c>
      <c r="B17" s="207" t="s">
        <v>1019</v>
      </c>
      <c r="C17" s="208"/>
      <c r="D17" s="260"/>
      <c r="E17" s="281" t="s">
        <v>261</v>
      </c>
      <c r="F17" s="282">
        <f>SUM(C16:C18)</f>
        <v>0</v>
      </c>
      <c r="G17" s="240"/>
      <c r="H17" s="280" t="s">
        <v>1015</v>
      </c>
      <c r="I17" s="207" t="s">
        <v>1019</v>
      </c>
      <c r="J17" s="208"/>
      <c r="K17" s="260"/>
      <c r="L17" s="281" t="s">
        <v>261</v>
      </c>
      <c r="M17" s="282">
        <f>SUM(J16:J18)</f>
        <v>0</v>
      </c>
    </row>
    <row r="18" spans="1:27" ht="15.75" x14ac:dyDescent="0.25">
      <c r="A18" s="283" t="s">
        <v>1016</v>
      </c>
      <c r="B18" s="209" t="s">
        <v>1020</v>
      </c>
      <c r="C18" s="210"/>
      <c r="D18" s="260"/>
      <c r="E18" s="284"/>
      <c r="F18" s="285"/>
      <c r="G18" s="240"/>
      <c r="H18" s="283" t="s">
        <v>1016</v>
      </c>
      <c r="I18" s="209" t="s">
        <v>1020</v>
      </c>
      <c r="J18" s="210"/>
      <c r="K18" s="260"/>
      <c r="L18" s="284"/>
      <c r="M18" s="285"/>
      <c r="X18" s="211" t="s">
        <v>1025</v>
      </c>
      <c r="Y18" s="202"/>
      <c r="Z18" s="202"/>
      <c r="AA18" s="212" t="s">
        <v>1027</v>
      </c>
    </row>
    <row r="19" spans="1:27" ht="15.75" x14ac:dyDescent="0.25">
      <c r="A19" s="286" t="s">
        <v>257</v>
      </c>
      <c r="B19" s="213" t="s">
        <v>257</v>
      </c>
      <c r="C19" s="214"/>
      <c r="D19" s="260"/>
      <c r="E19" s="287" t="s">
        <v>257</v>
      </c>
      <c r="F19" s="288">
        <f>C19</f>
        <v>0</v>
      </c>
      <c r="G19" s="240"/>
      <c r="H19" s="286" t="s">
        <v>257</v>
      </c>
      <c r="I19" s="213" t="s">
        <v>257</v>
      </c>
      <c r="J19" s="214"/>
      <c r="K19" s="260"/>
      <c r="L19" s="287" t="s">
        <v>257</v>
      </c>
      <c r="M19" s="288">
        <f>J19</f>
        <v>0</v>
      </c>
      <c r="X19" s="215" t="s">
        <v>1012</v>
      </c>
      <c r="Y19" s="201" t="s">
        <v>1017</v>
      </c>
      <c r="Z19" s="201" t="s">
        <v>1026</v>
      </c>
      <c r="AA19" s="212" t="s">
        <v>1022</v>
      </c>
    </row>
    <row r="20" spans="1:27" ht="16.5" thickBot="1" x14ac:dyDescent="0.3">
      <c r="A20" s="286" t="s">
        <v>1021</v>
      </c>
      <c r="B20" s="213" t="s">
        <v>258</v>
      </c>
      <c r="C20" s="214"/>
      <c r="D20" s="260"/>
      <c r="E20" s="289" t="s">
        <v>258</v>
      </c>
      <c r="F20" s="288">
        <f>C20</f>
        <v>0</v>
      </c>
      <c r="G20" s="240"/>
      <c r="H20" s="286" t="s">
        <v>1021</v>
      </c>
      <c r="I20" s="213" t="s">
        <v>258</v>
      </c>
      <c r="J20" s="214"/>
      <c r="K20" s="260"/>
      <c r="L20" s="289" t="s">
        <v>258</v>
      </c>
      <c r="M20" s="288">
        <f>J20</f>
        <v>0</v>
      </c>
      <c r="X20" s="216"/>
      <c r="Y20" s="202"/>
      <c r="Z20" s="202"/>
      <c r="AA20" s="212" t="s">
        <v>1024</v>
      </c>
    </row>
    <row r="21" spans="1:27" ht="15.75" x14ac:dyDescent="0.25">
      <c r="A21" s="290"/>
      <c r="B21" s="287" t="s">
        <v>1023</v>
      </c>
      <c r="C21" s="291">
        <f>SUM(C16:C20)</f>
        <v>0</v>
      </c>
      <c r="D21" s="260"/>
      <c r="E21" s="287" t="s">
        <v>1023</v>
      </c>
      <c r="F21" s="292">
        <f>SUM(F17:F20)</f>
        <v>0</v>
      </c>
      <c r="G21" s="240"/>
      <c r="H21" s="290"/>
      <c r="I21" s="287" t="s">
        <v>1023</v>
      </c>
      <c r="J21" s="291">
        <f>SUM(J16:J20)</f>
        <v>0</v>
      </c>
      <c r="K21" s="260"/>
      <c r="L21" s="287" t="s">
        <v>1023</v>
      </c>
      <c r="M21" s="292">
        <f>SUM(M17:M20)</f>
        <v>0</v>
      </c>
      <c r="W21" s="202"/>
      <c r="X21" s="215"/>
      <c r="Y21" s="217"/>
      <c r="Z21" s="218">
        <f>ROUND(C16*$Q$10,4)</f>
        <v>0</v>
      </c>
      <c r="AA21" s="219"/>
    </row>
    <row r="22" spans="1:27" ht="16.5" thickBot="1" x14ac:dyDescent="0.3">
      <c r="A22" s="293"/>
      <c r="B22" s="294" t="s">
        <v>1035</v>
      </c>
      <c r="C22" s="295" t="str">
        <f>IF(C21=0,"",IF(C21=100%,"OK","erro"))</f>
        <v/>
      </c>
      <c r="D22" s="296"/>
      <c r="E22" s="294" t="s">
        <v>1035</v>
      </c>
      <c r="F22" s="295" t="str">
        <f>IF(F21=0,"",IF(F21=100%,"OK","erro"))</f>
        <v/>
      </c>
      <c r="G22" s="240"/>
      <c r="H22" s="293"/>
      <c r="I22" s="294" t="s">
        <v>1035</v>
      </c>
      <c r="J22" s="295" t="str">
        <f>IF(J21=100%,"OK","erro")</f>
        <v>erro</v>
      </c>
      <c r="K22" s="296"/>
      <c r="L22" s="294" t="s">
        <v>1035</v>
      </c>
      <c r="M22" s="295" t="str">
        <f>IF(M21=0,"",IF(M21=100%,"OK","erro"))</f>
        <v/>
      </c>
      <c r="W22" s="202"/>
      <c r="X22" s="215"/>
      <c r="Y22" s="220" t="s">
        <v>261</v>
      </c>
      <c r="Z22" s="221">
        <f>ROUND(C17*$Q$10,4)</f>
        <v>0</v>
      </c>
      <c r="AA22" s="222">
        <f>SUM(Z21:Z23)</f>
        <v>0</v>
      </c>
    </row>
    <row r="23" spans="1:27" ht="12" thickBot="1" x14ac:dyDescent="0.25">
      <c r="A23" s="251"/>
      <c r="B23" s="240"/>
      <c r="C23" s="240"/>
      <c r="D23" s="240"/>
      <c r="E23" s="240"/>
      <c r="F23" s="240"/>
      <c r="G23" s="240"/>
      <c r="H23" s="251"/>
      <c r="I23" s="240"/>
      <c r="J23" s="240"/>
      <c r="K23" s="240"/>
      <c r="L23" s="240"/>
      <c r="M23" s="240"/>
      <c r="W23" s="202"/>
      <c r="X23" s="215"/>
      <c r="Y23" s="223"/>
      <c r="Z23" s="224">
        <f>ROUND(C18*$Q$10,4)</f>
        <v>0</v>
      </c>
      <c r="AA23" s="225"/>
    </row>
    <row r="24" spans="1:27" ht="20.25" x14ac:dyDescent="0.3">
      <c r="A24" s="297"/>
      <c r="B24" s="298"/>
      <c r="C24" s="299"/>
      <c r="D24" s="240"/>
      <c r="E24" s="252" t="s">
        <v>1045</v>
      </c>
      <c r="F24" s="257"/>
      <c r="G24" s="240"/>
      <c r="H24" s="297"/>
      <c r="I24" s="298"/>
      <c r="J24" s="299"/>
      <c r="K24" s="240"/>
      <c r="L24" s="252" t="s">
        <v>1045</v>
      </c>
      <c r="M24" s="257"/>
      <c r="W24" s="202"/>
      <c r="X24" s="215"/>
      <c r="Y24" s="226" t="s">
        <v>257</v>
      </c>
      <c r="Z24" s="227">
        <f>ROUND(C19*$Q$10,4)</f>
        <v>0</v>
      </c>
      <c r="AA24" s="228">
        <f>Z24</f>
        <v>0</v>
      </c>
    </row>
    <row r="25" spans="1:27" x14ac:dyDescent="0.2">
      <c r="A25" s="261"/>
      <c r="B25" s="260"/>
      <c r="C25" s="300"/>
      <c r="D25" s="240"/>
      <c r="E25" s="301"/>
      <c r="F25" s="262"/>
      <c r="G25" s="240"/>
      <c r="H25" s="261"/>
      <c r="I25" s="260"/>
      <c r="J25" s="300"/>
      <c r="K25" s="240"/>
      <c r="L25" s="301"/>
      <c r="M25" s="262"/>
      <c r="W25" s="202"/>
      <c r="X25" s="215"/>
      <c r="Y25" s="229" t="s">
        <v>258</v>
      </c>
      <c r="Z25" s="230">
        <f>ROUND(C20*$Q$10,4)</f>
        <v>0</v>
      </c>
      <c r="AA25" s="231">
        <f>Z25</f>
        <v>0</v>
      </c>
    </row>
    <row r="26" spans="1:27" ht="20.25" x14ac:dyDescent="0.3">
      <c r="A26" s="302" t="s">
        <v>1046</v>
      </c>
      <c r="B26" s="260"/>
      <c r="C26" s="300"/>
      <c r="D26" s="240"/>
      <c r="E26" s="303" t="s">
        <v>1060</v>
      </c>
      <c r="F26" s="266"/>
      <c r="G26" s="240"/>
      <c r="H26" s="302" t="s">
        <v>1046</v>
      </c>
      <c r="I26" s="260"/>
      <c r="J26" s="300"/>
      <c r="K26" s="240"/>
      <c r="L26" s="303" t="s">
        <v>1060</v>
      </c>
      <c r="M26" s="266"/>
      <c r="W26" s="202"/>
      <c r="X26" s="232"/>
      <c r="Y26" s="229" t="s">
        <v>1029</v>
      </c>
      <c r="Z26" s="230">
        <f>O10</f>
        <v>0</v>
      </c>
      <c r="AA26" s="231">
        <f>Z26</f>
        <v>0</v>
      </c>
    </row>
    <row r="27" spans="1:27" ht="16.5" thickBot="1" x14ac:dyDescent="0.3">
      <c r="A27" s="302"/>
      <c r="B27" s="260"/>
      <c r="C27" s="300"/>
      <c r="D27" s="240"/>
      <c r="E27" s="304" t="s">
        <v>1012</v>
      </c>
      <c r="F27" s="305" t="s">
        <v>1041</v>
      </c>
      <c r="G27" s="240"/>
      <c r="H27" s="302"/>
      <c r="I27" s="260"/>
      <c r="J27" s="300"/>
      <c r="K27" s="240"/>
      <c r="L27" s="304" t="s">
        <v>1012</v>
      </c>
      <c r="M27" s="305" t="s">
        <v>1041</v>
      </c>
      <c r="W27" s="202"/>
      <c r="X27" s="233"/>
      <c r="Y27" s="234" t="s">
        <v>1028</v>
      </c>
      <c r="Z27" s="235">
        <f>SUM(Z21:Z26)</f>
        <v>0</v>
      </c>
      <c r="AA27" s="236">
        <f>SUM(AA22:AA26)</f>
        <v>0</v>
      </c>
    </row>
    <row r="28" spans="1:27" ht="15.75" x14ac:dyDescent="0.25">
      <c r="A28" s="302" t="s">
        <v>1047</v>
      </c>
      <c r="B28" s="260"/>
      <c r="C28" s="300"/>
      <c r="D28" s="240"/>
      <c r="E28" s="306"/>
      <c r="F28" s="307" t="s">
        <v>1044</v>
      </c>
      <c r="G28" s="240"/>
      <c r="H28" s="302" t="s">
        <v>1047</v>
      </c>
      <c r="I28" s="260"/>
      <c r="J28" s="300"/>
      <c r="K28" s="240"/>
      <c r="L28" s="306"/>
      <c r="M28" s="307" t="s">
        <v>1044</v>
      </c>
      <c r="W28" s="202"/>
      <c r="X28" s="237"/>
      <c r="Y28" s="238" t="s">
        <v>1035</v>
      </c>
      <c r="Z28" s="239" t="str">
        <f>IF(Z27=100%,"OK","erro")</f>
        <v>erro</v>
      </c>
      <c r="AA28" s="239" t="str">
        <f>IF(AA27=1,"OK","erro")</f>
        <v>erro</v>
      </c>
    </row>
    <row r="29" spans="1:27" ht="15.75" x14ac:dyDescent="0.25">
      <c r="A29" s="302" t="s">
        <v>1048</v>
      </c>
      <c r="B29" s="260"/>
      <c r="C29" s="300"/>
      <c r="D29" s="240"/>
      <c r="E29" s="308"/>
      <c r="F29" s="279"/>
      <c r="G29" s="240"/>
      <c r="H29" s="302" t="s">
        <v>1048</v>
      </c>
      <c r="I29" s="260"/>
      <c r="J29" s="300"/>
      <c r="K29" s="240"/>
      <c r="L29" s="308"/>
      <c r="M29" s="279"/>
      <c r="W29" s="202"/>
      <c r="X29" s="188"/>
    </row>
    <row r="30" spans="1:27" ht="15.75" x14ac:dyDescent="0.25">
      <c r="A30" s="302" t="s">
        <v>1049</v>
      </c>
      <c r="B30" s="260"/>
      <c r="C30" s="300"/>
      <c r="D30" s="240"/>
      <c r="E30" s="309" t="s">
        <v>261</v>
      </c>
      <c r="F30" s="310">
        <f>ROUND($C$32*F17,4)</f>
        <v>0</v>
      </c>
      <c r="G30" s="240"/>
      <c r="H30" s="302" t="s">
        <v>1049</v>
      </c>
      <c r="I30" s="260"/>
      <c r="J30" s="300"/>
      <c r="K30" s="240"/>
      <c r="L30" s="309" t="s">
        <v>261</v>
      </c>
      <c r="M30" s="310">
        <f>ROUND($J$32*M17,4)</f>
        <v>0</v>
      </c>
    </row>
    <row r="31" spans="1:27" x14ac:dyDescent="0.2">
      <c r="A31" s="261"/>
      <c r="B31" s="260"/>
      <c r="C31" s="300"/>
      <c r="D31" s="240"/>
      <c r="E31" s="311"/>
      <c r="F31" s="285"/>
      <c r="G31" s="240"/>
      <c r="H31" s="261"/>
      <c r="I31" s="260"/>
      <c r="J31" s="300"/>
      <c r="K31" s="240"/>
      <c r="L31" s="311"/>
      <c r="M31" s="285"/>
    </row>
    <row r="32" spans="1:27" ht="15.75" x14ac:dyDescent="0.25">
      <c r="A32" s="312" t="s">
        <v>1050</v>
      </c>
      <c r="B32" s="313"/>
      <c r="C32" s="291">
        <f>100%-C13</f>
        <v>1</v>
      </c>
      <c r="D32" s="240"/>
      <c r="E32" s="314" t="s">
        <v>257</v>
      </c>
      <c r="F32" s="315">
        <f>ROUND($C$32*F19,4)</f>
        <v>0</v>
      </c>
      <c r="G32" s="240"/>
      <c r="H32" s="312" t="s">
        <v>1050</v>
      </c>
      <c r="I32" s="313"/>
      <c r="J32" s="291">
        <f>100%-J13</f>
        <v>1</v>
      </c>
      <c r="K32" s="240"/>
      <c r="L32" s="314" t="s">
        <v>257</v>
      </c>
      <c r="M32" s="315">
        <f>ROUND($J$32*M19,4)</f>
        <v>0</v>
      </c>
    </row>
    <row r="33" spans="1:13" ht="15.75" x14ac:dyDescent="0.25">
      <c r="A33" s="251"/>
      <c r="B33" s="316"/>
      <c r="C33" s="317"/>
      <c r="D33" s="318">
        <f>SUM(D28:D32)</f>
        <v>0</v>
      </c>
      <c r="E33" s="319" t="s">
        <v>258</v>
      </c>
      <c r="F33" s="315">
        <f>ROUND($C$32*F20,4)</f>
        <v>0</v>
      </c>
      <c r="G33" s="240"/>
      <c r="H33" s="251"/>
      <c r="I33" s="316"/>
      <c r="J33" s="317"/>
      <c r="K33" s="318">
        <f>SUM(K28:K32)</f>
        <v>0</v>
      </c>
      <c r="L33" s="319" t="s">
        <v>258</v>
      </c>
      <c r="M33" s="315">
        <f>ROUND($J$32*M20,4)</f>
        <v>0</v>
      </c>
    </row>
    <row r="34" spans="1:13" ht="15.75" x14ac:dyDescent="0.25">
      <c r="A34" s="251"/>
      <c r="B34" s="316"/>
      <c r="C34" s="317"/>
      <c r="D34" s="320"/>
      <c r="E34" s="321" t="s">
        <v>1051</v>
      </c>
      <c r="F34" s="315">
        <f>C13</f>
        <v>0</v>
      </c>
      <c r="G34" s="240"/>
      <c r="H34" s="251"/>
      <c r="I34" s="316"/>
      <c r="J34" s="317"/>
      <c r="K34" s="320"/>
      <c r="L34" s="321" t="s">
        <v>1051</v>
      </c>
      <c r="M34" s="315">
        <f>J13</f>
        <v>0</v>
      </c>
    </row>
    <row r="35" spans="1:13" ht="15.75" x14ac:dyDescent="0.25">
      <c r="A35" s="251"/>
      <c r="B35" s="316"/>
      <c r="C35" s="317"/>
      <c r="D35" s="251"/>
      <c r="E35" s="321" t="s">
        <v>1052</v>
      </c>
      <c r="F35" s="315">
        <f>SUM(F30:F34)</f>
        <v>0</v>
      </c>
      <c r="G35" s="240"/>
      <c r="H35" s="251"/>
      <c r="I35" s="316"/>
      <c r="J35" s="317"/>
      <c r="K35" s="251"/>
      <c r="L35" s="321" t="s">
        <v>1052</v>
      </c>
      <c r="M35" s="315">
        <f>SUM(M30:M34)</f>
        <v>0</v>
      </c>
    </row>
    <row r="36" spans="1:13" ht="16.5" thickBot="1" x14ac:dyDescent="0.3">
      <c r="A36" s="251"/>
      <c r="B36" s="316"/>
      <c r="C36" s="317"/>
      <c r="D36" s="251"/>
      <c r="E36" s="322" t="s">
        <v>1035</v>
      </c>
      <c r="F36" s="323" t="str">
        <f>IF(F35=0,"",IF(F35=100%,"OK","erro"))</f>
        <v/>
      </c>
      <c r="G36" s="240"/>
      <c r="H36" s="251"/>
      <c r="I36" s="316"/>
      <c r="J36" s="317"/>
      <c r="K36" s="251"/>
      <c r="L36" s="322" t="s">
        <v>1035</v>
      </c>
      <c r="M36" s="323" t="str">
        <f>IF(M35=0,"",IF(M35=100%,"OK","erro"))</f>
        <v/>
      </c>
    </row>
    <row r="37" spans="1:13" x14ac:dyDescent="0.2">
      <c r="A37" s="240"/>
      <c r="B37" s="240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13" x14ac:dyDescent="0.2">
      <c r="A38" s="240"/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</row>
    <row r="39" spans="1:13" ht="12" thickBot="1" x14ac:dyDescent="0.25">
      <c r="A39" s="240"/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</row>
    <row r="40" spans="1:13" ht="15.75" x14ac:dyDescent="0.25">
      <c r="A40" s="241" t="s">
        <v>1008</v>
      </c>
      <c r="B40" s="189"/>
      <c r="C40" s="189"/>
      <c r="D40" s="189"/>
      <c r="E40" s="189"/>
      <c r="F40" s="190"/>
      <c r="G40" s="240"/>
      <c r="H40" s="241" t="s">
        <v>1008</v>
      </c>
      <c r="I40" s="189"/>
      <c r="J40" s="189"/>
      <c r="K40" s="189"/>
      <c r="L40" s="189"/>
      <c r="M40" s="190"/>
    </row>
    <row r="41" spans="1:13" ht="15.75" x14ac:dyDescent="0.25">
      <c r="A41" s="242" t="s">
        <v>1009</v>
      </c>
      <c r="B41" s="191"/>
      <c r="C41" s="191"/>
      <c r="D41" s="191"/>
      <c r="E41" s="191"/>
      <c r="F41" s="192"/>
      <c r="G41" s="240"/>
      <c r="H41" s="242" t="s">
        <v>1009</v>
      </c>
      <c r="I41" s="191"/>
      <c r="J41" s="191"/>
      <c r="K41" s="191"/>
      <c r="L41" s="191"/>
      <c r="M41" s="192"/>
    </row>
    <row r="42" spans="1:13" ht="16.5" thickBot="1" x14ac:dyDescent="0.3">
      <c r="A42" s="243" t="s">
        <v>1010</v>
      </c>
      <c r="B42" s="193"/>
      <c r="C42" s="193"/>
      <c r="D42" s="193"/>
      <c r="E42" s="193"/>
      <c r="F42" s="194"/>
      <c r="G42" s="240"/>
      <c r="H42" s="243" t="s">
        <v>1010</v>
      </c>
      <c r="I42" s="244"/>
      <c r="J42" s="244"/>
      <c r="K42" s="244"/>
      <c r="L42" s="244"/>
      <c r="M42" s="245"/>
    </row>
    <row r="43" spans="1:13" ht="12" thickBot="1" x14ac:dyDescent="0.25">
      <c r="A43" s="240"/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</row>
    <row r="44" spans="1:13" ht="20.25" x14ac:dyDescent="0.3">
      <c r="A44" s="246" t="s">
        <v>1031</v>
      </c>
      <c r="B44" s="247" t="s">
        <v>1037</v>
      </c>
      <c r="C44" s="195" t="s">
        <v>1033</v>
      </c>
      <c r="D44" s="196"/>
      <c r="E44" s="196"/>
      <c r="F44" s="197"/>
      <c r="G44" s="240"/>
      <c r="H44" s="246" t="s">
        <v>1062</v>
      </c>
      <c r="I44" s="247" t="s">
        <v>1037</v>
      </c>
      <c r="J44" s="195" t="s">
        <v>1033</v>
      </c>
      <c r="K44" s="196"/>
      <c r="L44" s="196"/>
      <c r="M44" s="197"/>
    </row>
    <row r="45" spans="1:13" ht="16.5" thickBot="1" x14ac:dyDescent="0.3">
      <c r="A45" s="248"/>
      <c r="B45" s="249" t="s">
        <v>1013</v>
      </c>
      <c r="C45" s="198" t="s">
        <v>1034</v>
      </c>
      <c r="D45" s="199"/>
      <c r="E45" s="199"/>
      <c r="F45" s="200"/>
      <c r="G45" s="240"/>
      <c r="H45" s="248"/>
      <c r="I45" s="249" t="s">
        <v>1013</v>
      </c>
      <c r="J45" s="198" t="s">
        <v>1034</v>
      </c>
      <c r="K45" s="199"/>
      <c r="L45" s="199"/>
      <c r="M45" s="200"/>
    </row>
    <row r="46" spans="1:13" ht="12" thickBot="1" x14ac:dyDescent="0.25">
      <c r="A46" s="250"/>
      <c r="B46" s="251"/>
      <c r="C46" s="251"/>
      <c r="D46" s="251"/>
      <c r="E46" s="251"/>
      <c r="F46" s="240"/>
      <c r="G46" s="240"/>
      <c r="H46" s="250"/>
      <c r="I46" s="251"/>
      <c r="J46" s="251"/>
      <c r="K46" s="251"/>
      <c r="L46" s="251"/>
      <c r="M46" s="240"/>
    </row>
    <row r="47" spans="1:13" ht="20.25" x14ac:dyDescent="0.3">
      <c r="A47" s="252" t="s">
        <v>1036</v>
      </c>
      <c r="B47" s="253"/>
      <c r="C47" s="254"/>
      <c r="D47" s="255"/>
      <c r="E47" s="256" t="s">
        <v>1042</v>
      </c>
      <c r="F47" s="257"/>
      <c r="G47" s="240"/>
      <c r="H47" s="252" t="s">
        <v>1036</v>
      </c>
      <c r="I47" s="253"/>
      <c r="J47" s="254"/>
      <c r="K47" s="255"/>
      <c r="L47" s="256" t="s">
        <v>1042</v>
      </c>
      <c r="M47" s="257"/>
    </row>
    <row r="48" spans="1:13" ht="15.75" x14ac:dyDescent="0.25">
      <c r="A48" s="258" t="s">
        <v>1038</v>
      </c>
      <c r="B48" s="259"/>
      <c r="C48" s="203"/>
      <c r="D48" s="260"/>
      <c r="E48" s="261"/>
      <c r="F48" s="262"/>
      <c r="G48" s="240"/>
      <c r="H48" s="258" t="s">
        <v>1038</v>
      </c>
      <c r="I48" s="259"/>
      <c r="J48" s="203"/>
      <c r="K48" s="260"/>
      <c r="L48" s="261"/>
      <c r="M48" s="262"/>
    </row>
    <row r="49" spans="1:13" ht="20.25" x14ac:dyDescent="0.3">
      <c r="A49" s="263" t="s">
        <v>1039</v>
      </c>
      <c r="B49" s="264"/>
      <c r="C49" s="204"/>
      <c r="D49" s="260"/>
      <c r="E49" s="265" t="s">
        <v>1061</v>
      </c>
      <c r="F49" s="266"/>
      <c r="G49" s="240"/>
      <c r="H49" s="263" t="s">
        <v>1039</v>
      </c>
      <c r="I49" s="264"/>
      <c r="J49" s="204"/>
      <c r="K49" s="260"/>
      <c r="L49" s="265" t="s">
        <v>1043</v>
      </c>
      <c r="M49" s="266"/>
    </row>
    <row r="50" spans="1:13" ht="15.75" x14ac:dyDescent="0.25">
      <c r="A50" s="267" t="s">
        <v>1011</v>
      </c>
      <c r="B50" s="268"/>
      <c r="C50" s="269"/>
      <c r="D50" s="260"/>
      <c r="E50" s="270" t="s">
        <v>1012</v>
      </c>
      <c r="F50" s="271" t="s">
        <v>1041</v>
      </c>
      <c r="G50" s="240"/>
      <c r="H50" s="267" t="s">
        <v>1011</v>
      </c>
      <c r="I50" s="268"/>
      <c r="J50" s="269"/>
      <c r="K50" s="260"/>
      <c r="L50" s="270" t="s">
        <v>1012</v>
      </c>
      <c r="M50" s="271" t="s">
        <v>1041</v>
      </c>
    </row>
    <row r="51" spans="1:13" ht="15" x14ac:dyDescent="0.2">
      <c r="A51" s="272" t="s">
        <v>1012</v>
      </c>
      <c r="B51" s="273" t="s">
        <v>1040</v>
      </c>
      <c r="C51" s="274"/>
      <c r="D51" s="260"/>
      <c r="E51" s="275"/>
      <c r="F51" s="276" t="s">
        <v>1044</v>
      </c>
      <c r="G51" s="240"/>
      <c r="H51" s="272" t="s">
        <v>1012</v>
      </c>
      <c r="I51" s="273" t="s">
        <v>1040</v>
      </c>
      <c r="J51" s="274"/>
      <c r="K51" s="260"/>
      <c r="L51" s="275"/>
      <c r="M51" s="276" t="s">
        <v>1044</v>
      </c>
    </row>
    <row r="52" spans="1:13" ht="15.75" x14ac:dyDescent="0.25">
      <c r="A52" s="277" t="s">
        <v>1014</v>
      </c>
      <c r="B52" s="205" t="s">
        <v>1018</v>
      </c>
      <c r="C52" s="206"/>
      <c r="D52" s="260"/>
      <c r="E52" s="278"/>
      <c r="F52" s="279"/>
      <c r="G52" s="240"/>
      <c r="H52" s="277" t="s">
        <v>1014</v>
      </c>
      <c r="I52" s="205" t="s">
        <v>1018</v>
      </c>
      <c r="J52" s="206"/>
      <c r="K52" s="260"/>
      <c r="L52" s="278"/>
      <c r="M52" s="279"/>
    </row>
    <row r="53" spans="1:13" ht="15.75" x14ac:dyDescent="0.25">
      <c r="A53" s="280" t="s">
        <v>1015</v>
      </c>
      <c r="B53" s="207" t="s">
        <v>1019</v>
      </c>
      <c r="C53" s="208"/>
      <c r="D53" s="260"/>
      <c r="E53" s="281" t="s">
        <v>261</v>
      </c>
      <c r="F53" s="282">
        <f>SUM(C52:C54)</f>
        <v>0</v>
      </c>
      <c r="G53" s="240"/>
      <c r="H53" s="280" t="s">
        <v>1015</v>
      </c>
      <c r="I53" s="207" t="s">
        <v>1019</v>
      </c>
      <c r="J53" s="208"/>
      <c r="K53" s="260"/>
      <c r="L53" s="281" t="s">
        <v>261</v>
      </c>
      <c r="M53" s="282">
        <f>SUM(J52:J54)</f>
        <v>0</v>
      </c>
    </row>
    <row r="54" spans="1:13" ht="15.75" x14ac:dyDescent="0.25">
      <c r="A54" s="283" t="s">
        <v>1016</v>
      </c>
      <c r="B54" s="209" t="s">
        <v>1020</v>
      </c>
      <c r="C54" s="210"/>
      <c r="D54" s="260"/>
      <c r="E54" s="284"/>
      <c r="F54" s="285"/>
      <c r="G54" s="240"/>
      <c r="H54" s="283" t="s">
        <v>1016</v>
      </c>
      <c r="I54" s="209" t="s">
        <v>1020</v>
      </c>
      <c r="J54" s="210"/>
      <c r="K54" s="260"/>
      <c r="L54" s="284"/>
      <c r="M54" s="285"/>
    </row>
    <row r="55" spans="1:13" ht="15.75" x14ac:dyDescent="0.25">
      <c r="A55" s="286" t="s">
        <v>257</v>
      </c>
      <c r="B55" s="213" t="s">
        <v>257</v>
      </c>
      <c r="C55" s="214"/>
      <c r="D55" s="260"/>
      <c r="E55" s="287" t="s">
        <v>257</v>
      </c>
      <c r="F55" s="288">
        <f>C55</f>
        <v>0</v>
      </c>
      <c r="G55" s="240"/>
      <c r="H55" s="286" t="s">
        <v>257</v>
      </c>
      <c r="I55" s="213" t="s">
        <v>257</v>
      </c>
      <c r="J55" s="214"/>
      <c r="K55" s="260"/>
      <c r="L55" s="287" t="s">
        <v>257</v>
      </c>
      <c r="M55" s="288">
        <f>J55</f>
        <v>0</v>
      </c>
    </row>
    <row r="56" spans="1:13" ht="15.75" x14ac:dyDescent="0.25">
      <c r="A56" s="286" t="s">
        <v>1021</v>
      </c>
      <c r="B56" s="213" t="s">
        <v>258</v>
      </c>
      <c r="C56" s="214"/>
      <c r="D56" s="260"/>
      <c r="E56" s="289" t="s">
        <v>258</v>
      </c>
      <c r="F56" s="288">
        <f>C56</f>
        <v>0</v>
      </c>
      <c r="G56" s="240"/>
      <c r="H56" s="286" t="s">
        <v>1021</v>
      </c>
      <c r="I56" s="213" t="s">
        <v>258</v>
      </c>
      <c r="J56" s="214"/>
      <c r="K56" s="260"/>
      <c r="L56" s="289" t="s">
        <v>258</v>
      </c>
      <c r="M56" s="288">
        <f>J56</f>
        <v>0</v>
      </c>
    </row>
    <row r="57" spans="1:13" ht="15.75" x14ac:dyDescent="0.25">
      <c r="A57" s="290"/>
      <c r="B57" s="287" t="s">
        <v>1023</v>
      </c>
      <c r="C57" s="291">
        <f>SUM(C52:C56)</f>
        <v>0</v>
      </c>
      <c r="D57" s="260"/>
      <c r="E57" s="287" t="s">
        <v>1023</v>
      </c>
      <c r="F57" s="292">
        <f>SUM(F53:F56)</f>
        <v>0</v>
      </c>
      <c r="G57" s="240"/>
      <c r="H57" s="290"/>
      <c r="I57" s="287" t="s">
        <v>1023</v>
      </c>
      <c r="J57" s="291">
        <f>SUM(J52:J56)</f>
        <v>0</v>
      </c>
      <c r="K57" s="260"/>
      <c r="L57" s="287" t="s">
        <v>1023</v>
      </c>
      <c r="M57" s="292">
        <f>SUM(M53:M56)</f>
        <v>0</v>
      </c>
    </row>
    <row r="58" spans="1:13" ht="16.5" thickBot="1" x14ac:dyDescent="0.3">
      <c r="A58" s="293"/>
      <c r="B58" s="294" t="s">
        <v>1035</v>
      </c>
      <c r="C58" s="295" t="str">
        <f>IF(C57=0,"",IF(C57=100%,"OK","erro"))</f>
        <v/>
      </c>
      <c r="D58" s="296"/>
      <c r="E58" s="294" t="s">
        <v>1035</v>
      </c>
      <c r="F58" s="295" t="str">
        <f>IF(F57=0,"",IF(F57=100%,"OK","erro"))</f>
        <v/>
      </c>
      <c r="G58" s="240"/>
      <c r="H58" s="293"/>
      <c r="I58" s="294" t="s">
        <v>1035</v>
      </c>
      <c r="J58" s="295" t="str">
        <f>IF(J57=100%,"OK","erro")</f>
        <v>erro</v>
      </c>
      <c r="K58" s="296"/>
      <c r="L58" s="294" t="s">
        <v>1035</v>
      </c>
      <c r="M58" s="295" t="str">
        <f>IF(M57=0,"",IF(M57=100%,"OK","erro"))</f>
        <v/>
      </c>
    </row>
    <row r="59" spans="1:13" ht="12" thickBot="1" x14ac:dyDescent="0.25">
      <c r="A59" s="251"/>
      <c r="B59" s="240"/>
      <c r="C59" s="240"/>
      <c r="D59" s="240"/>
      <c r="E59" s="240"/>
      <c r="F59" s="240"/>
      <c r="G59" s="240"/>
      <c r="H59" s="251"/>
      <c r="I59" s="240"/>
      <c r="J59" s="240"/>
      <c r="K59" s="240"/>
      <c r="L59" s="240"/>
      <c r="M59" s="240"/>
    </row>
    <row r="60" spans="1:13" ht="20.25" x14ac:dyDescent="0.3">
      <c r="A60" s="297"/>
      <c r="B60" s="298"/>
      <c r="C60" s="299"/>
      <c r="D60" s="240"/>
      <c r="E60" s="252" t="s">
        <v>1045</v>
      </c>
      <c r="F60" s="257"/>
      <c r="G60" s="240"/>
      <c r="H60" s="297"/>
      <c r="I60" s="298"/>
      <c r="J60" s="299"/>
      <c r="K60" s="240"/>
      <c r="L60" s="252" t="s">
        <v>1045</v>
      </c>
      <c r="M60" s="257"/>
    </row>
    <row r="61" spans="1:13" x14ac:dyDescent="0.2">
      <c r="A61" s="261"/>
      <c r="B61" s="260"/>
      <c r="C61" s="300"/>
      <c r="D61" s="240"/>
      <c r="E61" s="301"/>
      <c r="F61" s="262"/>
      <c r="G61" s="240"/>
      <c r="H61" s="261"/>
      <c r="I61" s="260"/>
      <c r="J61" s="300"/>
      <c r="K61" s="240"/>
      <c r="L61" s="301"/>
      <c r="M61" s="262"/>
    </row>
    <row r="62" spans="1:13" ht="20.25" x14ac:dyDescent="0.3">
      <c r="A62" s="302" t="s">
        <v>1046</v>
      </c>
      <c r="B62" s="260"/>
      <c r="C62" s="300"/>
      <c r="D62" s="240"/>
      <c r="E62" s="303" t="s">
        <v>1060</v>
      </c>
      <c r="F62" s="266"/>
      <c r="G62" s="240"/>
      <c r="H62" s="302" t="s">
        <v>1046</v>
      </c>
      <c r="I62" s="260"/>
      <c r="J62" s="300"/>
      <c r="K62" s="240"/>
      <c r="L62" s="303" t="s">
        <v>1060</v>
      </c>
      <c r="M62" s="266"/>
    </row>
    <row r="63" spans="1:13" ht="15.75" x14ac:dyDescent="0.25">
      <c r="A63" s="302"/>
      <c r="B63" s="260"/>
      <c r="C63" s="300"/>
      <c r="D63" s="240"/>
      <c r="E63" s="304" t="s">
        <v>1012</v>
      </c>
      <c r="F63" s="305" t="s">
        <v>1041</v>
      </c>
      <c r="G63" s="240"/>
      <c r="H63" s="302"/>
      <c r="I63" s="260"/>
      <c r="J63" s="300"/>
      <c r="K63" s="240"/>
      <c r="L63" s="304" t="s">
        <v>1012</v>
      </c>
      <c r="M63" s="305" t="s">
        <v>1041</v>
      </c>
    </row>
    <row r="64" spans="1:13" ht="15.75" x14ac:dyDescent="0.25">
      <c r="A64" s="302" t="s">
        <v>1047</v>
      </c>
      <c r="B64" s="260"/>
      <c r="C64" s="300"/>
      <c r="D64" s="240"/>
      <c r="E64" s="306"/>
      <c r="F64" s="307" t="s">
        <v>1044</v>
      </c>
      <c r="G64" s="240"/>
      <c r="H64" s="302" t="s">
        <v>1047</v>
      </c>
      <c r="I64" s="260"/>
      <c r="J64" s="300"/>
      <c r="K64" s="240"/>
      <c r="L64" s="306"/>
      <c r="M64" s="307" t="s">
        <v>1044</v>
      </c>
    </row>
    <row r="65" spans="1:13" ht="15.75" x14ac:dyDescent="0.25">
      <c r="A65" s="302" t="s">
        <v>1048</v>
      </c>
      <c r="B65" s="260"/>
      <c r="C65" s="300"/>
      <c r="D65" s="240"/>
      <c r="E65" s="308"/>
      <c r="F65" s="279"/>
      <c r="G65" s="240"/>
      <c r="H65" s="302" t="s">
        <v>1048</v>
      </c>
      <c r="I65" s="260"/>
      <c r="J65" s="300"/>
      <c r="K65" s="240"/>
      <c r="L65" s="308"/>
      <c r="M65" s="279"/>
    </row>
    <row r="66" spans="1:13" ht="15.75" x14ac:dyDescent="0.25">
      <c r="A66" s="302" t="s">
        <v>1049</v>
      </c>
      <c r="B66" s="260"/>
      <c r="C66" s="300"/>
      <c r="D66" s="240"/>
      <c r="E66" s="309" t="s">
        <v>261</v>
      </c>
      <c r="F66" s="310">
        <f>ROUND($C$32*F53,4)</f>
        <v>0</v>
      </c>
      <c r="G66" s="240"/>
      <c r="H66" s="302" t="s">
        <v>1049</v>
      </c>
      <c r="I66" s="260"/>
      <c r="J66" s="300"/>
      <c r="K66" s="240"/>
      <c r="L66" s="309" t="s">
        <v>261</v>
      </c>
      <c r="M66" s="310">
        <f>ROUND($J$32*M53,4)</f>
        <v>0</v>
      </c>
    </row>
    <row r="67" spans="1:13" x14ac:dyDescent="0.2">
      <c r="A67" s="261"/>
      <c r="B67" s="260"/>
      <c r="C67" s="300"/>
      <c r="D67" s="240"/>
      <c r="E67" s="311"/>
      <c r="F67" s="285"/>
      <c r="G67" s="240"/>
      <c r="H67" s="261"/>
      <c r="I67" s="260"/>
      <c r="J67" s="300"/>
      <c r="K67" s="240"/>
      <c r="L67" s="311"/>
      <c r="M67" s="285"/>
    </row>
    <row r="68" spans="1:13" ht="15.75" x14ac:dyDescent="0.25">
      <c r="A68" s="312" t="s">
        <v>1050</v>
      </c>
      <c r="B68" s="313"/>
      <c r="C68" s="291">
        <f>100%-C49</f>
        <v>1</v>
      </c>
      <c r="D68" s="240"/>
      <c r="E68" s="314" t="s">
        <v>257</v>
      </c>
      <c r="F68" s="315">
        <f>ROUND($C$32*F55,4)</f>
        <v>0</v>
      </c>
      <c r="G68" s="240"/>
      <c r="H68" s="312" t="s">
        <v>1050</v>
      </c>
      <c r="I68" s="313"/>
      <c r="J68" s="291">
        <f>100%-J49</f>
        <v>1</v>
      </c>
      <c r="K68" s="240"/>
      <c r="L68" s="314" t="s">
        <v>257</v>
      </c>
      <c r="M68" s="315">
        <f>ROUND($J$32*M55,4)</f>
        <v>0</v>
      </c>
    </row>
    <row r="69" spans="1:13" ht="15.75" x14ac:dyDescent="0.25">
      <c r="A69" s="251"/>
      <c r="B69" s="316"/>
      <c r="C69" s="317"/>
      <c r="D69" s="318">
        <f>SUM(D64:D68)</f>
        <v>0</v>
      </c>
      <c r="E69" s="319" t="s">
        <v>258</v>
      </c>
      <c r="F69" s="315">
        <f>ROUND($C$32*F56,4)</f>
        <v>0</v>
      </c>
      <c r="G69" s="240"/>
      <c r="H69" s="251"/>
      <c r="I69" s="316"/>
      <c r="J69" s="317"/>
      <c r="K69" s="318">
        <f>SUM(K64:K68)</f>
        <v>0</v>
      </c>
      <c r="L69" s="319" t="s">
        <v>258</v>
      </c>
      <c r="M69" s="315">
        <f>ROUND($J$32*M56,4)</f>
        <v>0</v>
      </c>
    </row>
    <row r="70" spans="1:13" ht="15.75" x14ac:dyDescent="0.25">
      <c r="A70" s="251"/>
      <c r="B70" s="316"/>
      <c r="C70" s="317"/>
      <c r="D70" s="320"/>
      <c r="E70" s="321" t="s">
        <v>1051</v>
      </c>
      <c r="F70" s="315">
        <f>C49</f>
        <v>0</v>
      </c>
      <c r="G70" s="240"/>
      <c r="H70" s="251"/>
      <c r="I70" s="316"/>
      <c r="J70" s="317"/>
      <c r="K70" s="320"/>
      <c r="L70" s="321" t="s">
        <v>1051</v>
      </c>
      <c r="M70" s="315">
        <f>J49</f>
        <v>0</v>
      </c>
    </row>
    <row r="71" spans="1:13" ht="15.75" x14ac:dyDescent="0.25">
      <c r="A71" s="251"/>
      <c r="B71" s="316"/>
      <c r="C71" s="317"/>
      <c r="D71" s="251"/>
      <c r="E71" s="321" t="s">
        <v>1052</v>
      </c>
      <c r="F71" s="315">
        <f>SUM(F66:F70)</f>
        <v>0</v>
      </c>
      <c r="G71" s="240"/>
      <c r="H71" s="251"/>
      <c r="I71" s="316"/>
      <c r="J71" s="317"/>
      <c r="K71" s="251"/>
      <c r="L71" s="321" t="s">
        <v>1052</v>
      </c>
      <c r="M71" s="315">
        <f>SUM(M66:M70)</f>
        <v>0</v>
      </c>
    </row>
    <row r="72" spans="1:13" ht="16.5" thickBot="1" x14ac:dyDescent="0.3">
      <c r="A72" s="251"/>
      <c r="B72" s="316"/>
      <c r="C72" s="317"/>
      <c r="D72" s="251"/>
      <c r="E72" s="322" t="s">
        <v>1035</v>
      </c>
      <c r="F72" s="323" t="str">
        <f>IF(F71=0,"",IF(F71=100%,"OK","erro"))</f>
        <v/>
      </c>
      <c r="G72" s="240"/>
      <c r="H72" s="251"/>
      <c r="I72" s="316"/>
      <c r="J72" s="317"/>
      <c r="K72" s="251"/>
      <c r="L72" s="322" t="s">
        <v>1035</v>
      </c>
      <c r="M72" s="323" t="str">
        <f>IF(M71=0,"",IF(M71=100%,"OK","erro"))</f>
        <v/>
      </c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8</vt:i4>
      </vt:variant>
    </vt:vector>
  </HeadingPairs>
  <TitlesOfParts>
    <vt:vector size="19" baseType="lpstr">
      <vt:lpstr>LIGANTES</vt:lpstr>
      <vt:lpstr>Prazos e Áreas</vt:lpstr>
      <vt:lpstr>Cronograma PAM</vt:lpstr>
      <vt:lpstr>Cronograma SFM</vt:lpstr>
      <vt:lpstr>BDI</vt:lpstr>
      <vt:lpstr>Grandes Itens</vt:lpstr>
      <vt:lpstr>ENSAIOS DE ORÇAMENTO</vt:lpstr>
      <vt:lpstr>orc DER JAN 2021</vt:lpstr>
      <vt:lpstr>viab-pav</vt:lpstr>
      <vt:lpstr>viab-praça</vt:lpstr>
      <vt:lpstr>Novos Traços</vt:lpstr>
      <vt:lpstr>BDI!Area_de_impressao</vt:lpstr>
      <vt:lpstr>'Cronograma PAM'!Area_de_impressao</vt:lpstr>
      <vt:lpstr>'Cronograma SFM'!Area_de_impressao</vt:lpstr>
      <vt:lpstr>'Grandes Itens'!Area_de_impressao</vt:lpstr>
      <vt:lpstr>'orc DER JAN 2021'!Area_de_impressao</vt:lpstr>
      <vt:lpstr>j</vt:lpstr>
      <vt:lpstr>'Grandes Itens'!Titulos_de_impressao</vt:lpstr>
      <vt:lpstr>'orc DER JAN 2021'!Titulos_de_impressao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Bernadete Maguirovski dos Santos</cp:lastModifiedBy>
  <cp:lastPrinted>2021-08-23T19:26:19Z</cp:lastPrinted>
  <dcterms:created xsi:type="dcterms:W3CDTF">2008-09-16T14:08:54Z</dcterms:created>
  <dcterms:modified xsi:type="dcterms:W3CDTF">2021-09-02T17:07:08Z</dcterms:modified>
</cp:coreProperties>
</file>